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BA451094-A72A-4C9A-A391-F3B45498D2B1}" xr6:coauthVersionLast="47" xr6:coauthVersionMax="47" xr10:uidLastSave="{00000000-0000-0000-0000-000000000000}"/>
  <bookViews>
    <workbookView xWindow="28680" yWindow="-120" windowWidth="29040" windowHeight="15720" xr2:uid="{00000000-000D-0000-FFFF-FFFF00000000}"/>
  </bookViews>
  <sheets>
    <sheet name="Main | Overview" sheetId="1" r:id="rId1"/>
    <sheet name="Model" sheetId="2" r:id="rId2"/>
    <sheet name="Notes | Quant Analysis" sheetId="3" r:id="rId3"/>
    <sheet name="Markets | Product Lines" sheetId="4" r:id="rId4"/>
    <sheet name="Management" sheetId="6" r:id="rId5"/>
    <sheet name="Clinical Trail Channel" sheetId="5" r:id="rId6"/>
    <sheet name="Peripheral Thrombectomy" sheetId="11" r:id="rId7"/>
    <sheet name="Neuro Thrombectomy" sheetId="12" r:id="rId8"/>
    <sheet name="Peripheral Embolization" sheetId="13" r:id="rId9"/>
    <sheet name="Neuro Embolization" sheetId="14" r:id="rId10"/>
    <sheet name="Access" sheetId="15" r:id="rId11"/>
    <sheet name="Neurosurgical Tools" sheetId="16"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16" i="3" l="1"/>
  <c r="L117" i="3" s="1"/>
  <c r="L118" i="3" s="1"/>
  <c r="L119" i="3" s="1"/>
  <c r="L120" i="3" s="1"/>
  <c r="L121" i="3" s="1"/>
  <c r="L122" i="3" s="1"/>
  <c r="L123" i="3" s="1"/>
  <c r="L124" i="3" s="1"/>
  <c r="L125" i="3" s="1"/>
  <c r="L126" i="3" s="1"/>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6" i="3" s="1"/>
  <c r="L157" i="3" s="1"/>
  <c r="L158" i="3" s="1"/>
  <c r="L159" i="3" s="1"/>
  <c r="L160" i="3" s="1"/>
  <c r="L161" i="3" s="1"/>
  <c r="L162" i="3" s="1"/>
  <c r="L163" i="3" s="1"/>
  <c r="L164" i="3" s="1"/>
  <c r="L165" i="3" s="1"/>
  <c r="L166" i="3" s="1"/>
  <c r="L167" i="3" s="1"/>
  <c r="L168" i="3" s="1"/>
  <c r="L169" i="3" s="1"/>
  <c r="L170" i="3" s="1"/>
  <c r="L171" i="3" s="1"/>
  <c r="L172" i="3" s="1"/>
  <c r="L173" i="3" s="1"/>
  <c r="L174" i="3" s="1"/>
  <c r="L175" i="3" s="1"/>
  <c r="L176" i="3" s="1"/>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K108" i="3" l="1"/>
  <c r="K109" i="3" s="1"/>
  <c r="K104" i="3"/>
  <c r="K106" i="3"/>
  <c r="K107" i="3"/>
  <c r="K105" i="3"/>
  <c r="M153" i="3" l="1"/>
  <c r="M175" i="3"/>
  <c r="M131" i="3"/>
  <c r="M146" i="3"/>
  <c r="M170" i="3"/>
  <c r="M150" i="3"/>
  <c r="M135" i="3"/>
  <c r="M157" i="3"/>
  <c r="M162" i="3"/>
  <c r="M176" i="3"/>
  <c r="M128" i="3"/>
  <c r="M123" i="3"/>
  <c r="M172" i="3"/>
  <c r="M116" i="3"/>
  <c r="M154" i="3"/>
  <c r="M144" i="3"/>
  <c r="M151" i="3"/>
  <c r="M158" i="3"/>
  <c r="M168" i="3"/>
  <c r="M138" i="3"/>
  <c r="M129" i="3"/>
  <c r="M136" i="3"/>
  <c r="M143" i="3"/>
  <c r="M155" i="3"/>
  <c r="M149" i="3"/>
  <c r="M130" i="3"/>
  <c r="M148" i="3"/>
  <c r="M142" i="3"/>
  <c r="M133" i="3"/>
  <c r="M167" i="3"/>
  <c r="M132" i="3"/>
  <c r="M134" i="3"/>
  <c r="M117" i="3"/>
  <c r="M159" i="3"/>
  <c r="M139" i="3"/>
  <c r="M126" i="3"/>
  <c r="M160" i="3"/>
  <c r="M164" i="3"/>
  <c r="M122" i="3"/>
  <c r="M141" i="3"/>
  <c r="M161" i="3"/>
  <c r="M118" i="3"/>
  <c r="M152" i="3"/>
  <c r="M140" i="3"/>
  <c r="M121" i="3"/>
  <c r="M125" i="3"/>
  <c r="M145" i="3"/>
  <c r="P125" i="3"/>
  <c r="P126" i="3"/>
  <c r="P123" i="3"/>
  <c r="P121" i="3"/>
  <c r="P114" i="3"/>
  <c r="M115" i="3"/>
  <c r="P118" i="3"/>
  <c r="M114" i="3"/>
  <c r="P124" i="3"/>
  <c r="P127" i="3"/>
  <c r="P117" i="3"/>
  <c r="P122" i="3"/>
  <c r="P116" i="3"/>
  <c r="P115" i="3"/>
  <c r="P120" i="3"/>
  <c r="P119" i="3"/>
  <c r="M120" i="3"/>
  <c r="M163" i="3"/>
  <c r="M169" i="3"/>
  <c r="M127" i="3"/>
  <c r="M124" i="3"/>
  <c r="M174" i="3"/>
  <c r="M173" i="3"/>
  <c r="M165" i="3"/>
  <c r="M147" i="3"/>
  <c r="M137" i="3"/>
  <c r="M119" i="3"/>
  <c r="M171" i="3"/>
  <c r="M166" i="3"/>
  <c r="M156" i="3"/>
  <c r="BD55" i="2" l="1"/>
  <c r="BA85" i="2" l="1"/>
  <c r="BB34" i="2"/>
  <c r="C8" i="1" l="1"/>
  <c r="BD62" i="2"/>
  <c r="BD57" i="2"/>
  <c r="AC228" i="1" l="1"/>
  <c r="V228" i="1"/>
  <c r="AA75" i="2" l="1"/>
  <c r="AA83" i="2"/>
  <c r="AA82" i="2"/>
  <c r="Z32" i="2"/>
  <c r="BA32" i="2" s="1"/>
  <c r="AA85" i="2"/>
  <c r="AA78" i="2"/>
  <c r="AA76" i="2"/>
  <c r="AA74" i="2"/>
  <c r="AA72" i="2"/>
  <c r="AA62" i="2"/>
  <c r="AA22" i="2"/>
  <c r="AA21" i="2"/>
  <c r="AA16" i="2"/>
  <c r="AA18" i="2" s="1"/>
  <c r="AA11" i="2"/>
  <c r="AA10" i="2"/>
  <c r="AA5" i="2"/>
  <c r="AA8" i="2" s="1"/>
  <c r="Y78" i="2"/>
  <c r="AA84" i="2" l="1"/>
  <c r="AA86" i="2" s="1"/>
  <c r="AA26" i="2"/>
  <c r="AA45" i="2" s="1"/>
  <c r="AA19" i="2"/>
  <c r="AA7" i="2"/>
  <c r="AA44" i="2" l="1"/>
  <c r="AA77" i="2"/>
  <c r="AA28" i="2"/>
  <c r="AA43" i="2" s="1"/>
  <c r="AA33" i="2" l="1"/>
  <c r="AA46" i="2" s="1"/>
  <c r="AA35" i="2" l="1"/>
  <c r="AA47" i="2" l="1"/>
  <c r="AA37" i="2"/>
  <c r="AA39" i="2" s="1"/>
  <c r="AZ71" i="2"/>
  <c r="BA71" i="2"/>
  <c r="AY71" i="2"/>
  <c r="AX71" i="2"/>
  <c r="AW71" i="2"/>
  <c r="AV71" i="2"/>
  <c r="BA70" i="2"/>
  <c r="AZ70" i="2"/>
  <c r="AY70" i="2"/>
  <c r="AX70" i="2"/>
  <c r="AW70" i="2"/>
  <c r="AV70" i="2"/>
  <c r="BA69" i="2"/>
  <c r="AZ69" i="2"/>
  <c r="AY69" i="2"/>
  <c r="AX69" i="2"/>
  <c r="AW69" i="2"/>
  <c r="AV69" i="2"/>
  <c r="BA68" i="2"/>
  <c r="AZ68" i="2"/>
  <c r="AY68" i="2"/>
  <c r="AX68" i="2"/>
  <c r="AW68" i="2"/>
  <c r="AV68" i="2"/>
  <c r="BA67" i="2"/>
  <c r="AZ67" i="2"/>
  <c r="AY67" i="2"/>
  <c r="AX67" i="2"/>
  <c r="AW67" i="2"/>
  <c r="AV67" i="2"/>
  <c r="BA66" i="2"/>
  <c r="AZ66" i="2"/>
  <c r="AY66" i="2"/>
  <c r="AX66" i="2"/>
  <c r="AW66" i="2"/>
  <c r="AV66" i="2"/>
  <c r="BA65" i="2"/>
  <c r="AZ65" i="2"/>
  <c r="AY65" i="2"/>
  <c r="AX65" i="2"/>
  <c r="AW65" i="2"/>
  <c r="AV65" i="2"/>
  <c r="AV64" i="2"/>
  <c r="AW64" i="2"/>
  <c r="AX64" i="2"/>
  <c r="AY64" i="2"/>
  <c r="AZ64" i="2"/>
  <c r="BA61" i="2"/>
  <c r="AZ61" i="2"/>
  <c r="AY61" i="2"/>
  <c r="AX61" i="2"/>
  <c r="AW61" i="2"/>
  <c r="AV61" i="2"/>
  <c r="BA60" i="2"/>
  <c r="AZ60" i="2"/>
  <c r="AY60" i="2"/>
  <c r="AX60" i="2"/>
  <c r="AW60" i="2"/>
  <c r="AV60" i="2"/>
  <c r="BA59" i="2"/>
  <c r="AZ59" i="2"/>
  <c r="AY59" i="2"/>
  <c r="AX59" i="2"/>
  <c r="AW59" i="2"/>
  <c r="AV59" i="2"/>
  <c r="BA58" i="2"/>
  <c r="AZ58" i="2"/>
  <c r="AY58" i="2"/>
  <c r="AX58" i="2"/>
  <c r="AW58" i="2"/>
  <c r="AV58" i="2"/>
  <c r="BA57" i="2"/>
  <c r="AZ57" i="2"/>
  <c r="AY57" i="2"/>
  <c r="AX57" i="2"/>
  <c r="AW57" i="2"/>
  <c r="AV57" i="2"/>
  <c r="BA56" i="2"/>
  <c r="AZ56" i="2"/>
  <c r="AY56" i="2"/>
  <c r="AX56" i="2"/>
  <c r="AW56" i="2"/>
  <c r="AV56" i="2"/>
  <c r="BA55" i="2"/>
  <c r="AZ55" i="2"/>
  <c r="AY55" i="2"/>
  <c r="AX55" i="2"/>
  <c r="AW55" i="2"/>
  <c r="AV55" i="2"/>
  <c r="BA54" i="2"/>
  <c r="AZ54" i="2"/>
  <c r="AY54" i="2"/>
  <c r="AX54" i="2"/>
  <c r="AW54" i="2"/>
  <c r="AV54" i="2"/>
  <c r="BA53" i="2"/>
  <c r="AZ53" i="2"/>
  <c r="AY53" i="2"/>
  <c r="AX53" i="2"/>
  <c r="AW53" i="2"/>
  <c r="AV53" i="2"/>
  <c r="BA52" i="2"/>
  <c r="AZ52" i="2"/>
  <c r="AY52" i="2"/>
  <c r="AX52" i="2"/>
  <c r="AW52" i="2"/>
  <c r="AV52" i="2"/>
  <c r="BA51" i="2"/>
  <c r="AZ51" i="2"/>
  <c r="AY51" i="2"/>
  <c r="AX51" i="2"/>
  <c r="AW51" i="2"/>
  <c r="AV51" i="2"/>
  <c r="AV50" i="2"/>
  <c r="AW50" i="2"/>
  <c r="AX50" i="2"/>
  <c r="AY50" i="2"/>
  <c r="AZ50" i="2"/>
  <c r="BD60" i="2"/>
  <c r="AV40" i="2"/>
  <c r="AW40" i="2"/>
  <c r="AX40" i="2"/>
  <c r="AY40" i="2"/>
  <c r="AZ40" i="2"/>
  <c r="BA40" i="2"/>
  <c r="Z26" i="2"/>
  <c r="AA80" i="2" l="1"/>
  <c r="AA48" i="2"/>
  <c r="AA79" i="2"/>
  <c r="AA41" i="2"/>
  <c r="AY72" i="2"/>
  <c r="AX72" i="2"/>
  <c r="AW72" i="2"/>
  <c r="AV72" i="2"/>
  <c r="AV62" i="2"/>
  <c r="AZ72" i="2"/>
  <c r="AX62" i="2"/>
  <c r="AY62" i="2"/>
  <c r="AZ62" i="2"/>
  <c r="AW76" i="2"/>
  <c r="AW74" i="2"/>
  <c r="AX76" i="2"/>
  <c r="AW75" i="2"/>
  <c r="AW62" i="2"/>
  <c r="AV74" i="2"/>
  <c r="AV75" i="2"/>
  <c r="AV76" i="2"/>
  <c r="AX74" i="2"/>
  <c r="AX75" i="2"/>
  <c r="AY75" i="2"/>
  <c r="AY76" i="2"/>
  <c r="AZ74" i="2"/>
  <c r="AZ75" i="2"/>
  <c r="AZ76" i="2"/>
  <c r="AY74" i="2"/>
  <c r="Z3" i="2"/>
  <c r="Z4" i="2"/>
  <c r="Z14" i="2"/>
  <c r="X78" i="2" l="1"/>
  <c r="W78" i="2"/>
  <c r="U78" i="2"/>
  <c r="T78" i="2"/>
  <c r="S78" i="2"/>
  <c r="Q78" i="2"/>
  <c r="P78" i="2"/>
  <c r="O78" i="2"/>
  <c r="M78" i="2"/>
  <c r="L78" i="2"/>
  <c r="K78" i="2"/>
  <c r="I78" i="2"/>
  <c r="H78" i="2"/>
  <c r="G78" i="2"/>
  <c r="E78" i="2"/>
  <c r="D78" i="2"/>
  <c r="Y76" i="2"/>
  <c r="X76" i="2"/>
  <c r="W76" i="2"/>
  <c r="V76" i="2"/>
  <c r="U76" i="2"/>
  <c r="T76" i="2"/>
  <c r="S76" i="2"/>
  <c r="R76" i="2"/>
  <c r="Q76" i="2"/>
  <c r="P76" i="2"/>
  <c r="O76" i="2"/>
  <c r="N76" i="2"/>
  <c r="M76" i="2"/>
  <c r="L76" i="2"/>
  <c r="K76" i="2"/>
  <c r="J76" i="2"/>
  <c r="I76" i="2"/>
  <c r="H76" i="2"/>
  <c r="G76" i="2"/>
  <c r="F76" i="2"/>
  <c r="E76" i="2"/>
  <c r="D76" i="2"/>
  <c r="C76" i="2"/>
  <c r="Y75" i="2"/>
  <c r="X75" i="2"/>
  <c r="W75" i="2"/>
  <c r="V75" i="2"/>
  <c r="U75" i="2"/>
  <c r="T75" i="2"/>
  <c r="S75" i="2"/>
  <c r="R75" i="2"/>
  <c r="Q75" i="2"/>
  <c r="P75" i="2"/>
  <c r="O75" i="2"/>
  <c r="N75" i="2"/>
  <c r="M75" i="2"/>
  <c r="L75" i="2"/>
  <c r="K75" i="2"/>
  <c r="J75" i="2"/>
  <c r="I75" i="2"/>
  <c r="H75" i="2"/>
  <c r="G75" i="2"/>
  <c r="F75" i="2"/>
  <c r="E75" i="2"/>
  <c r="D75" i="2"/>
  <c r="C75" i="2"/>
  <c r="Y74" i="2"/>
  <c r="X74" i="2"/>
  <c r="W74" i="2"/>
  <c r="V74" i="2"/>
  <c r="U74" i="2"/>
  <c r="T74" i="2"/>
  <c r="S74" i="2"/>
  <c r="R74" i="2"/>
  <c r="Q74" i="2"/>
  <c r="P74" i="2"/>
  <c r="O74" i="2"/>
  <c r="N74" i="2"/>
  <c r="M74" i="2"/>
  <c r="L74" i="2"/>
  <c r="K74" i="2"/>
  <c r="J74" i="2"/>
  <c r="I74" i="2"/>
  <c r="H74" i="2"/>
  <c r="G74" i="2"/>
  <c r="F74" i="2"/>
  <c r="E74" i="2"/>
  <c r="D74" i="2"/>
  <c r="C74" i="2"/>
  <c r="Z76" i="2"/>
  <c r="Z75" i="2"/>
  <c r="Z74" i="2"/>
  <c r="J62" i="2"/>
  <c r="I62" i="2"/>
  <c r="I77" i="2" s="1"/>
  <c r="G62" i="2"/>
  <c r="G77" i="2" s="1"/>
  <c r="F62" i="2"/>
  <c r="E62" i="2"/>
  <c r="N72" i="2"/>
  <c r="M72" i="2"/>
  <c r="L72" i="2"/>
  <c r="K72" i="2"/>
  <c r="N62" i="2"/>
  <c r="M62" i="2"/>
  <c r="M77" i="2" s="1"/>
  <c r="L62" i="2"/>
  <c r="L77" i="2" s="1"/>
  <c r="K62" i="2"/>
  <c r="K77" i="2" s="1"/>
  <c r="F38" i="2"/>
  <c r="F36" i="2"/>
  <c r="F30" i="2"/>
  <c r="F32" i="2"/>
  <c r="F31" i="2"/>
  <c r="F29" i="2"/>
  <c r="F27" i="2"/>
  <c r="F78" i="2" s="1"/>
  <c r="U62" i="2"/>
  <c r="U77" i="2" s="1"/>
  <c r="BA64" i="2" l="1"/>
  <c r="BA72" i="2" s="1"/>
  <c r="BA50" i="2"/>
  <c r="BA75" i="2" l="1"/>
  <c r="BA74" i="2"/>
  <c r="BA76" i="2"/>
  <c r="BA62" i="2"/>
  <c r="Y10" i="2"/>
  <c r="Y11" i="2"/>
  <c r="X11" i="2"/>
  <c r="W11" i="2"/>
  <c r="X10" i="2"/>
  <c r="W10" i="2"/>
  <c r="D34" i="2" l="1"/>
  <c r="C34" i="2"/>
  <c r="AV38" i="2"/>
  <c r="AV36" i="2"/>
  <c r="AV32" i="2"/>
  <c r="AV31" i="2"/>
  <c r="AV30" i="2"/>
  <c r="AV29" i="2"/>
  <c r="AV27" i="2"/>
  <c r="AV78" i="2" s="1"/>
  <c r="F14" i="2"/>
  <c r="AV14" i="2" s="1"/>
  <c r="E15" i="2"/>
  <c r="D15" i="2"/>
  <c r="C15" i="2"/>
  <c r="F85" i="2"/>
  <c r="E85" i="2"/>
  <c r="D85" i="2"/>
  <c r="C85" i="2"/>
  <c r="C84" i="2"/>
  <c r="D83" i="2"/>
  <c r="E83" i="2" s="1"/>
  <c r="D82" i="2"/>
  <c r="C72" i="2"/>
  <c r="D72" i="2"/>
  <c r="E72" i="2"/>
  <c r="F72" i="2"/>
  <c r="C62" i="2"/>
  <c r="D62" i="2"/>
  <c r="E34" i="2"/>
  <c r="I21" i="2"/>
  <c r="H21" i="2"/>
  <c r="G21" i="2"/>
  <c r="C86" i="2" l="1"/>
  <c r="D84" i="2"/>
  <c r="D86" i="2" s="1"/>
  <c r="F15" i="2"/>
  <c r="F16" i="2" s="1"/>
  <c r="F26" i="2" s="1"/>
  <c r="F34" i="2"/>
  <c r="AV34" i="2" s="1"/>
  <c r="G22" i="2"/>
  <c r="AV85" i="2"/>
  <c r="E16" i="2"/>
  <c r="I22" i="2"/>
  <c r="H22" i="2"/>
  <c r="D16" i="2"/>
  <c r="D26" i="2" s="1"/>
  <c r="D77" i="2" s="1"/>
  <c r="C16" i="2"/>
  <c r="E82" i="2"/>
  <c r="E84" i="2" s="1"/>
  <c r="E86" i="2" s="1"/>
  <c r="F83" i="2"/>
  <c r="AV83" i="2" s="1"/>
  <c r="U85" i="2"/>
  <c r="W84" i="2"/>
  <c r="S84" i="2"/>
  <c r="O84" i="2"/>
  <c r="K84" i="2"/>
  <c r="G84" i="2"/>
  <c r="X83" i="2"/>
  <c r="Y83" i="2" s="1"/>
  <c r="X82" i="2"/>
  <c r="Y82" i="2" s="1"/>
  <c r="T83" i="2"/>
  <c r="U83" i="2" s="1"/>
  <c r="T82" i="2"/>
  <c r="U82" i="2" s="1"/>
  <c r="V82" i="2" s="1"/>
  <c r="P83" i="2"/>
  <c r="Q83" i="2" s="1"/>
  <c r="R83" i="2" s="1"/>
  <c r="P82" i="2"/>
  <c r="L83" i="2"/>
  <c r="M83" i="2" s="1"/>
  <c r="L82" i="2"/>
  <c r="H83" i="2"/>
  <c r="I83" i="2" s="1"/>
  <c r="H82" i="2"/>
  <c r="F44" i="2" l="1"/>
  <c r="F77" i="2"/>
  <c r="D18" i="2"/>
  <c r="P84" i="2"/>
  <c r="Q82" i="2"/>
  <c r="R82" i="2" s="1"/>
  <c r="R84" i="2" s="1"/>
  <c r="T84" i="2"/>
  <c r="D19" i="2"/>
  <c r="L84" i="2"/>
  <c r="F45" i="2"/>
  <c r="E18" i="2"/>
  <c r="E26" i="2"/>
  <c r="E77" i="2" s="1"/>
  <c r="D44" i="2"/>
  <c r="D28" i="2"/>
  <c r="D45" i="2"/>
  <c r="J83" i="2"/>
  <c r="F28" i="2"/>
  <c r="F33" i="2" s="1"/>
  <c r="F35" i="2" s="1"/>
  <c r="X84" i="2"/>
  <c r="Z83" i="2"/>
  <c r="BA83" i="2" s="1"/>
  <c r="H84" i="2"/>
  <c r="C18" i="2"/>
  <c r="C26" i="2"/>
  <c r="C77" i="2" s="1"/>
  <c r="E19" i="2"/>
  <c r="F18" i="2"/>
  <c r="F19" i="2"/>
  <c r="AV15" i="2"/>
  <c r="C19" i="2"/>
  <c r="AV16" i="2"/>
  <c r="AV18" i="2" s="1"/>
  <c r="F82" i="2"/>
  <c r="F84" i="2" s="1"/>
  <c r="F86" i="2" s="1"/>
  <c r="AV86" i="2" s="1"/>
  <c r="U84" i="2"/>
  <c r="V83" i="2"/>
  <c r="AZ83" i="2" s="1"/>
  <c r="Z82" i="2"/>
  <c r="Y84" i="2"/>
  <c r="I82" i="2"/>
  <c r="I84" i="2" s="1"/>
  <c r="N83" i="2"/>
  <c r="M82" i="2"/>
  <c r="M84" i="2" s="1"/>
  <c r="Y45" i="2"/>
  <c r="X45" i="2"/>
  <c r="W45" i="2"/>
  <c r="U45" i="2"/>
  <c r="T45" i="2"/>
  <c r="S45" i="2"/>
  <c r="Q45" i="2"/>
  <c r="P45" i="2"/>
  <c r="O45" i="2"/>
  <c r="M45" i="2"/>
  <c r="L45" i="2"/>
  <c r="K45" i="2"/>
  <c r="I45" i="2"/>
  <c r="H45" i="2"/>
  <c r="G45" i="2"/>
  <c r="Y44" i="2"/>
  <c r="X44" i="2"/>
  <c r="W44" i="2"/>
  <c r="U44" i="2"/>
  <c r="T44" i="2"/>
  <c r="S44" i="2"/>
  <c r="Q44" i="2"/>
  <c r="P44" i="2"/>
  <c r="O44" i="2"/>
  <c r="M44" i="2"/>
  <c r="L44" i="2"/>
  <c r="K44" i="2"/>
  <c r="I44" i="2"/>
  <c r="H44" i="2"/>
  <c r="G44" i="2"/>
  <c r="N29" i="2"/>
  <c r="N38" i="2"/>
  <c r="N36" i="2"/>
  <c r="J38" i="2"/>
  <c r="G34" i="2"/>
  <c r="J26" i="2"/>
  <c r="J77" i="2" s="1"/>
  <c r="J27" i="2"/>
  <c r="J78" i="2" s="1"/>
  <c r="J29" i="2"/>
  <c r="J36" i="2"/>
  <c r="J30" i="2"/>
  <c r="J32" i="2"/>
  <c r="J31" i="2"/>
  <c r="H34" i="2"/>
  <c r="I34" i="2"/>
  <c r="N32" i="2"/>
  <c r="N31" i="2"/>
  <c r="N30" i="2"/>
  <c r="N27" i="2"/>
  <c r="N78" i="2" s="1"/>
  <c r="N26" i="2"/>
  <c r="N77" i="2" s="1"/>
  <c r="R36" i="2"/>
  <c r="R32" i="2"/>
  <c r="R31" i="2"/>
  <c r="R30" i="2"/>
  <c r="R29" i="2"/>
  <c r="R27" i="2"/>
  <c r="R78" i="2" s="1"/>
  <c r="R26" i="2"/>
  <c r="O34" i="2"/>
  <c r="K34" i="2"/>
  <c r="L34" i="2"/>
  <c r="P34" i="2"/>
  <c r="L22" i="2"/>
  <c r="M34" i="2"/>
  <c r="Q34" i="2"/>
  <c r="Z36" i="2"/>
  <c r="Z34" i="2"/>
  <c r="Z31" i="2"/>
  <c r="Z30" i="2"/>
  <c r="Z29" i="2"/>
  <c r="Z27" i="2"/>
  <c r="Z78" i="2" s="1"/>
  <c r="V36" i="2"/>
  <c r="V34" i="2"/>
  <c r="V32" i="2"/>
  <c r="V31" i="2"/>
  <c r="V30" i="2"/>
  <c r="V29" i="2"/>
  <c r="V27" i="2"/>
  <c r="V78" i="2" s="1"/>
  <c r="V26" i="2"/>
  <c r="Y85" i="2"/>
  <c r="X85" i="2"/>
  <c r="W85" i="2"/>
  <c r="V85" i="2"/>
  <c r="AZ85" i="2" s="1"/>
  <c r="T85" i="2"/>
  <c r="S85" i="2"/>
  <c r="R85" i="2"/>
  <c r="Q85" i="2"/>
  <c r="P85" i="2"/>
  <c r="O85" i="2"/>
  <c r="N85" i="2"/>
  <c r="AX85" i="2" s="1"/>
  <c r="M85" i="2"/>
  <c r="L85" i="2"/>
  <c r="K85" i="2"/>
  <c r="J85" i="2"/>
  <c r="I85" i="2"/>
  <c r="H85" i="2"/>
  <c r="G85" i="2"/>
  <c r="Z85" i="2"/>
  <c r="X28" i="2"/>
  <c r="X33" i="2" s="1"/>
  <c r="X35" i="2" s="1"/>
  <c r="W28" i="2"/>
  <c r="W33" i="2" s="1"/>
  <c r="W35" i="2" s="1"/>
  <c r="U28" i="2"/>
  <c r="U33" i="2" s="1"/>
  <c r="U35" i="2" s="1"/>
  <c r="U47" i="2" s="1"/>
  <c r="T28" i="2"/>
  <c r="T43" i="2" s="1"/>
  <c r="S28" i="2"/>
  <c r="S33" i="2" s="1"/>
  <c r="S35" i="2" s="1"/>
  <c r="Q28" i="2"/>
  <c r="Q33" i="2" s="1"/>
  <c r="Q46" i="2" s="1"/>
  <c r="P28" i="2"/>
  <c r="P33" i="2" s="1"/>
  <c r="P46" i="2" s="1"/>
  <c r="O28" i="2"/>
  <c r="O33" i="2" s="1"/>
  <c r="O46" i="2" s="1"/>
  <c r="M28" i="2"/>
  <c r="M43" i="2" s="1"/>
  <c r="L28" i="2"/>
  <c r="L33" i="2" s="1"/>
  <c r="K28" i="2"/>
  <c r="K33" i="2" s="1"/>
  <c r="K46" i="2" s="1"/>
  <c r="I28" i="2"/>
  <c r="I43" i="2" s="1"/>
  <c r="H28" i="2"/>
  <c r="H33" i="2" s="1"/>
  <c r="H46" i="2" s="1"/>
  <c r="G28" i="2"/>
  <c r="G33" i="2" s="1"/>
  <c r="G46" i="2" s="1"/>
  <c r="K21" i="2"/>
  <c r="Y22" i="2"/>
  <c r="X22" i="2"/>
  <c r="W22" i="2"/>
  <c r="U22" i="2"/>
  <c r="T22" i="2"/>
  <c r="S22" i="2"/>
  <c r="Q22" i="2"/>
  <c r="P22" i="2"/>
  <c r="O22" i="2"/>
  <c r="M22" i="2"/>
  <c r="K22" i="2"/>
  <c r="Y21" i="2"/>
  <c r="X21" i="2"/>
  <c r="W21" i="2"/>
  <c r="U21" i="2"/>
  <c r="T21" i="2"/>
  <c r="S21" i="2"/>
  <c r="Q21" i="2"/>
  <c r="P21" i="2"/>
  <c r="O21" i="2"/>
  <c r="M21" i="2"/>
  <c r="L21" i="2"/>
  <c r="J15" i="2"/>
  <c r="J14" i="2"/>
  <c r="S37" i="2" l="1"/>
  <c r="S39" i="2" s="1"/>
  <c r="S41" i="2" s="1"/>
  <c r="S47" i="2"/>
  <c r="F37" i="2"/>
  <c r="F47" i="2"/>
  <c r="W37" i="2"/>
  <c r="W39" i="2" s="1"/>
  <c r="W41" i="2" s="1"/>
  <c r="W47" i="2"/>
  <c r="X37" i="2"/>
  <c r="X39" i="2" s="1"/>
  <c r="X80" i="2" s="1"/>
  <c r="X47" i="2"/>
  <c r="BA36" i="2"/>
  <c r="AZ36" i="2"/>
  <c r="AY82" i="2"/>
  <c r="Q84" i="2"/>
  <c r="Q86" i="2" s="1"/>
  <c r="F46" i="2"/>
  <c r="R45" i="2"/>
  <c r="F43" i="2"/>
  <c r="J45" i="2"/>
  <c r="C44" i="2"/>
  <c r="AV26" i="2"/>
  <c r="C45" i="2"/>
  <c r="C28" i="2"/>
  <c r="D33" i="2"/>
  <c r="D43" i="2"/>
  <c r="J21" i="2"/>
  <c r="N82" i="2"/>
  <c r="N84" i="2" s="1"/>
  <c r="N86" i="2" s="1"/>
  <c r="AV84" i="2"/>
  <c r="Z84" i="2"/>
  <c r="Z86" i="2" s="1"/>
  <c r="J22" i="2"/>
  <c r="E28" i="2"/>
  <c r="E44" i="2"/>
  <c r="E45" i="2"/>
  <c r="R44" i="2"/>
  <c r="J44" i="2"/>
  <c r="V84" i="2"/>
  <c r="AZ84" i="2" s="1"/>
  <c r="AV82" i="2"/>
  <c r="F39" i="2"/>
  <c r="AV19" i="2"/>
  <c r="J82" i="2"/>
  <c r="J84" i="2" s="1"/>
  <c r="AW84" i="2" s="1"/>
  <c r="BA82" i="2"/>
  <c r="N45" i="2"/>
  <c r="N44" i="2"/>
  <c r="R86" i="2"/>
  <c r="M86" i="2"/>
  <c r="AW83" i="2"/>
  <c r="AX83" i="2"/>
  <c r="AY83" i="2"/>
  <c r="AZ82" i="2"/>
  <c r="V44" i="2"/>
  <c r="V45" i="2"/>
  <c r="Z44" i="2"/>
  <c r="Z45" i="2"/>
  <c r="W48" i="2"/>
  <c r="S48" i="2"/>
  <c r="O86" i="2"/>
  <c r="L35" i="2"/>
  <c r="L86" i="2"/>
  <c r="T86" i="2"/>
  <c r="G86" i="2"/>
  <c r="W86" i="2"/>
  <c r="T33" i="2"/>
  <c r="T35" i="2" s="1"/>
  <c r="S46" i="2"/>
  <c r="J34" i="2"/>
  <c r="J28" i="2"/>
  <c r="J43" i="2" s="1"/>
  <c r="W46" i="2"/>
  <c r="G43" i="2"/>
  <c r="X46" i="2"/>
  <c r="I33" i="2"/>
  <c r="I35" i="2" s="1"/>
  <c r="H86" i="2"/>
  <c r="P86" i="2"/>
  <c r="X86" i="2"/>
  <c r="R34" i="2"/>
  <c r="U86" i="2"/>
  <c r="L46" i="2"/>
  <c r="U46" i="2"/>
  <c r="K43" i="2"/>
  <c r="O35" i="2"/>
  <c r="O43" i="2"/>
  <c r="P43" i="2"/>
  <c r="Q43" i="2"/>
  <c r="W43" i="2"/>
  <c r="N28" i="2"/>
  <c r="N43" i="2" s="1"/>
  <c r="N34" i="2"/>
  <c r="V28" i="2"/>
  <c r="V43" i="2" s="1"/>
  <c r="H43" i="2"/>
  <c r="P35" i="2"/>
  <c r="Y86" i="2"/>
  <c r="AY85" i="2"/>
  <c r="S43" i="2"/>
  <c r="K86" i="2"/>
  <c r="S86" i="2"/>
  <c r="I86" i="2"/>
  <c r="L43" i="2"/>
  <c r="X43" i="2"/>
  <c r="M33" i="2"/>
  <c r="K35" i="2"/>
  <c r="K47" i="2" s="1"/>
  <c r="U43" i="2"/>
  <c r="AW85" i="2"/>
  <c r="G35" i="2"/>
  <c r="H35" i="2"/>
  <c r="R28" i="2"/>
  <c r="Q35" i="2"/>
  <c r="Z28" i="2"/>
  <c r="U37" i="2"/>
  <c r="U39" i="2" s="1"/>
  <c r="S80" i="2" l="1"/>
  <c r="W80" i="2"/>
  <c r="X41" i="2"/>
  <c r="O37" i="2"/>
  <c r="O39" i="2" s="1"/>
  <c r="O41" i="2" s="1"/>
  <c r="O47" i="2"/>
  <c r="T37" i="2"/>
  <c r="T39" i="2" s="1"/>
  <c r="T41" i="2" s="1"/>
  <c r="T47" i="2"/>
  <c r="P37" i="2"/>
  <c r="P39" i="2" s="1"/>
  <c r="P80" i="2" s="1"/>
  <c r="P47" i="2"/>
  <c r="X48" i="2"/>
  <c r="I37" i="2"/>
  <c r="I39" i="2" s="1"/>
  <c r="I80" i="2" s="1"/>
  <c r="I47" i="2"/>
  <c r="G37" i="2"/>
  <c r="G39" i="2" s="1"/>
  <c r="G80" i="2" s="1"/>
  <c r="G47" i="2"/>
  <c r="H37" i="2"/>
  <c r="H39" i="2" s="1"/>
  <c r="H41" i="2" s="1"/>
  <c r="H47" i="2"/>
  <c r="Q37" i="2"/>
  <c r="Q39" i="2" s="1"/>
  <c r="Q48" i="2" s="1"/>
  <c r="Q47" i="2"/>
  <c r="L37" i="2"/>
  <c r="L39" i="2" s="1"/>
  <c r="L80" i="2" s="1"/>
  <c r="L47" i="2"/>
  <c r="AV28" i="2"/>
  <c r="AV33" i="2" s="1"/>
  <c r="AV35" i="2" s="1"/>
  <c r="AV77" i="2"/>
  <c r="V86" i="2"/>
  <c r="AZ86" i="2" s="1"/>
  <c r="L79" i="2"/>
  <c r="I79" i="2"/>
  <c r="F79" i="2"/>
  <c r="F80" i="2"/>
  <c r="O80" i="2"/>
  <c r="U79" i="2"/>
  <c r="U80" i="2"/>
  <c r="AW82" i="2"/>
  <c r="AX82" i="2"/>
  <c r="BA84" i="2"/>
  <c r="E33" i="2"/>
  <c r="E43" i="2"/>
  <c r="D35" i="2"/>
  <c r="D46" i="2"/>
  <c r="C33" i="2"/>
  <c r="C43" i="2"/>
  <c r="AV44" i="2"/>
  <c r="AV45" i="2"/>
  <c r="F48" i="2"/>
  <c r="F41" i="2"/>
  <c r="AY84" i="2"/>
  <c r="AX84" i="2"/>
  <c r="J86" i="2"/>
  <c r="AW86" i="2" s="1"/>
  <c r="AY86" i="2"/>
  <c r="H48" i="2"/>
  <c r="O48" i="2"/>
  <c r="U41" i="2"/>
  <c r="U48" i="2"/>
  <c r="I41" i="2"/>
  <c r="I48" i="2"/>
  <c r="T46" i="2"/>
  <c r="L41" i="2"/>
  <c r="L48" i="2"/>
  <c r="G41" i="2"/>
  <c r="J33" i="2"/>
  <c r="J35" i="2" s="1"/>
  <c r="AX86" i="2"/>
  <c r="BA86" i="2"/>
  <c r="M35" i="2"/>
  <c r="M46" i="2"/>
  <c r="I46" i="2"/>
  <c r="K37" i="2"/>
  <c r="K39" i="2" s="1"/>
  <c r="N33" i="2"/>
  <c r="V33" i="2"/>
  <c r="R33" i="2"/>
  <c r="R43" i="2"/>
  <c r="Z33" i="2"/>
  <c r="Z43" i="2"/>
  <c r="G48" i="2" l="1"/>
  <c r="T80" i="2"/>
  <c r="T48" i="2"/>
  <c r="Q80" i="2"/>
  <c r="Q41" i="2"/>
  <c r="G79" i="2"/>
  <c r="AV37" i="2"/>
  <c r="AV39" i="2" s="1"/>
  <c r="AV79" i="2" s="1"/>
  <c r="AV47" i="2"/>
  <c r="D37" i="2"/>
  <c r="D39" i="2" s="1"/>
  <c r="D48" i="2" s="1"/>
  <c r="D47" i="2"/>
  <c r="H80" i="2"/>
  <c r="M37" i="2"/>
  <c r="M39" i="2" s="1"/>
  <c r="M41" i="2" s="1"/>
  <c r="M47" i="2"/>
  <c r="J37" i="2"/>
  <c r="J39" i="2" s="1"/>
  <c r="J79" i="2" s="1"/>
  <c r="J47" i="2"/>
  <c r="P48" i="2"/>
  <c r="P41" i="2"/>
  <c r="AV43" i="2"/>
  <c r="K80" i="2"/>
  <c r="K79" i="2"/>
  <c r="C46" i="2"/>
  <c r="AV46" i="2"/>
  <c r="C35" i="2"/>
  <c r="C47" i="2" s="1"/>
  <c r="E46" i="2"/>
  <c r="E35" i="2"/>
  <c r="K41" i="2"/>
  <c r="K48" i="2"/>
  <c r="J46" i="2"/>
  <c r="N35" i="2"/>
  <c r="N46" i="2"/>
  <c r="Z35" i="2"/>
  <c r="Z46" i="2"/>
  <c r="R35" i="2"/>
  <c r="R46" i="2"/>
  <c r="V35" i="2"/>
  <c r="V46" i="2"/>
  <c r="V14" i="2"/>
  <c r="Z15" i="2"/>
  <c r="N15" i="2"/>
  <c r="N14" i="2"/>
  <c r="R15" i="2"/>
  <c r="R14" i="2"/>
  <c r="M16" i="2"/>
  <c r="Q16" i="2"/>
  <c r="V15" i="2"/>
  <c r="V4" i="2"/>
  <c r="V3" i="2"/>
  <c r="Z10" i="2" s="1"/>
  <c r="G72" i="2"/>
  <c r="AV80" i="2" l="1"/>
  <c r="D80" i="2"/>
  <c r="Z37" i="2"/>
  <c r="Z39" i="2" s="1"/>
  <c r="Z47" i="2"/>
  <c r="J48" i="2"/>
  <c r="J80" i="2"/>
  <c r="E37" i="2"/>
  <c r="E39" i="2" s="1"/>
  <c r="E79" i="2" s="1"/>
  <c r="E47" i="2"/>
  <c r="D79" i="2"/>
  <c r="J41" i="2"/>
  <c r="N37" i="2"/>
  <c r="N39" i="2" s="1"/>
  <c r="N47" i="2"/>
  <c r="M48" i="2"/>
  <c r="M80" i="2"/>
  <c r="M79" i="2"/>
  <c r="V37" i="2"/>
  <c r="V39" i="2" s="1"/>
  <c r="V80" i="2" s="1"/>
  <c r="V47" i="2"/>
  <c r="D41" i="2"/>
  <c r="R37" i="2"/>
  <c r="R47" i="2"/>
  <c r="N79" i="2"/>
  <c r="N80" i="2"/>
  <c r="Z41" i="2"/>
  <c r="Z80" i="2"/>
  <c r="Z11" i="2"/>
  <c r="C37" i="2"/>
  <c r="Z48" i="2"/>
  <c r="N41" i="2"/>
  <c r="N48" i="2"/>
  <c r="R39" i="2"/>
  <c r="V5" i="2"/>
  <c r="Z5" i="2"/>
  <c r="N22" i="2"/>
  <c r="V22" i="2"/>
  <c r="Q18" i="2"/>
  <c r="Q23" i="2"/>
  <c r="Q19" i="2"/>
  <c r="Z16" i="2"/>
  <c r="Z19" i="2" s="1"/>
  <c r="R16" i="2"/>
  <c r="R19" i="2" s="1"/>
  <c r="R22" i="2"/>
  <c r="N21" i="2"/>
  <c r="M19" i="2"/>
  <c r="M18" i="2"/>
  <c r="V21" i="2"/>
  <c r="R21" i="2"/>
  <c r="V16" i="2"/>
  <c r="V19" i="2" s="1"/>
  <c r="N16" i="2"/>
  <c r="N18" i="2" s="1"/>
  <c r="Z21" i="2"/>
  <c r="Z22" i="2"/>
  <c r="V41" i="2" l="1"/>
  <c r="V48" i="2"/>
  <c r="E80" i="2"/>
  <c r="E41" i="2"/>
  <c r="E48" i="2"/>
  <c r="Z12" i="2"/>
  <c r="R80" i="2"/>
  <c r="C39" i="2"/>
  <c r="R41" i="2"/>
  <c r="R48" i="2"/>
  <c r="R18" i="2"/>
  <c r="Z18" i="2"/>
  <c r="V18" i="2"/>
  <c r="R23" i="2"/>
  <c r="V23" i="2"/>
  <c r="N19" i="2"/>
  <c r="C80" i="2" l="1"/>
  <c r="C79" i="2"/>
  <c r="C48" i="2"/>
  <c r="C41" i="2"/>
  <c r="AV48" i="2"/>
  <c r="BA4" i="2"/>
  <c r="BB4" i="2" s="1"/>
  <c r="BA3" i="2"/>
  <c r="BB3" i="2" s="1"/>
  <c r="BA34" i="2"/>
  <c r="BA31" i="2"/>
  <c r="BA30" i="2"/>
  <c r="BA29" i="2"/>
  <c r="BA27" i="2"/>
  <c r="BA78" i="2" s="1"/>
  <c r="BA15" i="2"/>
  <c r="BA14" i="2"/>
  <c r="AZ34" i="2"/>
  <c r="AZ32" i="2"/>
  <c r="AZ31" i="2"/>
  <c r="AZ30" i="2"/>
  <c r="AZ29" i="2"/>
  <c r="AZ27" i="2"/>
  <c r="AZ78" i="2" s="1"/>
  <c r="AZ15" i="2"/>
  <c r="AZ14" i="2"/>
  <c r="AZ4" i="2"/>
  <c r="AZ3" i="2"/>
  <c r="Z72" i="2"/>
  <c r="Z62" i="2"/>
  <c r="AY36" i="2"/>
  <c r="AY34" i="2"/>
  <c r="AY32" i="2"/>
  <c r="AY31" i="2"/>
  <c r="AY30" i="2"/>
  <c r="AY29" i="2"/>
  <c r="AY27" i="2"/>
  <c r="AY78" i="2" s="1"/>
  <c r="AY15" i="2"/>
  <c r="AY14" i="2"/>
  <c r="AX36" i="2"/>
  <c r="AX34" i="2"/>
  <c r="AX32" i="2"/>
  <c r="AX31" i="2"/>
  <c r="AX30" i="2"/>
  <c r="AX29" i="2"/>
  <c r="AX27" i="2"/>
  <c r="AX78" i="2" s="1"/>
  <c r="AX15" i="2"/>
  <c r="AX14" i="2"/>
  <c r="AW36" i="2"/>
  <c r="AW34" i="2"/>
  <c r="AW32" i="2"/>
  <c r="AW31" i="2"/>
  <c r="AW30" i="2"/>
  <c r="AW29" i="2"/>
  <c r="AW27" i="2"/>
  <c r="AW78" i="2" s="1"/>
  <c r="AW15" i="2"/>
  <c r="AW14" i="2"/>
  <c r="Y72" i="2"/>
  <c r="X72" i="2"/>
  <c r="W72" i="2"/>
  <c r="V72" i="2"/>
  <c r="U72" i="2"/>
  <c r="T72" i="2"/>
  <c r="S72" i="2"/>
  <c r="R72" i="2"/>
  <c r="Q72" i="2"/>
  <c r="P72" i="2"/>
  <c r="O72" i="2"/>
  <c r="J72" i="2"/>
  <c r="I72" i="2"/>
  <c r="H72" i="2"/>
  <c r="X62" i="2"/>
  <c r="W62" i="2"/>
  <c r="V62" i="2"/>
  <c r="T62" i="2"/>
  <c r="S62" i="2"/>
  <c r="R62" i="2"/>
  <c r="Q62" i="2"/>
  <c r="P62" i="2"/>
  <c r="O62" i="2"/>
  <c r="H62" i="2"/>
  <c r="Y62" i="2"/>
  <c r="Y77" i="2" s="1"/>
  <c r="X16" i="2"/>
  <c r="W16" i="2"/>
  <c r="AA23" i="2" s="1"/>
  <c r="U16" i="2"/>
  <c r="T16" i="2"/>
  <c r="S16" i="2"/>
  <c r="P16" i="2"/>
  <c r="O16" i="2"/>
  <c r="L16" i="2"/>
  <c r="K16" i="2"/>
  <c r="J16" i="2"/>
  <c r="I16" i="2"/>
  <c r="H16" i="2"/>
  <c r="G16" i="2"/>
  <c r="Y16" i="2"/>
  <c r="X5" i="2"/>
  <c r="W5" i="2"/>
  <c r="U5" i="2"/>
  <c r="U8" i="2" s="1"/>
  <c r="T5" i="2"/>
  <c r="T7" i="2" s="1"/>
  <c r="S5" i="2"/>
  <c r="Y5" i="2"/>
  <c r="Y7" i="2" s="1"/>
  <c r="W8" i="2" l="1"/>
  <c r="AA12" i="2"/>
  <c r="BC4" i="2"/>
  <c r="BD4" i="2" s="1"/>
  <c r="BE4" i="2" s="1"/>
  <c r="BF4" i="2" s="1"/>
  <c r="BG4" i="2" s="1"/>
  <c r="BH4" i="2" s="1"/>
  <c r="BI4" i="2" s="1"/>
  <c r="BJ4" i="2" s="1"/>
  <c r="BK4" i="2" s="1"/>
  <c r="V77" i="2"/>
  <c r="V79" i="2"/>
  <c r="W77" i="2"/>
  <c r="W79" i="2"/>
  <c r="X77" i="2"/>
  <c r="X79" i="2"/>
  <c r="BC3" i="2"/>
  <c r="BB5" i="2"/>
  <c r="BB8" i="2" s="1"/>
  <c r="H77" i="2"/>
  <c r="H79" i="2"/>
  <c r="O77" i="2"/>
  <c r="O79" i="2"/>
  <c r="Q77" i="2"/>
  <c r="Q79" i="2"/>
  <c r="P77" i="2"/>
  <c r="P79" i="2"/>
  <c r="Z77" i="2"/>
  <c r="Z79" i="2"/>
  <c r="R77" i="2"/>
  <c r="R79" i="2"/>
  <c r="S77" i="2"/>
  <c r="S79" i="2"/>
  <c r="T77" i="2"/>
  <c r="T79" i="2"/>
  <c r="BA10" i="2"/>
  <c r="BA11" i="2"/>
  <c r="AX22" i="2"/>
  <c r="AY21" i="2"/>
  <c r="AW21" i="2"/>
  <c r="AW22" i="2"/>
  <c r="J23" i="2"/>
  <c r="J19" i="2"/>
  <c r="J18" i="2"/>
  <c r="AY22" i="2"/>
  <c r="AV41" i="2"/>
  <c r="G19" i="2"/>
  <c r="G18" i="2"/>
  <c r="G23" i="2"/>
  <c r="AZ22" i="2"/>
  <c r="H19" i="2"/>
  <c r="H18" i="2"/>
  <c r="H23" i="2"/>
  <c r="I18" i="2"/>
  <c r="I19" i="2"/>
  <c r="I23" i="2"/>
  <c r="AX21" i="2"/>
  <c r="AZ21" i="2"/>
  <c r="BA21" i="2"/>
  <c r="BA22" i="2"/>
  <c r="S19" i="2"/>
  <c r="S18" i="2"/>
  <c r="S23" i="2"/>
  <c r="M23" i="2"/>
  <c r="T19" i="2"/>
  <c r="T18" i="2"/>
  <c r="T23" i="2"/>
  <c r="U19" i="2"/>
  <c r="U18" i="2"/>
  <c r="U23" i="2"/>
  <c r="N23" i="2"/>
  <c r="W18" i="2"/>
  <c r="W23" i="2"/>
  <c r="W19" i="2"/>
  <c r="K19" i="2"/>
  <c r="K18" i="2"/>
  <c r="K23" i="2"/>
  <c r="X18" i="2"/>
  <c r="X23" i="2"/>
  <c r="X19" i="2"/>
  <c r="L19" i="2"/>
  <c r="L18" i="2"/>
  <c r="L23" i="2"/>
  <c r="X12" i="2"/>
  <c r="O18" i="2"/>
  <c r="O23" i="2"/>
  <c r="O19" i="2"/>
  <c r="Y18" i="2"/>
  <c r="Y23" i="2"/>
  <c r="Y19" i="2"/>
  <c r="P18" i="2"/>
  <c r="P23" i="2"/>
  <c r="P19" i="2"/>
  <c r="AY16" i="2"/>
  <c r="AY19" i="2" s="1"/>
  <c r="AW16" i="2"/>
  <c r="AW23" i="2" s="1"/>
  <c r="AX16" i="2"/>
  <c r="S8" i="2"/>
  <c r="S7" i="2"/>
  <c r="BA16" i="2"/>
  <c r="W12" i="2"/>
  <c r="AZ16" i="2"/>
  <c r="AZ18" i="2" s="1"/>
  <c r="T8" i="2"/>
  <c r="X8" i="2"/>
  <c r="Z7" i="2"/>
  <c r="U7" i="2"/>
  <c r="AZ5" i="2"/>
  <c r="Y8" i="2"/>
  <c r="Y12" i="2"/>
  <c r="W7" i="2"/>
  <c r="X7" i="2"/>
  <c r="BB7" i="2" l="1"/>
  <c r="BC5" i="2"/>
  <c r="BC8" i="2" s="1"/>
  <c r="BD3" i="2"/>
  <c r="BB26" i="2"/>
  <c r="AX23" i="2"/>
  <c r="AZ19" i="2"/>
  <c r="AW18" i="2"/>
  <c r="AY18" i="2"/>
  <c r="AZ23" i="2"/>
  <c r="AW19" i="2"/>
  <c r="AX19" i="2"/>
  <c r="AY23" i="2"/>
  <c r="AX18" i="2"/>
  <c r="BA23" i="2"/>
  <c r="BA19" i="2"/>
  <c r="BA18" i="2"/>
  <c r="AW26" i="2"/>
  <c r="AX26" i="2"/>
  <c r="AY26" i="2"/>
  <c r="AY28" i="2" s="1"/>
  <c r="AY33" i="2" s="1"/>
  <c r="AY35" i="2" s="1"/>
  <c r="BA5" i="2"/>
  <c r="BA12" i="2" s="1"/>
  <c r="BA7" i="2"/>
  <c r="Z23" i="2"/>
  <c r="V7" i="2"/>
  <c r="V8" i="2"/>
  <c r="Z8" i="2"/>
  <c r="BA8" i="2" s="1"/>
  <c r="Y28" i="2"/>
  <c r="Y43" i="2" s="1"/>
  <c r="BA26" i="2"/>
  <c r="AZ2" i="2"/>
  <c r="BA2" i="2" s="1"/>
  <c r="BB2" i="2" s="1"/>
  <c r="BC2" i="2" s="1"/>
  <c r="BD2" i="2" s="1"/>
  <c r="BE2" i="2" s="1"/>
  <c r="BF2" i="2" s="1"/>
  <c r="BG2" i="2" s="1"/>
  <c r="BH2" i="2" s="1"/>
  <c r="BI2" i="2" s="1"/>
  <c r="BJ2" i="2" s="1"/>
  <c r="BK2" i="2" s="1"/>
  <c r="BL2" i="2" s="1"/>
  <c r="BM2" i="2" s="1"/>
  <c r="BN2" i="2" s="1"/>
  <c r="BO2" i="2" s="1"/>
  <c r="BP2" i="2" s="1"/>
  <c r="BQ2" i="2" s="1"/>
  <c r="BR2" i="2" s="1"/>
  <c r="BS2" i="2" s="1"/>
  <c r="BT2" i="2" s="1"/>
  <c r="BU2" i="2" s="1"/>
  <c r="BV2" i="2" s="1"/>
  <c r="BW2" i="2" s="1"/>
  <c r="BX2" i="2" s="1"/>
  <c r="BY2" i="2" s="1"/>
  <c r="BZ2" i="2" s="1"/>
  <c r="CA2" i="2" s="1"/>
  <c r="CB2" i="2" s="1"/>
  <c r="CC2" i="2" s="1"/>
  <c r="CD2" i="2" s="1"/>
  <c r="CE2" i="2" s="1"/>
  <c r="CF2" i="2" s="1"/>
  <c r="CG2" i="2" s="1"/>
  <c r="CH2" i="2" s="1"/>
  <c r="CI2" i="2" s="1"/>
  <c r="CJ2" i="2" s="1"/>
  <c r="CK2" i="2" s="1"/>
  <c r="CL2" i="2" s="1"/>
  <c r="CM2" i="2" s="1"/>
  <c r="CN2" i="2" s="1"/>
  <c r="CO2" i="2" s="1"/>
  <c r="C7" i="1"/>
  <c r="AY37" i="2" l="1"/>
  <c r="AY39" i="2" s="1"/>
  <c r="AY47" i="2"/>
  <c r="BC12" i="2"/>
  <c r="BC26" i="2"/>
  <c r="BC27" i="2" s="1"/>
  <c r="BC28" i="2" s="1"/>
  <c r="AX28" i="2"/>
  <c r="AX33" i="2" s="1"/>
  <c r="AX35" i="2" s="1"/>
  <c r="AX77" i="2"/>
  <c r="AW28" i="2"/>
  <c r="AW33" i="2" s="1"/>
  <c r="AW35" i="2" s="1"/>
  <c r="AW77" i="2"/>
  <c r="BA28" i="2"/>
  <c r="BA77" i="2"/>
  <c r="AY77" i="2"/>
  <c r="BC7" i="2"/>
  <c r="BD5" i="2"/>
  <c r="BD7" i="2" s="1"/>
  <c r="BE3" i="2"/>
  <c r="BA44" i="2"/>
  <c r="BA45" i="2"/>
  <c r="BB27" i="2"/>
  <c r="BB28" i="2" s="1"/>
  <c r="BB30" i="2"/>
  <c r="BB29" i="2"/>
  <c r="BB12" i="2"/>
  <c r="AY46" i="2"/>
  <c r="AX45" i="2"/>
  <c r="AX44" i="2"/>
  <c r="AY44" i="2"/>
  <c r="AY45" i="2"/>
  <c r="AY43" i="2"/>
  <c r="AW44" i="2"/>
  <c r="AW45" i="2"/>
  <c r="AZ7" i="2"/>
  <c r="AZ26" i="2"/>
  <c r="AZ8" i="2"/>
  <c r="Y33" i="2"/>
  <c r="C10" i="1"/>
  <c r="AW37" i="2" l="1"/>
  <c r="AW39" i="2" s="1"/>
  <c r="AW47" i="2"/>
  <c r="AX43" i="2"/>
  <c r="AX37" i="2"/>
  <c r="AX39" i="2" s="1"/>
  <c r="AX47" i="2"/>
  <c r="BA33" i="2"/>
  <c r="BA35" i="2" s="1"/>
  <c r="BC30" i="2"/>
  <c r="BC29" i="2"/>
  <c r="AZ28" i="2"/>
  <c r="AZ33" i="2" s="1"/>
  <c r="AZ35" i="2" s="1"/>
  <c r="AZ77" i="2"/>
  <c r="BA43" i="2"/>
  <c r="AW46" i="2"/>
  <c r="AW43" i="2"/>
  <c r="BE5" i="2"/>
  <c r="BE26" i="2" s="1"/>
  <c r="BE29" i="2" s="1"/>
  <c r="BF3" i="2"/>
  <c r="BD26" i="2"/>
  <c r="BD30" i="2" s="1"/>
  <c r="BD12" i="2"/>
  <c r="BD8" i="2"/>
  <c r="BB33" i="2"/>
  <c r="BB46" i="2" s="1"/>
  <c r="AZ44" i="2"/>
  <c r="AZ45" i="2"/>
  <c r="Y35" i="2"/>
  <c r="Y47" i="2" s="1"/>
  <c r="Y46" i="2"/>
  <c r="AX46" i="2"/>
  <c r="AY41" i="2"/>
  <c r="BA37" i="2" l="1"/>
  <c r="BA39" i="2" s="1"/>
  <c r="BA47" i="2"/>
  <c r="BD29" i="2"/>
  <c r="BD27" i="2"/>
  <c r="BD28" i="2" s="1"/>
  <c r="AZ37" i="2"/>
  <c r="AZ39" i="2" s="1"/>
  <c r="AZ47" i="2"/>
  <c r="BA46" i="2"/>
  <c r="BC33" i="2"/>
  <c r="BC46" i="2" s="1"/>
  <c r="AZ43" i="2"/>
  <c r="AZ46" i="2"/>
  <c r="BE30" i="2"/>
  <c r="BE7" i="2"/>
  <c r="BE8" i="2"/>
  <c r="BE12" i="2"/>
  <c r="BE27" i="2"/>
  <c r="BE28" i="2" s="1"/>
  <c r="AY48" i="2"/>
  <c r="AY80" i="2"/>
  <c r="AY79" i="2"/>
  <c r="BF5" i="2"/>
  <c r="BF7" i="2" s="1"/>
  <c r="BG3" i="2"/>
  <c r="BD33" i="2"/>
  <c r="BD46" i="2" s="1"/>
  <c r="BB35" i="2"/>
  <c r="BB36" i="2" s="1"/>
  <c r="AW41" i="2"/>
  <c r="Y37" i="2"/>
  <c r="Y39" i="2" s="1"/>
  <c r="BE33" i="2" l="1"/>
  <c r="BE46" i="2" s="1"/>
  <c r="AW48" i="2"/>
  <c r="AW80" i="2"/>
  <c r="AW79" i="2"/>
  <c r="BG5" i="2"/>
  <c r="BG7" i="2" s="1"/>
  <c r="BH3" i="2"/>
  <c r="BF8" i="2"/>
  <c r="BF26" i="2"/>
  <c r="BF12" i="2"/>
  <c r="Y79" i="2"/>
  <c r="Y80" i="2"/>
  <c r="Y41" i="2"/>
  <c r="Y48" i="2"/>
  <c r="AX41" i="2"/>
  <c r="AX48" i="2" l="1"/>
  <c r="AX80" i="2"/>
  <c r="AX79" i="2"/>
  <c r="AZ48" i="2"/>
  <c r="AZ80" i="2"/>
  <c r="AZ79" i="2"/>
  <c r="BI3" i="2"/>
  <c r="BH5" i="2"/>
  <c r="BH12" i="2" s="1"/>
  <c r="BF30" i="2"/>
  <c r="BF29" i="2"/>
  <c r="BF27" i="2"/>
  <c r="BF28" i="2" s="1"/>
  <c r="BG26" i="2"/>
  <c r="BG8" i="2"/>
  <c r="BG12" i="2"/>
  <c r="BA41" i="2"/>
  <c r="AZ41" i="2"/>
  <c r="BA48" i="2" l="1"/>
  <c r="BA80" i="2"/>
  <c r="BA79" i="2"/>
  <c r="BF33" i="2"/>
  <c r="BF46" i="2" s="1"/>
  <c r="BH8" i="2"/>
  <c r="BH26" i="2"/>
  <c r="BG30" i="2"/>
  <c r="BG29" i="2"/>
  <c r="BG27" i="2"/>
  <c r="BG28" i="2" s="1"/>
  <c r="BH7" i="2"/>
  <c r="BJ3" i="2"/>
  <c r="BI5" i="2"/>
  <c r="BG33" i="2" l="1"/>
  <c r="BG46" i="2" s="1"/>
  <c r="BI26" i="2"/>
  <c r="BI12" i="2"/>
  <c r="BI8" i="2"/>
  <c r="BH30" i="2"/>
  <c r="BH27" i="2"/>
  <c r="BH28" i="2" s="1"/>
  <c r="BH29" i="2"/>
  <c r="BK3" i="2"/>
  <c r="BJ5" i="2"/>
  <c r="BJ7" i="2" s="1"/>
  <c r="BI7" i="2"/>
  <c r="BH33" i="2" l="1"/>
  <c r="BH46" i="2" s="1"/>
  <c r="BK5" i="2"/>
  <c r="BK7" i="2" s="1"/>
  <c r="BJ12" i="2"/>
  <c r="BJ26" i="2"/>
  <c r="BJ8" i="2"/>
  <c r="BI30" i="2"/>
  <c r="BI27" i="2"/>
  <c r="BI28" i="2" s="1"/>
  <c r="BI29" i="2"/>
  <c r="BI33" i="2" l="1"/>
  <c r="BI46" i="2" s="1"/>
  <c r="BJ30" i="2"/>
  <c r="BJ29" i="2"/>
  <c r="BJ27" i="2"/>
  <c r="BJ28" i="2" s="1"/>
  <c r="BK26" i="2"/>
  <c r="BK12" i="2"/>
  <c r="BK8" i="2"/>
  <c r="BJ33" i="2" l="1"/>
  <c r="BJ46" i="2" s="1"/>
  <c r="BK29" i="2"/>
  <c r="BK30" i="2"/>
  <c r="BK27" i="2"/>
  <c r="BK28" i="2" s="1"/>
  <c r="BK33" i="2" l="1"/>
  <c r="BK46" i="2" s="1"/>
  <c r="BB37" i="2" l="1"/>
  <c r="BB39" i="2" s="1"/>
  <c r="BB48" i="2" l="1"/>
  <c r="BB41" i="2"/>
  <c r="BB50" i="2"/>
  <c r="BC34" i="2" l="1"/>
  <c r="BC35" i="2" s="1"/>
  <c r="BC36" i="2" s="1"/>
  <c r="BC37" i="2" l="1"/>
  <c r="BC39" i="2" s="1"/>
  <c r="BC48" i="2" l="1"/>
  <c r="BC41" i="2"/>
  <c r="BC50" i="2"/>
  <c r="BD34" i="2" l="1"/>
  <c r="BD35" i="2" s="1"/>
  <c r="BD36" i="2" s="1"/>
  <c r="BD37" i="2" l="1"/>
  <c r="BD39" i="2" s="1"/>
  <c r="BD41" i="2" l="1"/>
  <c r="BD48" i="2"/>
  <c r="BD50" i="2"/>
  <c r="BE34" i="2" l="1"/>
  <c r="BE35" i="2" s="1"/>
  <c r="BE36" i="2" s="1"/>
  <c r="BE37" i="2" l="1"/>
  <c r="BE39" i="2" s="1"/>
  <c r="BE41" i="2" l="1"/>
  <c r="BE48" i="2"/>
  <c r="BE50" i="2"/>
  <c r="BF34" i="2" l="1"/>
  <c r="BF35" i="2" s="1"/>
  <c r="BF36" i="2" s="1"/>
  <c r="BF37" i="2" l="1"/>
  <c r="BF39" i="2" s="1"/>
  <c r="BF48" i="2" l="1"/>
  <c r="BF41" i="2"/>
  <c r="BF50" i="2"/>
  <c r="BG34" i="2" l="1"/>
  <c r="BG35" i="2" s="1"/>
  <c r="BG36" i="2" s="1"/>
  <c r="BG37" i="2" l="1"/>
  <c r="BG39" i="2" s="1"/>
  <c r="BG48" i="2" l="1"/>
  <c r="BG41" i="2"/>
  <c r="BG50" i="2"/>
  <c r="BH34" i="2" l="1"/>
  <c r="BH35" i="2" s="1"/>
  <c r="BH36" i="2" s="1"/>
  <c r="BH37" i="2" l="1"/>
  <c r="BH39" i="2" s="1"/>
  <c r="BH48" i="2" l="1"/>
  <c r="BH41" i="2"/>
  <c r="BH50" i="2"/>
  <c r="BI34" i="2" l="1"/>
  <c r="BI35" i="2" s="1"/>
  <c r="BI36" i="2" s="1"/>
  <c r="BI37" i="2" l="1"/>
  <c r="BI39" i="2" s="1"/>
  <c r="BI48" i="2" l="1"/>
  <c r="BI41" i="2"/>
  <c r="BI50" i="2"/>
  <c r="BJ34" i="2" l="1"/>
  <c r="BJ35" i="2" s="1"/>
  <c r="BJ36" i="2" s="1"/>
  <c r="BJ37" i="2" l="1"/>
  <c r="BJ39" i="2" s="1"/>
  <c r="BJ41" i="2" l="1"/>
  <c r="BJ48" i="2"/>
  <c r="BJ50" i="2"/>
  <c r="BK34" i="2" l="1"/>
  <c r="BK35" i="2" s="1"/>
  <c r="BK36" i="2" s="1"/>
  <c r="BK37" i="2" l="1"/>
  <c r="BK39" i="2" s="1"/>
  <c r="BK48" i="2" l="1"/>
  <c r="BK41" i="2"/>
  <c r="BL39" i="2"/>
  <c r="BM39" i="2" s="1"/>
  <c r="BN39" i="2" s="1"/>
  <c r="BO39" i="2" s="1"/>
  <c r="BP39" i="2" s="1"/>
  <c r="BQ39" i="2" s="1"/>
  <c r="BR39" i="2" s="1"/>
  <c r="BS39" i="2" s="1"/>
  <c r="BT39" i="2" s="1"/>
  <c r="BU39" i="2" s="1"/>
  <c r="BV39" i="2" s="1"/>
  <c r="BW39" i="2" s="1"/>
  <c r="BX39" i="2" s="1"/>
  <c r="BY39" i="2" s="1"/>
  <c r="BZ39" i="2" s="1"/>
  <c r="CA39" i="2" s="1"/>
  <c r="CB39" i="2" s="1"/>
  <c r="CC39" i="2" s="1"/>
  <c r="CD39" i="2" s="1"/>
  <c r="CE39" i="2" s="1"/>
  <c r="CF39" i="2" s="1"/>
  <c r="CG39" i="2" s="1"/>
  <c r="CH39" i="2" s="1"/>
  <c r="CI39" i="2" s="1"/>
  <c r="CJ39" i="2" s="1"/>
  <c r="CK39" i="2" s="1"/>
  <c r="CL39" i="2" s="1"/>
  <c r="CM39" i="2" s="1"/>
  <c r="CN39" i="2" s="1"/>
  <c r="CO39" i="2" s="1"/>
  <c r="BD59" i="2" s="1"/>
  <c r="BK50" i="2"/>
  <c r="BD61" i="2" l="1"/>
  <c r="BD63" i="2" l="1"/>
  <c r="BE6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tc={DB091BD2-E92B-4C65-84CF-37435A1596A1}</author>
    <author>tc={92B3D3CD-DC2C-48F4-A1D7-C377F3162060}</author>
  </authors>
  <commentList>
    <comment ref="BB41" authorId="0" shapeId="0" xr:uid="{DB091BD2-E92B-4C65-84CF-37435A1596A1}">
      <text>
        <t>[Threaded comment]
Your version of Excel allows you to read this threaded comment; however, any edits to it will get removed if the file is opened in a newer version of Excel. Learn more: https://go.microsoft.com/fwlink/?linkid=870924
Comment:
    Low: 3.37 High: 3.88 Avg: 3.66 (3/30/25)
Excluded one-time write-down of immersive (non-operating)</t>
      </text>
    </comment>
    <comment ref="BC41" authorId="1" shapeId="0" xr:uid="{92B3D3CD-DC2C-48F4-A1D7-C377F3162060}">
      <text>
        <t>[Threaded comment]
Your version of Excel allows you to read this threaded comment; however, any edits to it will get removed if the file is opened in a newer version of Excel. Learn more: https://go.microsoft.com/fwlink/?linkid=870924
Comment:
    Low: 4.29 High: 5.60 Avg: 4.94 (3/30/25)</t>
      </text>
    </comment>
  </commentList>
</comments>
</file>

<file path=xl/sharedStrings.xml><?xml version="1.0" encoding="utf-8"?>
<sst xmlns="http://schemas.openxmlformats.org/spreadsheetml/2006/main" count="1789" uniqueCount="1674">
  <si>
    <t>MC</t>
  </si>
  <si>
    <t>Cash</t>
  </si>
  <si>
    <t>Debt</t>
  </si>
  <si>
    <t>EV</t>
  </si>
  <si>
    <t>PEN</t>
  </si>
  <si>
    <t>Company Overview:</t>
  </si>
  <si>
    <t>Founded: 2004</t>
  </si>
  <si>
    <t>Headquarted: Alameda</t>
  </si>
  <si>
    <t>Employees: 4,500</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</si>
  <si>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</si>
  <si>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</si>
  <si>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</si>
  <si>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</si>
  <si>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</si>
  <si>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</si>
  <si>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</si>
  <si>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</si>
  <si>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</si>
  <si>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</si>
  <si>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</si>
  <si>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</si>
  <si>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</si>
  <si>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</si>
  <si>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</si>
  <si>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</si>
  <si>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</si>
  <si>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</si>
  <si>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</si>
  <si>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</si>
  <si>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</si>
  <si>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</si>
  <si>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</si>
  <si>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</si>
  <si>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</si>
  <si>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</si>
  <si>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</si>
  <si>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</si>
  <si>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</si>
  <si>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</si>
  <si>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</si>
  <si>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</si>
  <si>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</si>
  <si>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</si>
  <si>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</si>
  <si>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</si>
  <si>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</si>
  <si>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</si>
  <si>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</si>
  <si>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</si>
  <si>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</si>
  <si>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</si>
  <si>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</si>
  <si>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</si>
  <si>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</si>
  <si>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</si>
  <si>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</si>
  <si>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</si>
  <si>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</si>
  <si>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</si>
  <si>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</si>
  <si>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</si>
  <si>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</si>
  <si>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</si>
  <si>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</si>
  <si>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</si>
  <si>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</si>
  <si>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</si>
  <si>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</si>
  <si>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</si>
  <si>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</si>
  <si>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</si>
  <si>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</si>
  <si>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</si>
  <si>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</si>
  <si>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</si>
  <si>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</si>
  <si>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</si>
  <si>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</si>
  <si>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</si>
  <si>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</si>
  <si>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</si>
  <si>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</si>
  <si>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</si>
  <si>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</si>
  <si>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</si>
  <si>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</si>
  <si>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</si>
  <si>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</si>
  <si>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</si>
  <si>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</si>
  <si>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</si>
  <si>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</si>
  <si>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</si>
  <si>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</si>
  <si>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</si>
  <si>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</si>
  <si>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</si>
  <si>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</si>
  <si>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</si>
  <si>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</si>
  <si>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</si>
  <si>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</si>
  <si>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</si>
  <si>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</si>
  <si>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</si>
  <si>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</si>
  <si>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</si>
  <si>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</si>
  <si>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</si>
  <si>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</si>
  <si>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</si>
  <si>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</si>
  <si>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</si>
  <si>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</si>
  <si>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</si>
  <si>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</si>
  <si>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</si>
  <si>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</si>
  <si>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</si>
  <si>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</si>
  <si>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</si>
  <si>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</si>
  <si>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</si>
  <si>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</si>
  <si>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</si>
  <si>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</si>
  <si>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</si>
  <si>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</si>
  <si>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</si>
  <si>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</si>
  <si>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</si>
  <si>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</si>
  <si>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</si>
  <si>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</si>
  <si>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</si>
  <si>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</si>
  <si>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</si>
  <si>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</si>
  <si>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</si>
  <si>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</si>
  <si>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</si>
  <si>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</si>
  <si>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</si>
  <si>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</si>
  <si>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</si>
  <si>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</si>
  <si>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</si>
  <si>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</si>
  <si>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</si>
  <si>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</si>
  <si>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</si>
  <si>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</si>
  <si>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</si>
  <si>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</si>
  <si>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</si>
  <si>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</si>
  <si>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</si>
  <si>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</si>
  <si>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</si>
  <si>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</si>
  <si>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</si>
  <si>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</si>
  <si>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</si>
  <si>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</si>
  <si>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</si>
  <si>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</si>
  <si>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</si>
  <si>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</si>
  <si>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</si>
  <si>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</si>
  <si>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</si>
  <si>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</si>
  <si>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</si>
  <si>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</si>
  <si>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</si>
  <si>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</si>
  <si>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</si>
  <si>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</si>
  <si>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</si>
  <si>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</si>
  <si>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</si>
  <si>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</si>
  <si>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</si>
  <si>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</si>
  <si>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</si>
  <si>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</si>
  <si>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</si>
  <si>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</si>
  <si>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</si>
  <si>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</si>
  <si>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</si>
  <si>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</si>
  <si>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</si>
  <si>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</si>
  <si>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</si>
  <si>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</si>
  <si>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</si>
  <si>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</si>
  <si>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</si>
  <si>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</si>
  <si>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</si>
  <si>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</si>
  <si>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</si>
  <si>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</si>
  <si>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</si>
  <si>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</si>
  <si>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</si>
  <si>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</si>
  <si>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</si>
  <si>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</si>
  <si>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</si>
  <si>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</si>
  <si>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</si>
  <si>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</si>
  <si>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</si>
  <si>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</si>
  <si>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</si>
  <si>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</si>
  <si>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</si>
  <si>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</si>
  <si>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</si>
  <si>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</si>
  <si>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</si>
  <si>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</si>
  <si>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</si>
  <si>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</si>
  <si>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</si>
  <si>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</si>
  <si>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</si>
  <si>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</si>
  <si>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</si>
  <si>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</si>
  <si>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</si>
  <si>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</si>
  <si>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</si>
  <si>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</si>
  <si>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</si>
  <si>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</si>
  <si>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</si>
  <si>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</si>
  <si>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</si>
  <si>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</si>
  <si>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</si>
  <si>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</si>
  <si>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</si>
  <si>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</si>
  <si>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</si>
  <si>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</si>
  <si>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</si>
  <si>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</si>
  <si>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</si>
  <si>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</si>
  <si>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</si>
  <si>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</si>
  <si>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</si>
  <si>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</si>
  <si>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</si>
  <si>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</si>
  <si>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</si>
  <si>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UTC Date</t>
  </si>
  <si>
    <t>Volume</t>
  </si>
  <si>
    <t>Open</t>
  </si>
  <si>
    <t>Low</t>
  </si>
  <si>
    <t>High</t>
  </si>
  <si>
    <t>Close</t>
  </si>
  <si>
    <t>Max</t>
  </si>
  <si>
    <t>Min</t>
  </si>
  <si>
    <t>SD σ</t>
  </si>
  <si>
    <t>Mean</t>
  </si>
  <si>
    <t>1D Change</t>
  </si>
  <si>
    <t>Apr</t>
  </si>
  <si>
    <t>July</t>
  </si>
  <si>
    <t>Oct</t>
  </si>
  <si>
    <t>Jan</t>
  </si>
  <si>
    <t>Q1'20</t>
  </si>
  <si>
    <t>Q2'20</t>
  </si>
  <si>
    <t>Q3'20</t>
  </si>
  <si>
    <t>Q4'20</t>
  </si>
  <si>
    <t>Q1'21</t>
  </si>
  <si>
    <t>Q2'21</t>
  </si>
  <si>
    <t>Q3'21</t>
  </si>
  <si>
    <t>Q4'21</t>
  </si>
  <si>
    <t>Q1'22</t>
  </si>
  <si>
    <t>Q2'22</t>
  </si>
  <si>
    <t>Q3'22</t>
  </si>
  <si>
    <t>Q4'22</t>
  </si>
  <si>
    <t>Q1'23</t>
  </si>
  <si>
    <t>Q2'23</t>
  </si>
  <si>
    <t>Q3'23</t>
  </si>
  <si>
    <t>Q4'23</t>
  </si>
  <si>
    <t>Q1'24</t>
  </si>
  <si>
    <t>Q2'24</t>
  </si>
  <si>
    <t>Q3'24</t>
  </si>
  <si>
    <t>Q4'24</t>
  </si>
  <si>
    <t>Q1'25</t>
  </si>
  <si>
    <t>Q2'25</t>
  </si>
  <si>
    <t>Q3'25</t>
  </si>
  <si>
    <t>Q4'25</t>
  </si>
  <si>
    <t>Q1'26</t>
  </si>
  <si>
    <t>Q2'26</t>
  </si>
  <si>
    <t>Q3'26</t>
  </si>
  <si>
    <t>Q4'26</t>
  </si>
  <si>
    <t>Quarterly</t>
  </si>
  <si>
    <t>Revenues</t>
  </si>
  <si>
    <t>Thrombectomy</t>
  </si>
  <si>
    <t>Ttl Revenues</t>
  </si>
  <si>
    <t>U.S. Revenues</t>
  </si>
  <si>
    <t>International Revenues</t>
  </si>
  <si>
    <t>Total Revenue Growth Y/y</t>
  </si>
  <si>
    <t>Thrombectomy % of Ttl Revenues</t>
  </si>
  <si>
    <t>E &amp; A % of Ttl Revenues</t>
  </si>
  <si>
    <t>Thrombectomy Revenue Growth Y/y</t>
  </si>
  <si>
    <t>E &amp; A  Revenue Growth Y/y</t>
  </si>
  <si>
    <t>U.S. % of Ttl Revenues</t>
  </si>
  <si>
    <t>International % of Ttl Revenues</t>
  </si>
  <si>
    <t>U.S. Revenue Growth Y/y</t>
  </si>
  <si>
    <t>International Revenue Growth Y/y</t>
  </si>
  <si>
    <t>GP</t>
  </si>
  <si>
    <t>R&amp;D</t>
  </si>
  <si>
    <t>SG&amp;A</t>
  </si>
  <si>
    <t>Acquired In-Process R&amp;D</t>
  </si>
  <si>
    <t>Impairment Charges</t>
  </si>
  <si>
    <t>Operating Income</t>
  </si>
  <si>
    <t>Interest and Other Income, net</t>
  </si>
  <si>
    <t>Pretax Income</t>
  </si>
  <si>
    <t>SC</t>
  </si>
  <si>
    <t>EPS</t>
  </si>
  <si>
    <t>Cash &amp; C.E.s</t>
  </si>
  <si>
    <t>Marketable Investments</t>
  </si>
  <si>
    <t>A/R</t>
  </si>
  <si>
    <t>Inventories</t>
  </si>
  <si>
    <t>Prepaid Expenses</t>
  </si>
  <si>
    <t>PP&amp;E</t>
  </si>
  <si>
    <t>Financing Leases</t>
  </si>
  <si>
    <t>Operating Leases</t>
  </si>
  <si>
    <t>Intangible Assets, net</t>
  </si>
  <si>
    <t>Goodwill</t>
  </si>
  <si>
    <t>Other LT Assets</t>
  </si>
  <si>
    <t>Ttl Assets</t>
  </si>
  <si>
    <t>A/P</t>
  </si>
  <si>
    <t>Accrued Liabilities</t>
  </si>
  <si>
    <t>Current Operating Lease Liabilities</t>
  </si>
  <si>
    <t>Current Finance Lease Liabilities</t>
  </si>
  <si>
    <t>Non-current Operating Lease Liabilities</t>
  </si>
  <si>
    <t>Non-current Finance Lease Liabilities</t>
  </si>
  <si>
    <t>Other Liabilities</t>
  </si>
  <si>
    <t>SE</t>
  </si>
  <si>
    <t>Ttl L + SE</t>
  </si>
  <si>
    <t>(important to track/sum the total impairment cost in model)</t>
  </si>
  <si>
    <t>Strong track record of organic product development and commercial expansion that has established the foundation of our global organization</t>
  </si>
  <si>
    <t>Capital Structure Snapshot:</t>
  </si>
  <si>
    <r>
      <t xml:space="preserve">Penumbra, Inc. </t>
    </r>
    <r>
      <rPr>
        <b/>
        <sz val="11"/>
        <color theme="1"/>
        <rFont val="Calibre"/>
      </rPr>
      <t>designs, develops, manufactures,</t>
    </r>
    <r>
      <rPr>
        <sz val="11"/>
        <color theme="1"/>
        <rFont val="Calibre"/>
      </rPr>
      <t xml:space="preserve"> and </t>
    </r>
    <r>
      <rPr>
        <b/>
        <sz val="11"/>
        <color theme="1"/>
        <rFont val="Calibre"/>
      </rPr>
      <t>markets medical devices</t>
    </r>
    <r>
      <rPr>
        <sz val="11"/>
        <color theme="1"/>
        <rFont val="Calibre"/>
      </rPr>
      <t xml:space="preserve"> in the </t>
    </r>
    <r>
      <rPr>
        <b/>
        <sz val="11"/>
        <color theme="1"/>
        <rFont val="Calibre"/>
      </rPr>
      <t>United States and internationally</t>
    </r>
  </si>
  <si>
    <r>
      <t xml:space="preserve">the </t>
    </r>
    <r>
      <rPr>
        <b/>
        <sz val="11"/>
        <color theme="1"/>
        <rFont val="Calibre"/>
      </rPr>
      <t>Thrombectomy</t>
    </r>
    <r>
      <rPr>
        <sz val="11"/>
        <color theme="1"/>
        <rFont val="Calibre"/>
      </rPr>
      <t xml:space="preserve"> market (entered 2007)</t>
    </r>
  </si>
  <si>
    <r>
      <t xml:space="preserve">the </t>
    </r>
    <r>
      <rPr>
        <b/>
        <sz val="11"/>
        <color theme="1"/>
        <rFont val="Calibre"/>
      </rPr>
      <t>Access</t>
    </r>
    <r>
      <rPr>
        <sz val="11"/>
        <color theme="1"/>
        <rFont val="Calibre"/>
      </rPr>
      <t xml:space="preserve"> market (entered 2008)</t>
    </r>
  </si>
  <si>
    <r>
      <t xml:space="preserve">the </t>
    </r>
    <r>
      <rPr>
        <b/>
        <sz val="11"/>
        <color theme="1"/>
        <rFont val="Calibre"/>
      </rPr>
      <t>Embolization</t>
    </r>
    <r>
      <rPr>
        <sz val="11"/>
        <color theme="1"/>
        <rFont val="Calibre"/>
      </rPr>
      <t xml:space="preserve"> market (entered 2011)</t>
    </r>
  </si>
  <si>
    <r>
      <t xml:space="preserve">the </t>
    </r>
    <r>
      <rPr>
        <b/>
        <sz val="11"/>
        <color theme="1"/>
        <rFont val="Calibre"/>
      </rPr>
      <t>Neurosurgical</t>
    </r>
    <r>
      <rPr>
        <sz val="11"/>
        <color theme="1"/>
        <rFont val="Calibre"/>
      </rPr>
      <t xml:space="preserve"> market (entered 2014)</t>
    </r>
  </si>
  <si>
    <r>
      <t xml:space="preserve">the </t>
    </r>
    <r>
      <rPr>
        <b/>
        <sz val="11"/>
        <color theme="1"/>
        <rFont val="Calibre"/>
      </rPr>
      <t>Immersive</t>
    </r>
    <r>
      <rPr>
        <sz val="11"/>
        <color theme="1"/>
        <rFont val="Calibre"/>
      </rPr>
      <t xml:space="preserve"> </t>
    </r>
    <r>
      <rPr>
        <b/>
        <sz val="11"/>
        <color theme="1"/>
        <rFont val="Calibre"/>
      </rPr>
      <t>Healthcare</t>
    </r>
    <r>
      <rPr>
        <sz val="11"/>
        <color theme="1"/>
        <rFont val="Calibre"/>
      </rPr>
      <t xml:space="preserve"> market (entered 2020, </t>
    </r>
    <r>
      <rPr>
        <b/>
        <sz val="11"/>
        <color theme="1"/>
        <rFont val="Calibre"/>
      </rPr>
      <t>exited September 2024</t>
    </r>
    <r>
      <rPr>
        <sz val="11"/>
        <color theme="1"/>
        <rFont val="Calibre"/>
      </rPr>
      <t xml:space="preserve">) &lt;-- Decision to wind down and exit the Immersive Healthcare business, and as a result, incurred a $115.3 million impairment charge at year end </t>
    </r>
  </si>
  <si>
    <t>The Company sells its products through direct sales organizations and distributors</t>
  </si>
  <si>
    <t>-</t>
  </si>
  <si>
    <t>Thrombosis: Thrombosis is the formation of a blood clot (thrombus) inside a blood vessel, obstructing blood flow</t>
  </si>
  <si>
    <r>
      <t xml:space="preserve">Can occur in arteries </t>
    </r>
    <r>
      <rPr>
        <b/>
        <sz val="11"/>
        <color theme="1"/>
        <rFont val="Calibre"/>
      </rPr>
      <t>(arterial thrombosis)</t>
    </r>
    <r>
      <rPr>
        <sz val="11"/>
        <color theme="1"/>
        <rFont val="Calibre"/>
      </rPr>
      <t xml:space="preserve"> or veins </t>
    </r>
    <r>
      <rPr>
        <b/>
        <sz val="11"/>
        <color theme="1"/>
        <rFont val="Calibre"/>
      </rPr>
      <t>(venous thrombosis)</t>
    </r>
    <r>
      <rPr>
        <sz val="11"/>
        <color theme="1"/>
        <rFont val="Calibre"/>
      </rPr>
      <t xml:space="preserve"> &lt;-- Penumbra's product are FDA-approved for arterial cases, but have been used off-label for </t>
    </r>
    <r>
      <rPr>
        <b/>
        <sz val="11"/>
        <color theme="1"/>
        <rFont val="Calibre"/>
      </rPr>
      <t>DVT/PE</t>
    </r>
    <r>
      <rPr>
        <sz val="11"/>
        <color theme="1"/>
        <rFont val="Calibre"/>
      </rPr>
      <t xml:space="preserve"> in some cases </t>
    </r>
  </si>
  <si>
    <t>The Company expects to continue developing and building a portfolio of products, including thrombectomy, embolization and access technologies, while iterating on currently available products</t>
  </si>
  <si>
    <r>
      <t xml:space="preserve">The Company </t>
    </r>
    <r>
      <rPr>
        <b/>
        <sz val="11"/>
        <color theme="1"/>
        <rFont val="Calibre"/>
      </rPr>
      <t>sells products to healthcare providers</t>
    </r>
    <r>
      <rPr>
        <sz val="11"/>
        <color theme="1"/>
        <rFont val="Calibre"/>
      </rPr>
      <t xml:space="preserve"> primarily </t>
    </r>
    <r>
      <rPr>
        <b/>
        <sz val="11"/>
        <color theme="1"/>
        <rFont val="Calibre"/>
      </rPr>
      <t>through our direct sales organization</t>
    </r>
    <r>
      <rPr>
        <sz val="11"/>
        <color theme="1"/>
        <rFont val="Calibre"/>
      </rPr>
      <t xml:space="preserve"> in the </t>
    </r>
    <r>
      <rPr>
        <b/>
        <sz val="11"/>
        <color theme="1"/>
        <rFont val="Calibre"/>
      </rPr>
      <t xml:space="preserve">United States, </t>
    </r>
    <r>
      <rPr>
        <sz val="11"/>
        <color theme="1"/>
        <rFont val="Calibre"/>
      </rPr>
      <t>most of</t>
    </r>
    <r>
      <rPr>
        <b/>
        <sz val="11"/>
        <color theme="1"/>
        <rFont val="Calibre"/>
      </rPr>
      <t xml:space="preserve"> Europe, Canada </t>
    </r>
    <r>
      <rPr>
        <sz val="11"/>
        <color theme="1"/>
        <rFont val="Calibre"/>
      </rPr>
      <t>and</t>
    </r>
    <r>
      <rPr>
        <b/>
        <sz val="11"/>
        <color theme="1"/>
        <rFont val="Calibre"/>
      </rPr>
      <t xml:space="preserve"> Australia</t>
    </r>
    <r>
      <rPr>
        <sz val="11"/>
        <color theme="1"/>
        <rFont val="Calibre"/>
      </rPr>
      <t xml:space="preserve">, </t>
    </r>
    <r>
      <rPr>
        <b/>
        <sz val="11"/>
        <color theme="1"/>
        <rFont val="Calibre"/>
      </rPr>
      <t>as well as through distributors in select international markets (China, APac, LatAm)</t>
    </r>
  </si>
  <si>
    <t>As stated in the business overview section: "Generally, when introducing a next generation product or a new product designed to replace a current product, sales of the earlier generation product or the product replaced decline"</t>
  </si>
  <si>
    <t>Similar to BioPharma, economic returns decline once a treatment option "goes generic," or a newer, more effective form of treatment is developed/commercialized</t>
  </si>
  <si>
    <t>During the year ended December 31, 2024, The Company permanently ceased sales of Immersive Healthcare products and related commercial operations</t>
  </si>
  <si>
    <r>
      <t xml:space="preserve">Generally, </t>
    </r>
    <r>
      <rPr>
        <b/>
        <sz val="11"/>
        <color theme="1"/>
        <rFont val="Calibre"/>
      </rPr>
      <t xml:space="preserve">when introducing a next generation product </t>
    </r>
    <r>
      <rPr>
        <sz val="11"/>
        <color theme="1"/>
        <rFont val="Calibre"/>
      </rPr>
      <t xml:space="preserve">or a new product designed to replace a current product, </t>
    </r>
    <r>
      <rPr>
        <b/>
        <sz val="11"/>
        <color theme="1"/>
        <rFont val="Calibre"/>
      </rPr>
      <t>sales of the earlier generation product or the product replaced decline</t>
    </r>
  </si>
  <si>
    <r>
      <t xml:space="preserve">Similar to BioPharma, </t>
    </r>
    <r>
      <rPr>
        <b/>
        <sz val="11"/>
        <color theme="1"/>
        <rFont val="Calibre"/>
      </rPr>
      <t>economic returns decline once a treatment option "goes generic," or a newer, more effective form of treatment is developed/commercialized</t>
    </r>
  </si>
  <si>
    <t>The Company's research and development activities are centered around development of new products and clinical activities designed to support regulatory submissions and demonstrate product efficacy to regulating bodies and medical professionals</t>
  </si>
  <si>
    <t>The Business was impacted by the COVID-19 Pandemic</t>
  </si>
  <si>
    <t>The pandemic impacted the performance of certain elective and semi-elective medical procedures, which were deferred to provide resources to fight the pandemic</t>
  </si>
  <si>
    <t>The pandemic impacted global supply chains and labor markets, resulting in cost inflation and raw material supply constraints for The Company and wider economy</t>
  </si>
  <si>
    <t>Markets:</t>
  </si>
  <si>
    <t>The Company concentrates on improving treatment outcomes for patients with certain forms of vascular disease</t>
  </si>
  <si>
    <t>Vascular disease refers to any condition that affects the circulatory system and typically manifests as a blockage or rupture of an artery or a vein</t>
  </si>
  <si>
    <r>
      <t>The Company has successfully developed, obtained regulatory clearance or approval for, and</t>
    </r>
    <r>
      <rPr>
        <b/>
        <sz val="11"/>
        <color theme="1"/>
        <rFont val="Calibre"/>
      </rPr>
      <t xml:space="preserve"> introduced products into a range of markets including: </t>
    </r>
  </si>
  <si>
    <t>General Definitions:</t>
  </si>
  <si>
    <t>Penumbra Operating Definitions</t>
  </si>
  <si>
    <t>Disruption of blood flow to the vasculature can have serious adverse consequences, including death and morbidity, and our solutions address the intervention of these diseases</t>
  </si>
  <si>
    <t>Thrombectomy Market:</t>
  </si>
  <si>
    <t>Studies have shown that patients treated with mechanical thrombectomy had improved functional outcomes compared with treatments such as tissue-type plasminogen activator (tPA) alone</t>
  </si>
  <si>
    <t>There are approximately 2.15 million incidences of clot in the vasculature each year in the United States, the vast majority of which do not currently receive mechanical thrombectomy intervention</t>
  </si>
  <si>
    <t>Deep Vein Thrombosis ("DVT"):</t>
  </si>
  <si>
    <t>Acute Limb Ischemia ("ALI"):</t>
  </si>
  <si>
    <t>Ischemic Stroke:</t>
  </si>
  <si>
    <t>PE is a condition that occurs when blood clots, which typically travel from the veins in the legs, get caught in the lungs</t>
  </si>
  <si>
    <t>Approximately 1.2 million PEs occur annually worldwide. In the U.S., there are approximately 350,000 PEs per year causing approximately 50,000 annual deaths according to the Centers for Disease Control and Prevention</t>
  </si>
  <si>
    <t>Embolism: An embolism occurs when a blood clot (thrombus), air bubble, fat globule, or other foreign material travels through the bloodstream and lodges in a blood vessel, blocking blood flow.</t>
  </si>
  <si>
    <t>Thrombus/I : A clot that forms and remains in place inside a blood vessel</t>
  </si>
  <si>
    <t>Embolization and Access Market:</t>
  </si>
  <si>
    <t>Aneurysm:</t>
  </si>
  <si>
    <t xml:space="preserve">Hemorrhagic Stroke: </t>
  </si>
  <si>
    <t>Accessing the brain through the tortuous neurovasculature has been a substantial challenge for physicians treating vascular disorders in the brain</t>
  </si>
  <si>
    <t>Companies that developed catheters and other products for neurovascular applications historically leveraged technologies developed for use in coronary or peripheral vascular interventions</t>
  </si>
  <si>
    <t>This approach created challenges given the vastly different anatomy, structure and sizing of the neurovascular vessels.</t>
  </si>
  <si>
    <t>Approximately 800,000 annual PEs outside the U.S. and approximately 350,000 of them are massive or sub-massive, making them eligible for thrombectomy</t>
  </si>
  <si>
    <t>U.S. # of PEs per year:</t>
  </si>
  <si>
    <t>Clot from Arteriovenous Graft or Fistula:</t>
  </si>
  <si>
    <t>~1.2 mil</t>
  </si>
  <si>
    <t>DVT occurs when a clot forms in a deep vein, usually in the leg and sometimes in the arm</t>
  </si>
  <si>
    <t>ALI occurs when the leg experiences an occlusion in an artery, caused either by a blood clot in the artery or by emboli from the heart or another place within the body that travel to the leg and cause an occlusion</t>
  </si>
  <si>
    <t>Approximately 2.5 million ALIs occur annually and that there are approximately 16 million ALI survivors worldwide.</t>
  </si>
  <si>
    <t>Approximately 2.25 million annual ALIs outside the U.S. that are eligible for thrombectomy</t>
  </si>
  <si>
    <t>A stroke occurs when a blood vessel that carries oxygen and nutrients to the brain is either blocked by a clot or bursts (ruptures)</t>
  </si>
  <si>
    <t>It is estimated that nearly 14 million strokes occur annually and that there are more than 80 million survivors of stroke globally</t>
  </si>
  <si>
    <t>Ischemic strokes represent approximately 87% of strokes, or approximately 700,000 patients annually, in the United States</t>
  </si>
  <si>
    <t>Outside of the United States, we estimate, based on published sources, that there are approximately 9.7 million ischemic strokes annually and that 1.9 million of these patients are treatable with mechanical thrombectomy</t>
  </si>
  <si>
    <t>Nearly 800,000 strokes occur annually, and lead to approximately 150,000 deaths per year.</t>
  </si>
  <si>
    <t>ACS includes various conditions associated with sudden, reduced blood flow to the heart</t>
  </si>
  <si>
    <t>We estimate there are approximately 8 million annual AMIs outside the U.S. that are eligible for mechanical thrombectomy.</t>
  </si>
  <si>
    <t>Arteriovenous grafts or fistulas are created for access to dialyze the blood of patients with end-stage renal disease.</t>
  </si>
  <si>
    <t>It is common for clots to form within these access vessels when patients undergo dialysis long-term</t>
  </si>
  <si>
    <r>
      <t>T</t>
    </r>
    <r>
      <rPr>
        <b/>
        <sz val="11"/>
        <color theme="1"/>
        <rFont val="Calibre"/>
      </rPr>
      <t>he Company classifies end markets according to the anatomic location</t>
    </r>
    <r>
      <rPr>
        <sz val="11"/>
        <color theme="1"/>
        <rFont val="Calibre"/>
      </rPr>
      <t xml:space="preserve"> of the disorder and </t>
    </r>
    <r>
      <rPr>
        <b/>
        <sz val="11"/>
        <color theme="1"/>
        <rFont val="Calibre"/>
      </rPr>
      <t>divides them into two</t>
    </r>
    <r>
      <rPr>
        <sz val="11"/>
        <color theme="1"/>
        <rFont val="Calibre"/>
      </rPr>
      <t xml:space="preserve"> categories:</t>
    </r>
  </si>
  <si>
    <r>
      <rPr>
        <b/>
        <sz val="11"/>
        <color theme="1"/>
        <rFont val="Calibre"/>
      </rPr>
      <t>Neuro</t>
    </r>
    <r>
      <rPr>
        <sz val="11"/>
        <color theme="1"/>
        <rFont val="Calibre"/>
      </rPr>
      <t>, which included neurovascular and neurosurgical</t>
    </r>
  </si>
  <si>
    <r>
      <rPr>
        <b/>
        <sz val="11"/>
        <color theme="1"/>
        <rFont val="Calibre"/>
      </rPr>
      <t>Vascular</t>
    </r>
    <r>
      <rPr>
        <sz val="11"/>
        <color theme="1"/>
        <rFont val="Calibre"/>
      </rPr>
      <t>, which included peripheral vascular and cardiovascular.</t>
    </r>
  </si>
  <si>
    <r>
      <rPr>
        <b/>
        <sz val="11"/>
        <color theme="1"/>
        <rFont val="Calibre"/>
      </rPr>
      <t>The Company began to classify</t>
    </r>
    <r>
      <rPr>
        <sz val="11"/>
        <color theme="1"/>
        <rFont val="Calibre"/>
      </rPr>
      <t xml:space="preserve"> end markets based on the</t>
    </r>
    <r>
      <rPr>
        <b/>
        <sz val="11"/>
        <color theme="1"/>
        <rFont val="Calibre"/>
      </rPr>
      <t xml:space="preserve"> type of procedure being performed</t>
    </r>
    <r>
      <rPr>
        <sz val="11"/>
        <color theme="1"/>
        <rFont val="Calibre"/>
      </rPr>
      <t xml:space="preserve"> (beginning with the three months ended December 31, 2023), and therefore </t>
    </r>
    <r>
      <rPr>
        <b/>
        <sz val="11"/>
        <color theme="1"/>
        <rFont val="Calibre"/>
      </rPr>
      <t>divide markets into two</t>
    </r>
    <r>
      <rPr>
        <sz val="11"/>
        <color theme="1"/>
        <rFont val="Calibre"/>
      </rPr>
      <t xml:space="preserve"> categories: </t>
    </r>
  </si>
  <si>
    <r>
      <rPr>
        <b/>
        <sz val="11"/>
        <color theme="1"/>
        <rFont val="Calibre"/>
      </rPr>
      <t>Thrombectomy</t>
    </r>
    <r>
      <rPr>
        <sz val="11"/>
        <color theme="1"/>
        <rFont val="Calibre"/>
      </rPr>
      <t>, which includes products that treat conditions such as pulmonary embolism, deep vein thrombosis, acute limb ischemia, ischemic stroke and coronary disease</t>
    </r>
  </si>
  <si>
    <r>
      <rPr>
        <b/>
        <sz val="11"/>
        <color theme="1"/>
        <rFont val="Calibre"/>
      </rPr>
      <t>Embolization and Access,</t>
    </r>
    <r>
      <rPr>
        <sz val="11"/>
        <color theme="1"/>
        <rFont val="Calibre"/>
      </rPr>
      <t xml:space="preserve"> which include products to treat aneurysms and to occlude vessels as well as products to access the vasculature</t>
    </r>
  </si>
  <si>
    <t xml:space="preserve">Approximately 350,000 DVTs are eligible for treatment with mechanical or computer assisted vacuum thrombectomy in the U.S. </t>
  </si>
  <si>
    <t>Approximately 2 million annual DVTs outside the U.S. that are eligible for thrombectomy procedures</t>
  </si>
  <si>
    <t>In the U.S., there are approximately 30,000 annual deaths caused by DVT according to the Centers for Disease Control and Prevention</t>
  </si>
  <si>
    <t>Approximately 4 million DVTs occur annually worldwide</t>
  </si>
  <si>
    <t>High- and intermediate-risk PEs, which are generally eligible for treatment with mechanical or computer assisted vacuum thrombectomy, represent approximately 44% of such PEs, or approximately 150,000 U.S. patients</t>
  </si>
  <si>
    <t>Of these cases, we estimate that approximately 200,000 are treatable with mechanical thrombectomy, which involves removal of the clot causing the blockage by mechanical means and restoring blood flow to the blocked vessels</t>
  </si>
  <si>
    <t>One such condition is a heart attack (acute myocardial infarction or “AMI”), when cell death results in damaged or destroyed heart tissue. Heart attacks can often be associated with high thrombus burden in the coronary arteries</t>
  </si>
  <si>
    <t>Approximately 8.5 million AMIs occur annually and there are approximately 23.5 million AMI survivors worldwide</t>
  </si>
  <si>
    <t>In the U.S., there are approximately 500,000 AMIs per year causing approximately 350,000 annual deaths according to the American Heart Association.</t>
  </si>
  <si>
    <t xml:space="preserve"> AMIs involving high thrombus burden, which are generally eligible for treatment with mechanical thrombectomy, represent approximately 60% of U.S. AMIs, or approximately 300,000 U.S. patients</t>
  </si>
  <si>
    <t>An aneurysm is a weak area in a blood vessel that usually enlarges and is often described as a “ballooning” of the blood vessel.</t>
  </si>
  <si>
    <t>Approximately 2% of the general population has or will develop an aneurysm and approximately 9 million people in the United States may currently have an aneurysm</t>
  </si>
  <si>
    <t>If a patient has had an aneurysm, there is a 20% likelihood that the patient will have one or more additional aneurysms</t>
  </si>
  <si>
    <t>The primary endovascular procedure for treating unruptured aneurysms uses a repair technique called embolization, in which the aneurysm is packed with coils in a minimally invasive procedure</t>
  </si>
  <si>
    <t>Brain aneurysms and arteriovenous malformations (“AVM”) can both cause hemorrhagic stroke</t>
  </si>
  <si>
    <t>Hemorrhagic strokes, caused by the sudden rupture of a brain artery that leads to bleeding into or around the brain, represent approximately 13% of strokes in the United States</t>
  </si>
  <si>
    <t>According to independent sources, every year 0.5% to 3.0% of people with a brain aneurysm and 1.0% to 3.0% of people with an AVM may suffer from bleeding</t>
  </si>
  <si>
    <t>According to the AHA and ASA, once a brain aneurysm or an AVM bleeds, the chance of death is 30% to 40% and 10% to 15%, respectively</t>
  </si>
  <si>
    <t>Intracerebral hemorrhage, a type of hemorrhagic stroke, occurs when a vessel within the brain bursts, allowing blood to leak inside the brain</t>
  </si>
  <si>
    <t>Product Portfolio Scope:</t>
  </si>
  <si>
    <t>Product Families</t>
  </si>
  <si>
    <t>Embolus/I : a thrombus, or other substance that breaks free and circulates through blood vessels</t>
  </si>
  <si>
    <t>Pulmonary Embolism ("PE"):</t>
  </si>
  <si>
    <t>Key Product Brands</t>
  </si>
  <si>
    <t>Indigo System</t>
  </si>
  <si>
    <t>Lightning</t>
  </si>
  <si>
    <t>Bolt</t>
  </si>
  <si>
    <t>Cat RX</t>
  </si>
  <si>
    <t>Penumbra System</t>
  </si>
  <si>
    <t>Penumbra RED, SENDit, JET, ACE, BMX, and MAX catheters</t>
  </si>
  <si>
    <t>3D Revascularization Device</t>
  </si>
  <si>
    <t>Penumbra Engine and other components and accessories</t>
  </si>
  <si>
    <t>Ruby Coil System</t>
  </si>
  <si>
    <t>Ruby LP</t>
  </si>
  <si>
    <t>Lantern</t>
  </si>
  <si>
    <t>POD (Penumbra Occlusion Device)</t>
  </si>
  <si>
    <t>Packing Coil</t>
  </si>
  <si>
    <t>Packing Coil LP</t>
  </si>
  <si>
    <t>Penumbra Coil 400</t>
  </si>
  <si>
    <t>POD400</t>
  </si>
  <si>
    <t>PAC400</t>
  </si>
  <si>
    <t>Penumbra SMART COIL</t>
  </si>
  <si>
    <t>SwiftPAC Coil</t>
  </si>
  <si>
    <t>Neuron</t>
  </si>
  <si>
    <t>Neuron Max</t>
  </si>
  <si>
    <t>BENCHMARK</t>
  </si>
  <si>
    <t>BMX</t>
  </si>
  <si>
    <t>DDC</t>
  </si>
  <si>
    <t>PX SLIM</t>
  </si>
  <si>
    <t>MIDWAY</t>
  </si>
  <si>
    <t>Artemis Neuro Evacuation Device</t>
  </si>
  <si>
    <t>Peripheral</t>
  </si>
  <si>
    <t>Neuro</t>
  </si>
  <si>
    <t xml:space="preserve">Peripheral </t>
  </si>
  <si>
    <t>Embolization</t>
  </si>
  <si>
    <t>Access</t>
  </si>
  <si>
    <t>Neurosurgical Tools</t>
  </si>
  <si>
    <t>For further analysis on markets and product lines, visit "Markets | Product Lines" tab</t>
  </si>
  <si>
    <t>Research and Development:</t>
  </si>
  <si>
    <t>Manufacturing:</t>
  </si>
  <si>
    <t>Sales and Marketing:</t>
  </si>
  <si>
    <t>Look into product sales cycles</t>
  </si>
  <si>
    <t xml:space="preserve">Look into deal structures. How does the transaction shape up for domestic clients? </t>
  </si>
  <si>
    <t>~2 mil</t>
  </si>
  <si>
    <t>~2.4 mil</t>
  </si>
  <si>
    <t>U.S. # of DVTs per year:</t>
  </si>
  <si>
    <t>Approximately 250,000 ALIs per year in the U.S., which are generally eligible for treatment with mechanical or computer assisted vacuum thrombectomy</t>
  </si>
  <si>
    <t>~2.25 mil</t>
  </si>
  <si>
    <t>~2.5 mil</t>
  </si>
  <si>
    <t>U.S. # of ALIs per year:</t>
  </si>
  <si>
    <t>U.S. # of strokes per year:</t>
  </si>
  <si>
    <t>Intl. # of strokes per year:</t>
  </si>
  <si>
    <t>Intl. # of ALIs per year:</t>
  </si>
  <si>
    <t>Intl. # of DVTs per year:</t>
  </si>
  <si>
    <t>Intl. # of PEs per year:</t>
  </si>
  <si>
    <t>Our sales representatives and sales managers generally have substantial medical device experience and market our products directly to a variety of specialist physicians engaged in the treatment of vascular disorders, who are the end users of our products and significantly influence buying decisions in hospitals and other healthcare settings relating to medical devices</t>
  </si>
  <si>
    <t>focused on developing strong relationships with specialist physicians and other healthcare providers and devote significant resources to training and educating physicians and other healthcare providers in the use and benefits of our products</t>
  </si>
  <si>
    <r>
      <rPr>
        <b/>
        <sz val="11"/>
        <color theme="1"/>
        <rFont val="Calibre"/>
      </rPr>
      <t>Thrombectomy</t>
    </r>
    <r>
      <rPr>
        <sz val="11"/>
        <color theme="1"/>
        <rFont val="Calibre"/>
      </rPr>
      <t>: Interventional radiologists, interventional neuroradiologists, vascular surgeons, neurosurgeons, interventional cardiologists and interventional neurologists</t>
    </r>
  </si>
  <si>
    <t>In 2024, direct sales accounted for approximately 87% of our revenue, with the balance generated by independent distributors that sell our products outside of the United States and by the arrangements with our partner in China, which include licensing royalty and distribution revenue</t>
  </si>
  <si>
    <t>Competition:</t>
  </si>
  <si>
    <t>The medical device industry is intensely competitive, subject to rapid change and significantly affected by new product introductions and other market activities of industry participants.</t>
  </si>
  <si>
    <t>Boston Scientific</t>
  </si>
  <si>
    <t>Inari Medical</t>
  </si>
  <si>
    <t>Medtronic</t>
  </si>
  <si>
    <t>Stryker</t>
  </si>
  <si>
    <t>Johnson and Johnson</t>
  </si>
  <si>
    <t>Ticker:</t>
  </si>
  <si>
    <t>Public Competitors:</t>
  </si>
  <si>
    <t>BSX</t>
  </si>
  <si>
    <t xml:space="preserve">NARI </t>
  </si>
  <si>
    <t>https://pubmed.ncbi.nlm.nih.gov/?term=Penumbra+Inc</t>
  </si>
  <si>
    <t>SO</t>
  </si>
  <si>
    <t xml:space="preserve">Embolization </t>
  </si>
  <si>
    <t>&amp; Access</t>
  </si>
  <si>
    <t>Private Competitors:</t>
  </si>
  <si>
    <t>MDT</t>
  </si>
  <si>
    <t>JNJ</t>
  </si>
  <si>
    <t>Imperative Care</t>
  </si>
  <si>
    <t>SILK</t>
  </si>
  <si>
    <t>Silk Road Medical</t>
  </si>
  <si>
    <t>Rapid Medical</t>
  </si>
  <si>
    <t>Vesalio</t>
  </si>
  <si>
    <t>The Company's direct sales have been, and we anticipate will continue to represent, a majority of our revenues</t>
  </si>
  <si>
    <t>In addition to direct sales organizations, The Company works with distributors in certain geographic areas, having determined that selling through distributors is likely to be more effective</t>
  </si>
  <si>
    <t>The Company has continued licensing the technology of certain products to our existing distribution partner in China pursuant to a series of licensing arrangements entered into in December 2020, February 2022, September 2023 and March 2024, which permit The Company's partner to manufacture and commercialize such products in China in exchange for fixed payments upon the transfer of the distinct licensed technology and upon the provision of related regulatory support, as well as, in certain cases, royalty payments on downstream sales of the licensed products</t>
  </si>
  <si>
    <t>The principal specialist physicians and other healthcare providers in The Company's target end markets include:</t>
  </si>
  <si>
    <t>The Company currently sells products in the United States through a dedicated "in-house" salesforce</t>
  </si>
  <si>
    <t>The Company sells products directly in the United States, most of Europe, Canada and Australia, subject to required regulatory clearances and approvals</t>
  </si>
  <si>
    <t>Some of the advantages competing firms have:</t>
  </si>
  <si>
    <t>Significantly greater name recognition</t>
  </si>
  <si>
    <t>Broader or deeper relations with healthcare professionals, customers, group purchasing organizations, and third-party payors</t>
  </si>
  <si>
    <t>More established distribution networks</t>
  </si>
  <si>
    <t>Additional lines of products and the ability to offer rebates or bundle products to offer greater discounts or other incentives to gain a competitive advantage</t>
  </si>
  <si>
    <t>Greater experience in conducting research and development, manufacturing, clinical trials, marketing and obtaining regulatory clearance or approval for products</t>
  </si>
  <si>
    <t>Greater financial and human resources for product development, sales and marketing and patent litigation</t>
  </si>
  <si>
    <t>The Company's advantages depend on the continued ability to:</t>
  </si>
  <si>
    <t>Develop innovative, proprietary products that can cost-effectively address significant clinical needs</t>
  </si>
  <si>
    <t>Continue to innovate and develop scientifically advanced technology</t>
  </si>
  <si>
    <t>Obtain and maintain regulatory clearances or approvals</t>
  </si>
  <si>
    <t>Demonstrate safety and efficacy in Penumbra-sponsored and third-party clinical trials and studies</t>
  </si>
  <si>
    <t>Apply technology across product lines and markets</t>
  </si>
  <si>
    <t>Attract and retain skilled research and development and sales personnel</t>
  </si>
  <si>
    <t>Cost-effectively manufacture and successfully market and sell products</t>
  </si>
  <si>
    <t>Intellectual Property:</t>
  </si>
  <si>
    <t>SYK</t>
  </si>
  <si>
    <t>Penumbra Inc. (PEN)</t>
  </si>
  <si>
    <t>~1.9 mil</t>
  </si>
  <si>
    <t>~2.1 mil</t>
  </si>
  <si>
    <t>~8 mil</t>
  </si>
  <si>
    <t>~8.3 mil</t>
  </si>
  <si>
    <t>U.S. # of ACS per year:</t>
  </si>
  <si>
    <t>Intl. # of ACS per year:</t>
  </si>
  <si>
    <t>Eligible for mechanical intervention</t>
  </si>
  <si>
    <t>Thirty-seven of our issued patents, which relate to components of the Penumbra Coil 400, Ruby Coil System and Smart Coil System, are currently expected to expire between 2029 and 2037</t>
  </si>
  <si>
    <t>Eighteen patents pertaining to the 3D Revascularization Device are projected to expire between 2032 and 2034</t>
  </si>
  <si>
    <t>Government Regulation:</t>
  </si>
  <si>
    <t>Our products are subject to extensive and ongoing regulation by the United States Food and Drug Administration (“FDA”) under the Federal Food, Drug, and Cosmetic Act (the “FD&amp;C Act”) and its implementing regulations, as well as other federal and state regulatory bodies in the United States and comparable authorities in other countries under other statutes and regulations</t>
  </si>
  <si>
    <t>United States</t>
  </si>
  <si>
    <t>Acute Coronary Syndrome ("ACS"):</t>
  </si>
  <si>
    <t>Medical devices are classified into three classes—Class I, Class II or Class III—depending on the degree of risk associated with each medical device and the extent of control needed to provide reasonable assurance of safety and effectiveness</t>
  </si>
  <si>
    <t>https://www.penumbrainc.com/about-us/leadership/</t>
  </si>
  <si>
    <t>PubMed for efficacy research:</t>
  </si>
  <si>
    <t>Master</t>
  </si>
  <si>
    <t>Q1'27</t>
  </si>
  <si>
    <t>Q2'27</t>
  </si>
  <si>
    <t>Q3'27</t>
  </si>
  <si>
    <t>Q4'27</t>
  </si>
  <si>
    <t>European Union</t>
  </si>
  <si>
    <t>Other Regions</t>
  </si>
  <si>
    <t>Healthcare Fraud &amp; Abuse Regulations</t>
  </si>
  <si>
    <t>Human Capital Resources</t>
  </si>
  <si>
    <t>As of December 31st, 2024, The Company had appx. 4,500 employees worldwide, with the majority of employees being in a manufacturing specialist role (blue collar)</t>
  </si>
  <si>
    <t xml:space="preserve">Manufacturing &amp; Operations appx. 30-40% </t>
  </si>
  <si>
    <t>Sales &amp; Clinical Support appx. 20-25%</t>
  </si>
  <si>
    <t xml:space="preserve">Regulatory &amp; Compliance appx. 10% </t>
  </si>
  <si>
    <t>&lt;-- focus on developing the next generations of cutting edge products</t>
  </si>
  <si>
    <t>&lt;-- skilled labor force focused on device assembly, QC, and supply chain management</t>
  </si>
  <si>
    <t>&lt;-- direct engagement with hospitals neuro and vascular specialist for outreach, sales, and teaching purposes</t>
  </si>
  <si>
    <t>&lt;-- ensures FDA, CE, EMA and other market approvals; manages global initiatives</t>
  </si>
  <si>
    <t xml:space="preserve">Engineering &amp; R&amp;D appx. 25-30% </t>
  </si>
  <si>
    <t xml:space="preserve">&lt;- Acquired by Boston Scientific (Sep. 17, 2024) for ~$1.16 billion </t>
  </si>
  <si>
    <t>Gross Profit Margin</t>
  </si>
  <si>
    <t>Operating Profit Margin</t>
  </si>
  <si>
    <t>Net Profit Margin</t>
  </si>
  <si>
    <t>R&amp;D as % of Revenues</t>
  </si>
  <si>
    <t>CFFO</t>
  </si>
  <si>
    <t>CapEx</t>
  </si>
  <si>
    <t>FCF</t>
  </si>
  <si>
    <t>FCF per Share</t>
  </si>
  <si>
    <t>Institutional Ownership Snapshot (4/14/2025)</t>
  </si>
  <si>
    <t>Address: One Penumbra Place, 
Alameda, CA 94502</t>
  </si>
  <si>
    <t>https://ppubs.uspto.gov/pubwebapp/static/pages/ppubsbasic.html</t>
  </si>
  <si>
    <t>Registered Exchange: NYSE</t>
  </si>
  <si>
    <t>Substantially all of The Company's research and development efforts are based out of the campus in Alameda, California</t>
  </si>
  <si>
    <t>Net Income attr to Non-Cont</t>
  </si>
  <si>
    <t>Consolidated Net Income</t>
  </si>
  <si>
    <t>Net Income attr to PEN</t>
  </si>
  <si>
    <t xml:space="preserve">SG&amp;A as % of Revenues </t>
  </si>
  <si>
    <t>Q1'19</t>
  </si>
  <si>
    <t>Q2'19</t>
  </si>
  <si>
    <t>Q3'19</t>
  </si>
  <si>
    <t>Q4'19</t>
  </si>
  <si>
    <t>Commit to an inventory turnover model!!! Inventories are a large portion of the firms balance sheet and from my understanding has a "limited" shelf life, and because they are medical products, require extra care ($) in storing the units</t>
  </si>
  <si>
    <t>Share Repurchase Program Scope</t>
  </si>
  <si>
    <t>Goodwill remains only 10-15% of the balance sheet</t>
  </si>
  <si>
    <t>Commit to an inventory turnover model!!! Inventories are a large portion of the firms balance sheet and from my understanding have a costly and "limited" shelf life because they are medical products, require extra care ($) in storing the inventories on hand</t>
  </si>
  <si>
    <t>Return on Assets</t>
  </si>
  <si>
    <t>Return on Equity</t>
  </si>
  <si>
    <t>Inventory Turnover Ratio</t>
  </si>
  <si>
    <t>Current Ratio</t>
  </si>
  <si>
    <t>Quick Ratio</t>
  </si>
  <si>
    <t>Cash Ratio</t>
  </si>
  <si>
    <t>Ttl Asset Turnover</t>
  </si>
  <si>
    <t>Not much M&amp;A activity to gunk up that balance</t>
  </si>
  <si>
    <t>The Firm turns inventory over ~once a year at current rates and balances</t>
  </si>
  <si>
    <t>Med-Tech had been punished and left behind in the '24 bull market, as with most other healthcare operators… in the new risk off environment, analysts and the market are looking for safer cash flows… now to determine if these cash flows are overvalued…</t>
  </si>
  <si>
    <t>Sources for model:</t>
  </si>
  <si>
    <t>SEC filings</t>
  </si>
  <si>
    <t>NPV</t>
  </si>
  <si>
    <t>FV</t>
  </si>
  <si>
    <t>CP</t>
  </si>
  <si>
    <t>ROIC</t>
  </si>
  <si>
    <t>There is slight implied upside to mean 1-day returns</t>
  </si>
  <si>
    <t>Total Revenues, Net Income, FCF</t>
  </si>
  <si>
    <t>Clinical Trial/Product Channels</t>
  </si>
  <si>
    <t>Earnings calls</t>
  </si>
  <si>
    <t>The Company believes its ability to rapidly develop innovative products is in large part attributable to the fully integrated product innovation process that has been implemented, and the management philosophy behind that process.</t>
  </si>
  <si>
    <t>The Company currently maintains manufacturing facilities in Alameda and Roseville, California and currently produce substantially all products in-house.</t>
  </si>
  <si>
    <t>The Company competes with a number of manufacturers and distributors of neuro and vascular medical devices. Notable competitors include:</t>
  </si>
  <si>
    <t>It will be important to track depreciation and amortization expenses for the various product lines</t>
  </si>
  <si>
    <t>Inventories, and inventory fair-value adjustments will also be important figures to track. Management must be incredibly diligent with revenue/profit maximization models for their current portfolio, and continue to develop a pipeline of new/innovative products</t>
  </si>
  <si>
    <t>Look into MedTech sales rep protocols. Does MedTech sales function similarly to biopharma reps?</t>
  </si>
  <si>
    <t>Are there a variety of offerings for consumers (hospitals potentially leasing Penumbra products vs buying)? Do international sales function differently (licenses, joint-partnerships)</t>
  </si>
  <si>
    <t>Focus up on laggard international growth. I remember announcements of slight pullbacks in EU during my 2023 internship, and the China market has been struggling out of the COVID era (already a questionable business segment though with the licensing deal... commit to further research)</t>
  </si>
  <si>
    <t>Seen below -- Penumbra's traded common stock has decisively outperformed the majority of it's competing peers (next up, look into BSX)</t>
  </si>
  <si>
    <t>https://pubmed.ncbi.nlm.nih.gov/34706845/</t>
  </si>
  <si>
    <t>https://pubmed.ncbi.nlm.nih.gov/37084878/</t>
  </si>
  <si>
    <t>Common conditions The Company is focused on include:</t>
  </si>
  <si>
    <t>The Embolization and Access markets are comprised of various diseases and conditions throughout the body, such as aneurysm, hemorrhagic stroke, vessel malformations, bleeding, endoleaks, ovarian veins, varicoceles, and hematomas, as well as products that provide access to the diseased area.</t>
  </si>
  <si>
    <t>Since inception, The Company has introduced multiple brands in either the United States, international, or both markets</t>
  </si>
  <si>
    <t>In addition, The Company has recruited and retained engineers with a variety of backgrounds and experience to support the development of innovative therapies</t>
  </si>
  <si>
    <t>The Company believes they have adequate supplies or sources of availability of raw materials necessary to meet demand</t>
  </si>
  <si>
    <t>There are risks and uncertainties with respect to the supply of raw materials, particularly where provided by a single supplier, which could impact availability in sufficient quantities to meet The Company's needs</t>
  </si>
  <si>
    <t>In an effort to manage risk associated with raw materials supply, The Company works closely with suppliers to help ensure availability and continuity of supply while maintaining high quality and reliability</t>
  </si>
  <si>
    <t>The Company also utilizes long-term supply contracts with some suppliers to help maintain continuity of supply and manage the risk of price increases</t>
  </si>
  <si>
    <t>Where possible, The Company seeks second source suppliers or suppliers that have alternate manufacturing sites at which they could manufacture critical parts</t>
  </si>
  <si>
    <t>The Company has complemented it's direct sales organization with distributors in most international markets</t>
  </si>
  <si>
    <r>
      <t xml:space="preserve">In recent years, The Company has shifted towards education and learning hospital outreach for brand maintenance and continued outreach/expansion … </t>
    </r>
    <r>
      <rPr>
        <b/>
        <sz val="11"/>
        <color theme="1"/>
        <rFont val="Calibre"/>
      </rPr>
      <t>The Company seeks to demonstrate the efficacy of their superior technology when compared to competitors (primarily Inari's offering)</t>
    </r>
  </si>
  <si>
    <t>See in notes tab about pricing/long term economic returns of med tech products… does it follow similar suit to pharma, meaning rapid depreciation of asset FMV after the product line is innovated upon, or "goes generic" with competing firms entering the market once economic barriers are reduced</t>
  </si>
  <si>
    <t>Most of these competitors are large, well-capitalized companies with longer operating histories and greater resources than The Company has</t>
  </si>
  <si>
    <t>The Company also competes with a number of smaller medical device companies that have single products or a limited range of products</t>
  </si>
  <si>
    <t>The Company competes primarily on the basis that their products are able to treat patients with neuro and vascular diseases and disorders and other health conditions safely and effectively</t>
  </si>
  <si>
    <t xml:space="preserve">Penumbra's Patent Catalog: </t>
  </si>
  <si>
    <t>https://www.penumbrainc.com/patents/</t>
  </si>
  <si>
    <t xml:space="preserve">U.S. Patent Search Tool: </t>
  </si>
  <si>
    <t>!Hey! I assisted The Company compile and submit their Sunshine Act filing during my winter '24 internship. Cool!</t>
  </si>
  <si>
    <t>Category</t>
  </si>
  <si>
    <t>Brief description of role</t>
  </si>
  <si>
    <t>Additionally, The Company owns or has rights to trademarks or trade names that are used in their business and in conjunction with the sale of their products, including 45 U.S. trademark registrations and 225 foreign trademark registrations as of December 31, 2024</t>
  </si>
  <si>
    <t xml:space="preserve">Med devices are a bit tougher of a market to learn than say beverage companies ... does that mean potentially greater arbitrage opportunity... or just a smaller pool of even more fierce competition? </t>
  </si>
  <si>
    <t>U.S. Patent Office filings</t>
  </si>
  <si>
    <t>COGS</t>
  </si>
  <si>
    <t>https://www.sec.gov/edgar/browse/?CIK=1321732&amp;owner=exclude</t>
  </si>
  <si>
    <t xml:space="preserve">Godel Terminal </t>
  </si>
  <si>
    <r>
      <t>Embolization and Access</t>
    </r>
    <r>
      <rPr>
        <b/>
        <sz val="11"/>
        <color rgb="FF000000"/>
        <rFont val="Calibre"/>
      </rPr>
      <t>: </t>
    </r>
    <r>
      <rPr>
        <sz val="11"/>
        <color theme="1"/>
        <rFont val="Calibre"/>
      </rPr>
      <t>Neurosurgeons, interventional neuroradiologists, interventional neurologists, interventional radiologists, vascular surgeons and pediatric interventional cardiologists</t>
    </r>
  </si>
  <si>
    <t>PubMed/NIH reporting's</t>
  </si>
  <si>
    <t>FDA Medical Device reporting's</t>
  </si>
  <si>
    <t>The Company has ~ 1 year of inventory on hand (when compared to COGS) … product mix of inventories is unknown ATT</t>
  </si>
  <si>
    <t xml:space="preserve">As a consequence, they are able to spend more on product acquisition, development, marketing, sales and other product initiatives than The Company currently can facilitate … It has carved out a strong niche among these operators, and really does have the potentiality of "going big" </t>
  </si>
  <si>
    <t xml:space="preserve">It really will be super important to learn more about MedTech products and the  human conditions they're trying to address if I am going to be able to add/analyze this industry beyond modeling the financials … that is what separates a mid-wit analyst from a great analyst ... </t>
  </si>
  <si>
    <t>I hope I get to visit some the engineering and manufacturing workspaces … the finance internship keeps me a bit couped up in the 3011 building unless I go out to the gym or Oscar's</t>
  </si>
  <si>
    <t>Thrombectomy:</t>
  </si>
  <si>
    <t>See Management scope tab for further details on company leadership structure</t>
  </si>
  <si>
    <r>
      <t xml:space="preserve">Most </t>
    </r>
    <r>
      <rPr>
        <b/>
        <sz val="11"/>
        <color theme="1"/>
        <rFont val="Calibre"/>
      </rPr>
      <t>endovascular</t>
    </r>
    <r>
      <rPr>
        <sz val="11"/>
        <color theme="1"/>
        <rFont val="Calibre"/>
      </rPr>
      <t xml:space="preserve"> procedures</t>
    </r>
    <r>
      <rPr>
        <b/>
        <sz val="11"/>
        <color theme="1"/>
        <rFont val="Calibre"/>
      </rPr>
      <t xml:space="preserve"> require access to the diseased area</t>
    </r>
    <r>
      <rPr>
        <sz val="11"/>
        <color theme="1"/>
        <rFont val="Calibre"/>
      </rPr>
      <t xml:space="preserve"> using </t>
    </r>
    <r>
      <rPr>
        <b/>
        <sz val="11"/>
        <color theme="1"/>
        <rFont val="Calibre"/>
      </rPr>
      <t>guidewires and catheters</t>
    </r>
  </si>
  <si>
    <t>I need to look more into how The Company started… does Penumbra currently target engineers from med tech firms that have worked on similar projects? (is there a secret sauce talent pool of Med-Tech engineers similar to the Tiwanese with Semis… look into engineering talent pool across firms)</t>
  </si>
  <si>
    <r>
      <t xml:space="preserve">While reliable third-party data is not available for many markets outside the United States, </t>
    </r>
    <r>
      <rPr>
        <b/>
        <sz val="11"/>
        <color theme="1"/>
        <rFont val="Calibre"/>
      </rPr>
      <t>The Company believes that there are substantial additional market opportunities for thrombectomy, and embolization and access products throughout the world.</t>
    </r>
  </si>
  <si>
    <t>The Company's research and development team has a track record of product innovation and significant product improvements … this is the lifeblood of an IP firm like Penumbra, who's flagship products ultimately do have a finite commercial lifespan and must be innovated/developed upon to retain long term revenues/cashflows</t>
  </si>
  <si>
    <t>Follow Up:</t>
  </si>
  <si>
    <t>Equity β (1-year avg.)</t>
  </si>
  <si>
    <t>Assumptions:</t>
  </si>
  <si>
    <t>Preface:</t>
  </si>
  <si>
    <t>Peer Group:</t>
  </si>
  <si>
    <t>CapEx = Dep. &amp; Am.</t>
  </si>
  <si>
    <t xml:space="preserve">ΔNWC = 0 </t>
  </si>
  <si>
    <t>R&amp;D as a percentage of revenues remains at a constant 10% as the company innovates into the 2030's (look into patent expiry for product mix, as well as R&amp;D + FDA pipeline</t>
  </si>
  <si>
    <t>Non-cash expenses</t>
  </si>
  <si>
    <t>SG&amp;A expenses begin to tail off as a % of revenues (applying simple theory that as revenue growth takes off, fixed costs remain relatively the same/grow at a lower rate than revenues)</t>
  </si>
  <si>
    <t>Future CapEx investment + differentiating maintenance v. investment CapEx</t>
  </si>
  <si>
    <r>
      <t xml:space="preserve">Track and quantify the total write-down/impairment of Immersive </t>
    </r>
    <r>
      <rPr>
        <b/>
        <sz val="11"/>
        <color theme="1"/>
        <rFont val="Calibre"/>
      </rPr>
      <t xml:space="preserve">!!Important!! </t>
    </r>
    <r>
      <rPr>
        <sz val="11"/>
        <color theme="1"/>
        <rFont val="Calibre"/>
      </rPr>
      <t>I am having a tough time with this</t>
    </r>
  </si>
  <si>
    <t>Track inventory write-offs on Stmt of Cash Flow … develop further inference processes with time</t>
  </si>
  <si>
    <t>https://www.sec.gov/Archives/edgar/data/1321732/000114036125014193/ef20047412_ars.pdf</t>
  </si>
  <si>
    <t>Penumbra IR snapshot</t>
  </si>
  <si>
    <t>Compensation + general background info</t>
  </si>
  <si>
    <t>This is the tricky part, and demands learning more about Penumbra's product mix, the product's operating lifecycles, and the company's need to create/innovate to generate future returns (the patents ultimately expire - follows similar behavior to pharma-economics)</t>
  </si>
  <si>
    <t>Determine whether to employ a terminal rate or exit multiple method for the full DCF model</t>
  </si>
  <si>
    <t>The coming years mark an inflection point for The Company, as revenue growth normalizes and EPS/FCF growth is projected to accelerate at an unprecedented rate. The company is entering a maturity stage where:</t>
  </si>
  <si>
    <t>Going forward, it will be important to consider and distinguish between growth CapEx (e.g. expansion into the Costa Rica facility) and maintenance CapEx will be critical for estimating the firm's true FCF generation capabilities</t>
  </si>
  <si>
    <t>Additionally, while my current DCF model delivered a FMV in line with currently traded prices, I believe that Penumbra's intellectual property + potential for future innovations may not be fully captured/reflected in medium term. I would attribute an additional premium for its long-term productivity edge (seen in the higher terminal rate figure).</t>
  </si>
  <si>
    <t>Currently, the model provides a rough estimate into the equities value, as long-term net incomes and FCF figures tend to converge (as cash flows mature and reinvestment beyond maintenance is not required, resulting in CapEx = D&amp;A) but a DCF from cash flows would still be optimal</t>
  </si>
  <si>
    <r>
      <t xml:space="preserve">A DCF model's accuracy hinges on deriving an NPV from </t>
    </r>
    <r>
      <rPr>
        <i/>
        <sz val="11"/>
        <color theme="1"/>
        <rFont val="Calibre"/>
      </rPr>
      <t>projected</t>
    </r>
    <r>
      <rPr>
        <sz val="11"/>
        <color theme="1"/>
        <rFont val="Calibre"/>
      </rPr>
      <t xml:space="preserve"> </t>
    </r>
    <r>
      <rPr>
        <i/>
        <sz val="11"/>
        <color theme="1"/>
        <rFont val="Calibre"/>
      </rPr>
      <t>cash flows</t>
    </r>
    <r>
      <rPr>
        <sz val="11"/>
        <color theme="1"/>
        <rFont val="Calibre"/>
      </rPr>
      <t>... not GAAP compliant net income, which includes</t>
    </r>
    <r>
      <rPr>
        <b/>
        <sz val="11"/>
        <color theme="1"/>
        <rFont val="Calibre"/>
      </rPr>
      <t xml:space="preserve"> non-cash expenses (D&amp;A) and does not consider CapEx demand nor changes in working capital </t>
    </r>
    <r>
      <rPr>
        <sz val="11"/>
        <color theme="1"/>
        <rFont val="Calibre"/>
      </rPr>
      <t>(large cash account outflows)</t>
    </r>
  </si>
  <si>
    <t>No SBC adjustments -- SBC is a very real expense in the form of dilution, but is still non-cash; excluding SBC adjustments leads to an over/understatement in the firms equity value (for fully integrated 3 statement model)</t>
  </si>
  <si>
    <t>Margins continue to expand  (with no noise on a Y/y basis) as revenues mature … company is able to continue innovating and developing a competitive product mix</t>
  </si>
  <si>
    <t xml:space="preserve">Sensitivity to potential swings in working capital -- stress-test </t>
  </si>
  <si>
    <t>Build out models for long term outcome potentiality ("High IP value + cont. innovation" v. "generic competitor" outcomes for Penumbra in the long run?)</t>
  </si>
  <si>
    <t xml:space="preserve">Focus on bringing the amount of assumptions down (many of which can addressed by simply completing the Stmt. of Cash Flow) </t>
  </si>
  <si>
    <t>Closing remarks:</t>
  </si>
  <si>
    <t>This net income to NPV shortcut approach assumes absolutely perfect FCF conversion, which is far from realistic for a still-growing firm like Penumbra</t>
  </si>
  <si>
    <t>R&amp;D spend is treated as an expense (by accountants at least), but in MedTech it almost acts as a capital-like investment into the firm</t>
  </si>
  <si>
    <t>Strategies to improve model's efficacy:</t>
  </si>
  <si>
    <t>Each one of my inputs for the end NPC calculation should have a separate table to record all inputs (</t>
  </si>
  <si>
    <t>Zero debt leverage -- Double edged sword</t>
  </si>
  <si>
    <t xml:space="preserve">Missed opportunity? to access credit markets and lock in low rate bond offerings (like so many of the big tech companies)… </t>
  </si>
  <si>
    <t>Effective Tax Rate</t>
  </si>
  <si>
    <t>Tax Expense (Benefit)</t>
  </si>
  <si>
    <t xml:space="preserve">Despite the company's more limited operating footprint at the time, debt markets presented an attractive opportunity for low-cost capital pre FED hike cycle beg. 2022. </t>
  </si>
  <si>
    <t>With credit spreads between investment-grade corporate bonds at historically tight levels and interest rates near zero, The Company could have strategically leveraged favorable borrowing conditions to secure inexpensive funding.</t>
  </si>
  <si>
    <t>Inventory turnover, and inventory FMV adjustments will also be important figures to track. Management must be incredibly diligent with revenue/profit maximization models for their current product portfolio, and continue to develop a pipeline of new/innovative products</t>
  </si>
  <si>
    <t>Obsolescence of old products as new products come to market, rendering older inventory "worthless" (e.g. Lightning 2.0 taking over 1.0; a competing firm releases an innovative offering in the same market, eroding economic profits)</t>
  </si>
  <si>
    <t xml:space="preserve">The Firm's quick ratio is &gt;3x current liabilities, which alleviated some of my initial concerns. The quick ratio calculations confirm there are no near-term solvency concerns… Tracking potential inventory overhangs/changes in working capital will still be critical as the firm scales </t>
  </si>
  <si>
    <t xml:space="preserve">Compare The Company's days inventory outstanding (DIO) with competing firms. Look for outliers. </t>
  </si>
  <si>
    <t>(ii) General product complexity (similar to a manufacturing firm having higher proportions of PP&amp;E due to heavy machinery demand)</t>
  </si>
  <si>
    <t xml:space="preserve">MedTech firms across the sector have higher Inventory/Ttl. Asset ratios than consumer staple, and discretionary firms (which I am more accustomed to evaluating. MedTech firms often carry higher inventory levels due to:   </t>
  </si>
  <si>
    <t>(iii) Lengthy sales cycles with client base (hospital budgets with little slack)</t>
  </si>
  <si>
    <t>(look into other reasons why this is a feature of the sector)</t>
  </si>
  <si>
    <t xml:space="preserve">In general, The Companies balance sheet is pristine, but inventory turnover and product mix are critical swing factors which will be important to track periodically. </t>
  </si>
  <si>
    <t xml:space="preserve">Modeling out inventory scenarios explicitly may reveal upside or uncover potentially hidden risks. Inventories are the line item to watch for on the balance sheet, and requires further analysis on my end. </t>
  </si>
  <si>
    <t xml:space="preserve">Inventories currently represent 26% of Ttl. assets. This balance spooked me a bit with a knee-jerk concern, as I am not used to seeing firms with so much of their balance sheet tied up in assets… </t>
  </si>
  <si>
    <t xml:space="preserve">Compare to competitors/other med-tech firms; I could just be used to other sector comps, which have much less inventory on hand … requires further research </t>
  </si>
  <si>
    <t>Revenues:</t>
  </si>
  <si>
    <t>There are a variety of assumptions listed above that immediately invalidate the calculated valuation and any potential upside/downside. I hope to continue iterating on this model in order to better capture the firms true potential value on the market</t>
  </si>
  <si>
    <t>RFR (10-year yield)</t>
  </si>
  <si>
    <t>Deferred Tax Assets</t>
  </si>
  <si>
    <t>Long-term NI ≈ FCF (sub assumptions: CapEx purely maintenance - D&amp;A balancing with CapEx, No delta in WC)</t>
  </si>
  <si>
    <t xml:space="preserve">Build out models for competing firms + other operators in the MedTech/Health Science sector; mosaic theory some comparable </t>
  </si>
  <si>
    <t>Gives a chance to study other operators, their financial standing, the technological "asset value" firms possess (which is where the real α is found from an equity interest)</t>
  </si>
  <si>
    <t xml:space="preserve">Stryker managers are intelligent and didn't pay a 60% premium above the market's current trading price on Inari for no reason… If NARI was a traditional enterprise, say a bottling plant factory, and SYK managers acquired it for a 60% premium above its current valuation, other participants would laugh and call them dumb... This means that NARI (and potentially MedTech companies in general) are valued by the market for more than just the net present value of cash flows... or makes positive assumptions about future returns </t>
  </si>
  <si>
    <t>Learn more about R&amp;D initiatives and gauge whether to capitalize R&amp;D on the balance sheet over a useful life</t>
  </si>
  <si>
    <t xml:space="preserve">Additionally, working to capture qualitative factors in the valuation (IP/innovation runway, product's standing as flagship in the space( taking dominant market share), management strategy, etc.) will increase accuracy.  </t>
  </si>
  <si>
    <t>My terminal value makes an assumption of strong, stable future revenues and margins, but MedTech is prone to patent expiry cliffs (similar to pharma) and FDA/health regulation risks</t>
  </si>
  <si>
    <t>No debt (equity holders are junior to no other stakeholder) = No interest expenses, no refinancing risk exposure (unlike many of The Company's larger competitors), and well positioned for future strategic moves (M&amp;A, R&amp;D expansion, share buybacks and other vehicles to increase shareholder returns)</t>
  </si>
  <si>
    <t>MedTech as a sector is R&amp;D intensive; financing capital through equity issuance may align better with long-term IP development timelines… The Company's managers did raise capital through equity issuance at the time, which corroborates this thesis</t>
  </si>
  <si>
    <t>(I) Regulatory buffers enforced by health agencies (FDA-mandated safety stock on critical parts)</t>
  </si>
  <si>
    <t>Perishability of devices, and the sterile/expiry constraints is still a concern/figure to watch for</t>
  </si>
  <si>
    <t>Relatively esoteric balance sheet. It would be nice to have an inventory breakdown by product (is all the inventory low margin catheters, or a bunch of brand new Lightning systems sitting around?</t>
  </si>
  <si>
    <t xml:space="preserve">Is this margin expansion and projected earnings growth already priced in? </t>
  </si>
  <si>
    <t>Build a reverse DCF model to back out implied market expectations; stress test expectations and compare to competing firms in the sector</t>
  </si>
  <si>
    <t>Compare consensus FCF growth rates to management guidance and peer benchmarks… e.g. If current price implies 10% long-term FCF growth, but peers are trading at 15%+ assumed growth, the market may be conservative on The Firm's value</t>
  </si>
  <si>
    <t>Office expansion with Alameda campus during the Pandemic + entrance into Roseville, Livermore sites (all of which have reached full operating capacity)</t>
  </si>
  <si>
    <t>Strategic Share Repurchase through ASR when shares where beaten down (Aug. 2024)</t>
  </si>
  <si>
    <t>Costa Rica site expansion for cost arbitrage/comparative advantage (announced year-end 2024)</t>
  </si>
  <si>
    <t xml:space="preserve">I believe there are still levers management can pull to surprise to the upside … </t>
  </si>
  <si>
    <t>[Add to this list to highlight other initiatives]</t>
  </si>
  <si>
    <t>With a cash geyser being projected to begin erupting this year, management's ability to pivot away from defensive (buybacks and core product investment) to offensive (potential M&amp;A/R&amp;D expansion) strategies will be their next big test</t>
  </si>
  <si>
    <t>Penumbra is uniquely positioned, and almost benefits from the currently proposed tariff regime when compared to competing firms/peers and their positioning (who have much greater sensitivities to shifts in trade policy and the global business environment)</t>
  </si>
  <si>
    <t xml:space="preserve">Costa Rica remains unaffected by specially levied tariffs beyond the baseline 10% … it will be important to track the capital investment going into the Costa Rica site, and learn more about the proposed operations. </t>
  </si>
  <si>
    <t>Will be important to track retaliatory tariffs, although international markets have been a shrinking portion of revenues for The Company, and the Chinese business has already been heavily discounted by the market well before federal policy came into play</t>
  </si>
  <si>
    <t xml:space="preserve">Margins projected to rapidly expand in the coming years, driving earnings and FCF growth </t>
  </si>
  <si>
    <t>Revenues/revenue growth remain strong, but the bigger opportunity going forward lies in capital deployment as cash really starts to roll in -- whether through M&amp;A, R&amp;D into new markets, or cash return programs for shareholders through buybacks or dividends(creating a designated share repurchase program beyond the occasional lump sum allocation as seen in Aug '24 with the strategic ASR)</t>
  </si>
  <si>
    <t xml:space="preserve">Non-cash expenses (D&amp;A) have been balancing out with PP&amp;E spend in recent quarters, which could suggest a stabilization in the firms capital investment intensity </t>
  </si>
  <si>
    <t>General Notes/Observations (Updated Q1'25)</t>
  </si>
  <si>
    <t>Financial Stmts. Notes/Observations (Updated Q1'25)</t>
  </si>
  <si>
    <t>Public Management Scope Recources:</t>
  </si>
  <si>
    <t>The Company's success depends in part on it's ability to protect proprietary technology and intellectual property and operate without infringing the patents and other proprietary rights of third parties</t>
  </si>
  <si>
    <t>The Company relies on a combination of patent, trademark, trade secret, copyright and other intellectual property rights and measures to protect intellectual property rights that are considered important to The Company's interests</t>
  </si>
  <si>
    <t>The Company also relies on know-how and continuing technological innovation to develop and maintain it's competitive position in the markets it operates in</t>
  </si>
  <si>
    <t>The Company does not have any material licenses to any technology or intellectual property rights</t>
  </si>
  <si>
    <r>
      <rPr>
        <b/>
        <sz val="11"/>
        <color theme="1"/>
        <rFont val="Calibre"/>
      </rPr>
      <t>! Important !</t>
    </r>
    <r>
      <rPr>
        <sz val="11"/>
        <color theme="1"/>
        <rFont val="Calibre"/>
      </rPr>
      <t xml:space="preserve"> As of December 31, 2024, The Company owned and/or had rights to </t>
    </r>
    <r>
      <rPr>
        <b/>
        <sz val="11"/>
        <color theme="1"/>
        <rFont val="Calibre"/>
      </rPr>
      <t>120 issued patents globally</t>
    </r>
    <r>
      <rPr>
        <sz val="11"/>
        <color theme="1"/>
        <rFont val="Calibre"/>
      </rPr>
      <t xml:space="preserve">, of which </t>
    </r>
    <r>
      <rPr>
        <b/>
        <sz val="11"/>
        <color theme="1"/>
        <rFont val="Calibre"/>
      </rPr>
      <t>58 were U.S. patents</t>
    </r>
    <r>
      <rPr>
        <sz val="11"/>
        <color theme="1"/>
        <rFont val="Calibre"/>
      </rPr>
      <t xml:space="preserve">. As of December 31, 2024, The Company owned and/or had rights to </t>
    </r>
    <r>
      <rPr>
        <b/>
        <sz val="11"/>
        <color theme="1"/>
        <rFont val="Calibre"/>
      </rPr>
      <t>55 pending patent applications</t>
    </r>
    <r>
      <rPr>
        <sz val="11"/>
        <color theme="1"/>
        <rFont val="Calibre"/>
      </rPr>
      <t xml:space="preserve">, of which </t>
    </r>
    <r>
      <rPr>
        <b/>
        <sz val="11"/>
        <color theme="1"/>
        <rFont val="Calibre"/>
      </rPr>
      <t>29 were patent applications pending in the United States</t>
    </r>
  </si>
  <si>
    <r>
      <rPr>
        <b/>
        <sz val="11"/>
        <color theme="1"/>
        <rFont val="Calibre"/>
      </rPr>
      <t>Innovation is in MedTech is absolutely key</t>
    </r>
    <r>
      <rPr>
        <sz val="11"/>
        <color theme="1"/>
        <rFont val="Calibre"/>
      </rPr>
      <t>; consequences include falling behind in the value chain -&gt; reduces earnings potential if The Company falls behind in product pipeline while requiring the same if not more R&amp;D spend to catch up/leapfrog competitors back into a dominant position (think mix between semiconductor and biopharma industries)</t>
    </r>
  </si>
  <si>
    <t>Domestic Patents</t>
  </si>
  <si>
    <t>Ttl Issued Patents</t>
  </si>
  <si>
    <t>Intl. Patents</t>
  </si>
  <si>
    <t>issued</t>
  </si>
  <si>
    <r>
      <t xml:space="preserve">16 </t>
    </r>
    <r>
      <rPr>
        <sz val="11"/>
        <color theme="1"/>
        <rFont val="Calibre"/>
      </rPr>
      <t>of The Company's</t>
    </r>
    <r>
      <rPr>
        <b/>
        <sz val="11"/>
        <color theme="1"/>
        <rFont val="Calibre"/>
      </rPr>
      <t xml:space="preserve"> issued patents</t>
    </r>
    <r>
      <rPr>
        <sz val="11"/>
        <color theme="1"/>
        <rFont val="Calibre"/>
      </rPr>
      <t xml:space="preserve"> are currently</t>
    </r>
    <r>
      <rPr>
        <b/>
        <sz val="11"/>
        <color theme="1"/>
        <rFont val="Calibre"/>
      </rPr>
      <t xml:space="preserve"> set to expire between 2025 and 2026</t>
    </r>
  </si>
  <si>
    <t>Current IP Assets:</t>
  </si>
  <si>
    <t>IP Application Pipeline</t>
  </si>
  <si>
    <t>Ttl Pending Patent Apps.</t>
  </si>
  <si>
    <t>Terminal</t>
  </si>
  <si>
    <t>Change Δ:</t>
  </si>
  <si>
    <t>Discount (Cost of Equity)</t>
  </si>
  <si>
    <t>IP Expiries (2025 - 2026)</t>
  </si>
  <si>
    <t>13 of these patents relate to components of the Penumbra System and the Indigo System (flagship thrombectomy products)</t>
  </si>
  <si>
    <t>Patents Set to Expire</t>
  </si>
  <si>
    <t>Thrombectomy 
(Neuro + Peripheral)</t>
  </si>
  <si>
    <t>The Company will be able to meet all U.S. demand with domestic manufacturing, allowing for margins to remain relatively unaffected by current trade policy debacles…</t>
  </si>
  <si>
    <t>Embolization and Access
(Peripheral Embolization + Neuro Embolization + Access + Neurosurgical Tools)</t>
  </si>
  <si>
    <t>[Important] The Chinese business and revenues were entirely removed from FY'25 estimates</t>
  </si>
  <si>
    <t>Sequential gross margin improvements are anticipated in the second half of 2025</t>
  </si>
  <si>
    <t>The company expects Q2'25 gross margins to remain similar to or slightly lower than Q1, due to expedited manufacturing costs for Ruby XL</t>
  </si>
  <si>
    <t>Q1'25 thrombectomy revenues reached $226.5 million, an increase of 20.7% year-over-year, with U.S. thrombectomy contributing significantly to this growth. International thrombectomy increased 3.3%, excluding challenges in China</t>
  </si>
  <si>
    <t>Revenue from the embolization and access business rose to $97.6 million, a 7.3% increase compared to Q1 2024, primarily driven by U.S. growth</t>
  </si>
  <si>
    <t>Gross margin expanded to 66.6%, driven by favorable thrombectomy product mix and productivity improvements</t>
  </si>
  <si>
    <t>Management's 2023 guidance is proving accurate as margin improvements begins to materialize (both Gross &amp; Net)</t>
  </si>
  <si>
    <t>Explosive NI/FCF growth projected for '25, '26, outpacing revenues as the firm matures into a profitability/earnings stage</t>
  </si>
  <si>
    <t>Global Thrombectomy Market Scope:</t>
  </si>
  <si>
    <t>Abbott Labs</t>
  </si>
  <si>
    <t>ABT</t>
  </si>
  <si>
    <t>AngioDynamics</t>
  </si>
  <si>
    <t>ANGO</t>
  </si>
  <si>
    <t>Cook Medical</t>
  </si>
  <si>
    <t>Edwards Lifesciences</t>
  </si>
  <si>
    <t>EW</t>
  </si>
  <si>
    <t>Koninklijke Philips N.V.</t>
  </si>
  <si>
    <t>Lemaitre Vascular</t>
  </si>
  <si>
    <t>LMAT</t>
  </si>
  <si>
    <t xml:space="preserve">Teleflex </t>
  </si>
  <si>
    <t>TFX</t>
  </si>
  <si>
    <t>Terumo</t>
  </si>
  <si>
    <t>Acandis GmbH (German)</t>
  </si>
  <si>
    <t>Q1 2025 Earnings Call Transcript Scopes:</t>
  </si>
  <si>
    <t>Revenue growth continues, with Thrombectomy revenues remaining strong into the terminal period</t>
  </si>
  <si>
    <t>Working to understand these qualitative factors may also unlock a view into the markets reasoning behind justifying a large equity premium from a glance ("I don’t pay an analyst big bucks to tell me if a 6x P/E Fwd. firm is cheap… I pay them to tell me if a 156x Fwd. P/E firm is cheap!")</t>
  </si>
  <si>
    <t>&lt;- Acquired by Stryker (Feb. 20, 2025) for ~$4.9 billion (an incredible 60% premium on the trading market valuation) … Stryker has a talented management team with a long term track record of suceessful M&amp;A activity … what are they seeing here that demanded such a premium (for context NARI was ultimately acquired for ~ it's IPO valuation... so was it really a massive premium?... do the work and find out!!!)</t>
  </si>
  <si>
    <t>Additional Notes:</t>
  </si>
  <si>
    <t>Japanese listing</t>
  </si>
  <si>
    <t>[click hyperlinks to access subsequent models]</t>
  </si>
  <si>
    <t xml:space="preserve">Argon Medical Devices </t>
  </si>
  <si>
    <t>&lt;- Acquired in 2017 by Shandong Weigao Group (Chinese) for $850M</t>
  </si>
  <si>
    <t>~350 k</t>
  </si>
  <si>
    <t>~800 k</t>
  </si>
  <si>
    <t>~250 k</t>
  </si>
  <si>
    <t>~200 k</t>
  </si>
  <si>
    <t>~300 k</t>
  </si>
  <si>
    <t>Total est. ACS per year:</t>
  </si>
  <si>
    <t>Total est. strokes per year:</t>
  </si>
  <si>
    <t>Total est. ALIs per year:</t>
  </si>
  <si>
    <t>Total est. DVTs per year:</t>
  </si>
  <si>
    <t>Total est. PEs per year:</t>
  </si>
  <si>
    <t>16 Patents Set to Expire</t>
  </si>
  <si>
    <t>The Company believes these arrangements will allow them to monetize technology while helping to mitigate market risk</t>
  </si>
  <si>
    <t>Demonstrable innovative edge above competitors, with a pipeline of products in various stages of the FDA process</t>
  </si>
  <si>
    <t>Premium pricing over competitors with innovative products that grant pricing power [look into measuring/quantifying brand moat]</t>
  </si>
  <si>
    <t>Embolization &amp; Access revenues have been plateauing/declining although have bounced in the most recent quarterly report</t>
  </si>
  <si>
    <t>Potentially mature technology/franchise, or the firm is loosing market share to competitors… Research further</t>
  </si>
  <si>
    <t xml:space="preserve">Thrombectomy is driving outsized growth for The Company (20-21% FY'25E) </t>
  </si>
  <si>
    <t>Ttl revenues geographically continue to shift towards the US (at almost 80% of Ttl revenues as of Q1'25)</t>
  </si>
  <si>
    <t>Reliance on thrombectomy is could be a concern in the future … how will management allocate cash flows generated?</t>
  </si>
  <si>
    <t>FX headwinds are a real concern as dollar volatility begins to take its toll on internationally operating businesses</t>
  </si>
  <si>
    <t>Look into competitors and their product pipelines and upcoming launches… do any of the firms offering's have any competitive with Penumbras businesses (thrombectomy is most important revenue center)</t>
  </si>
  <si>
    <t>Listen to earnings call for comments on sales force commentary</t>
  </si>
  <si>
    <t>I remember there was a decent growth in hiring during '23 and '24, especially in the sales teams… following human capital trends will be important</t>
  </si>
  <si>
    <t>Earnings Scope:</t>
  </si>
  <si>
    <t>ERP 
(Avg. market return - (less) RFR)</t>
  </si>
  <si>
    <t>Higher than average terminal rate value (~1.2x GDP)</t>
  </si>
  <si>
    <t>Follow Up List:</t>
  </si>
  <si>
    <t>Commoditization of segments such as (aneurysm) coiling?</t>
  </si>
  <si>
    <t>Product Snapshot:</t>
  </si>
  <si>
    <r>
      <rPr>
        <b/>
        <sz val="11"/>
        <color theme="1"/>
        <rFont val="Calibre"/>
      </rPr>
      <t>The thrombectomy market is comprised of vascular diseases</t>
    </r>
    <r>
      <rPr>
        <sz val="11"/>
        <color theme="1"/>
        <rFont val="Calibre"/>
      </rPr>
      <t xml:space="preserve"> and disorders occurring in vessels throughout the body, including ischemic stroke, VT such as pulmonary embolism, acute limb ischemia, DVT, coronary disease and other conditions</t>
    </r>
  </si>
  <si>
    <t>Balance Sheet Scope:</t>
  </si>
  <si>
    <t>Ttl revenue growth remains healthy (12-14% FY'25E) and I believe The Company is actually in line to outperform market expectations due to durable thrombectomy market growth. Embolization reporting's are relatively uninteresting.</t>
  </si>
  <si>
    <t>!Important! China revenues were entirely excluded from 2025 revenue estimates as the business is seemingly rolling over?</t>
  </si>
  <si>
    <t xml:space="preserve">Management has continued to demonstrate competent capital investment initiative when it comes to the core business… </t>
  </si>
  <si>
    <t>Commercially successful and expanding portfolio (strong niche in the acute thrombectomy market)</t>
  </si>
  <si>
    <t xml:space="preserve">Management has a demonstrated track record of allocating capital towards high-IRR projects (I am personally really excited for the Costa Rica site investment).  </t>
  </si>
  <si>
    <t>After completing full DCF model (from cash flows and not the net income shortcut), build out a reverse DCF snapshot to assist in make inferences on the market's assumptions for The Company's future operating performance</t>
  </si>
  <si>
    <t>Peripheral Thrombectomy Portfolio Scope:</t>
  </si>
  <si>
    <t>Indigo System (Base Technology)</t>
  </si>
  <si>
    <t>Regulatory Timeline &amp; Commercialization</t>
  </si>
  <si>
    <t>Link:</t>
  </si>
  <si>
    <r>
      <rPr>
        <b/>
        <sz val="11"/>
        <color theme="1"/>
        <rFont val="Calibre"/>
      </rPr>
      <t>FDA Clearance (Original): 2014</t>
    </r>
    <r>
      <rPr>
        <sz val="11"/>
        <color theme="1"/>
        <rFont val="Calibre"/>
      </rPr>
      <t xml:space="preserve"> - Approved for continuous aspiration mechanical thrombectomy system designed to remove clot from arteries and veins in the peripheral vasculature</t>
    </r>
  </si>
  <si>
    <r>
      <rPr>
        <b/>
        <sz val="11"/>
        <color theme="1"/>
        <rFont val="Calibre"/>
      </rPr>
      <t xml:space="preserve">Commercial Launch in 2015 </t>
    </r>
    <r>
      <rPr>
        <sz val="11"/>
        <color theme="1"/>
        <rFont val="Calibre"/>
      </rPr>
      <t>(reports on supply constrain in first year; full commercial availability by 2016)</t>
    </r>
  </si>
  <si>
    <t>Expansions:</t>
  </si>
  <si>
    <t>2017 - Received FDA clearance for PE (pulmonary embolism) thrombectomy with CAT8 Catheter</t>
  </si>
  <si>
    <t xml:space="preserve">2020 - Launch of Lightning 12 </t>
  </si>
  <si>
    <t>Are revenues generated from the sale of units, by procedure, or a combination of the two?</t>
  </si>
  <si>
    <t xml:space="preserve">Latest Iteration: </t>
  </si>
  <si>
    <t xml:space="preserve">Stable corporate tax rate -- TCJA is not allowed to sunset this year and The Company must remain relatively unaffected by tariff regime policies </t>
  </si>
  <si>
    <t>The Company is only taxed at the federal corporate rate of 21% + California's 8.84% (does not consider any exotic tax circumstances)</t>
  </si>
  <si>
    <t>[click hyperlinks to access subsequent info]</t>
  </si>
  <si>
    <t>Most of The Company's customer relationships are with government entities (UK, China, other)</t>
  </si>
  <si>
    <t>Business Risks</t>
  </si>
  <si>
    <t>The Company's existing products may be rendered obsolete and we may be unable to effectively introduce and market new products or may fail to keep pace with advances in technologies</t>
  </si>
  <si>
    <t>The medical device market is highly competitive and is characterized by rapidly advancing technology</t>
  </si>
  <si>
    <t>The Company's success and growth depends, in part, on it's ability to anticipate technological advancements and competitive innovations and respond accordingly</t>
  </si>
  <si>
    <t>Any delays in our product launches may significantly impede our ability to enter or compete in a given market and may reduce the sales that we are able to generate from these products</t>
  </si>
  <si>
    <t xml:space="preserve">[Track FDA pipeline] </t>
  </si>
  <si>
    <t>To compete in the marketplace, we have made, and we must continue to make, substantial investments in new product development, whether internally through research and development or externally through licensing or acquisitions</t>
  </si>
  <si>
    <r>
      <rPr>
        <b/>
        <sz val="11"/>
        <color theme="1"/>
        <rFont val="Calibre"/>
      </rPr>
      <t>Track R&amp;D pipeline</t>
    </r>
    <r>
      <rPr>
        <sz val="11"/>
        <color theme="1"/>
        <rFont val="Calibre"/>
      </rPr>
      <t xml:space="preserve"> + </t>
    </r>
    <r>
      <rPr>
        <b/>
        <sz val="11"/>
        <color theme="1"/>
        <rFont val="Calibre"/>
      </rPr>
      <t>search around</t>
    </r>
    <r>
      <rPr>
        <sz val="11"/>
        <color theme="1"/>
        <rFont val="Calibre"/>
      </rPr>
      <t xml:space="preserve"> the sector for </t>
    </r>
    <r>
      <rPr>
        <b/>
        <sz val="11"/>
        <color theme="1"/>
        <rFont val="Calibre"/>
      </rPr>
      <t>competing product offerings</t>
    </r>
    <r>
      <rPr>
        <sz val="11"/>
        <color theme="1"/>
        <rFont val="Calibre"/>
      </rPr>
      <t>… could be interesting M&amp;A prospects backed by future cash flow growth or equity raises</t>
    </r>
  </si>
  <si>
    <r>
      <rPr>
        <b/>
        <sz val="11"/>
        <color theme="1"/>
        <rFont val="Calibre"/>
      </rPr>
      <t>Product designs change often</t>
    </r>
    <r>
      <rPr>
        <sz val="11"/>
        <color theme="1"/>
        <rFont val="Calibre"/>
      </rPr>
      <t xml:space="preserve"> to adjust to shifting market preferences and other factors, and </t>
    </r>
    <r>
      <rPr>
        <b/>
        <sz val="11"/>
        <color theme="1"/>
        <rFont val="Calibre"/>
      </rPr>
      <t>therefore product life cycles are relatively short</t>
    </r>
  </si>
  <si>
    <t xml:space="preserve">Follows similar market dynamics to pharma / pharmaeconomics </t>
  </si>
  <si>
    <t>Significant risk to the core business if:</t>
  </si>
  <si>
    <t>Managers are unsuccessful in identifying, developing or acquiring, and marketing new products or enhancing existing products</t>
  </si>
  <si>
    <t>Experience delays in any phase of a new product launch, including during research and development, clinical trials, regulatory review, manufacturing and marketing</t>
  </si>
  <si>
    <t>Current CEO: Adam Elsesser (Co-Founder)</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</si>
  <si>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</si>
  <si>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</si>
  <si>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</si>
  <si>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</si>
  <si>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</si>
  <si>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</si>
  <si>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</si>
  <si>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</si>
  <si>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</si>
  <si>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</si>
  <si>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</si>
  <si>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</si>
  <si>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</si>
  <si>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</si>
  <si>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</si>
  <si>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</si>
  <si>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</si>
  <si>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</si>
  <si>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</si>
  <si>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&lt;- Shapre Ratio (Risk Adjusted Return)</t>
  </si>
  <si>
    <t>&lt;- Sortino Ratio (Downside Risk Adjusted Return)</t>
  </si>
  <si>
    <t>I am treating this as an exercise to improve my excel modeling skills, become more comfortable with researching public companies using a variety of professional resources, and begin developing a deeper understanding into The Business's operations and current financial standing</t>
  </si>
  <si>
    <t>Additional effort by management to begin awareness campaigns into the merits of mechanical intervention above established pharmacological treatments available &amp;  alternative MedTech Products</t>
  </si>
  <si>
    <t>No future debt issuance - I only calculated for Cost of Equity... Net income is more sensitive to changes in capital structure, and will distort NPV calculation further between NI and FCF</t>
  </si>
  <si>
    <t>Median</t>
  </si>
  <si>
    <t>Highly volatility... yet relatively low correlation to the S&amp;P with a historical beta of just .56</t>
  </si>
  <si>
    <t>Tue, 29 Apr 2025 00:00:00 GMT</t>
  </si>
  <si>
    <t>Mon, 28 Apr 2025 00:00:00 GMT</t>
  </si>
  <si>
    <t>Thu, 28 Mar 2024 00:00:00 GMT</t>
  </si>
  <si>
    <t>Wed, 27 Mar 2024 00:00:00 GMT</t>
  </si>
  <si>
    <t>Tue, 26 Mar 2024 00:00:00 GMT</t>
  </si>
  <si>
    <t>Mon, 25 Mar 2024 00:00:00 GMT</t>
  </si>
  <si>
    <t>Fri, 22 Mar 2024 00:00:00 GMT</t>
  </si>
  <si>
    <t>Thu, 21 Mar 2024 00:00:00 GMT</t>
  </si>
  <si>
    <t>Wed, 20 Mar 2024 00:00:00 GMT</t>
  </si>
  <si>
    <t>Tue, 19 Mar 2024 00:00:00 GMT</t>
  </si>
  <si>
    <t>Mon, 18 Mar 2024 00:00:00 GMT</t>
  </si>
  <si>
    <t>Fri, 15 Mar 2024 00:00:00 GMT</t>
  </si>
  <si>
    <t>Thu, 14 Mar 2024 00:00:00 GMT</t>
  </si>
  <si>
    <t>Wed, 13 Mar 2024 00:00:00 GMT</t>
  </si>
  <si>
    <t>Tue, 12 Mar 2024 00:00:00 GMT</t>
  </si>
  <si>
    <t>Mon, 11 Mar 2024 00:00:00 GMT</t>
  </si>
  <si>
    <t>Fri, 08 Mar 2024 00:00:00 GMT</t>
  </si>
  <si>
    <t>Thu, 07 Mar 2024 00:00:00 GMT</t>
  </si>
  <si>
    <t>Wed, 06 Mar 2024 00:00:00 GMT</t>
  </si>
  <si>
    <t>Tue, 05 Mar 2024 00:00:00 GMT</t>
  </si>
  <si>
    <t>Mon, 04 Mar 2024 00:00:00 GMT</t>
  </si>
  <si>
    <t>Fri, 01 Mar 2024 00:00:00 GMT</t>
  </si>
  <si>
    <t>Thu, 29 Feb 2024 00:00:00 GMT</t>
  </si>
  <si>
    <t>Wed, 28 Feb 2024 00:00:00 GMT</t>
  </si>
  <si>
    <t>Tue, 27 Feb 2024 00:00:00 GMT</t>
  </si>
  <si>
    <t>Mon, 26 Feb 2024 00:00:00 GMT</t>
  </si>
  <si>
    <t>Fri, 23 Feb 2024 00:00:00 GMT</t>
  </si>
  <si>
    <t>Thu, 22 Feb 2024 00:00:00 GMT</t>
  </si>
  <si>
    <t>Wed, 21 Feb 2024 00:00:00 GMT</t>
  </si>
  <si>
    <t>Tue, 20 Feb 2024 00:00:00 GMT</t>
  </si>
  <si>
    <t>Fri, 16 Feb 2024 00:00:00 GMT</t>
  </si>
  <si>
    <t>Thu, 15 Feb 2024 00:00:00 GMT</t>
  </si>
  <si>
    <t>Wed, 14 Feb 2024 00:00:00 GMT</t>
  </si>
  <si>
    <t>Tue, 13 Feb 2024 00:00:00 GMT</t>
  </si>
  <si>
    <t>Mon, 12 Feb 2024 00:00:00 GMT</t>
  </si>
  <si>
    <t>Fri, 09 Feb 2024 00:00:00 GMT</t>
  </si>
  <si>
    <t>Thu, 08 Feb 2024 00:00:00 GMT</t>
  </si>
  <si>
    <t>Wed, 07 Feb 2024 00:00:00 GMT</t>
  </si>
  <si>
    <t>Tue, 06 Feb 2024 00:00:00 GMT</t>
  </si>
  <si>
    <t>Mon, 05 Feb 2024 00:00:00 GMT</t>
  </si>
  <si>
    <t>Fri, 02 Feb 2024 00:00:00 GMT</t>
  </si>
  <si>
    <t>Thu, 01 Feb 2024 00:00:00 GMT</t>
  </si>
  <si>
    <t>Wed, 31 Jan 2024 00:00:00 GMT</t>
  </si>
  <si>
    <t>Tue, 30 Jan 2024 00:00:00 GMT</t>
  </si>
  <si>
    <t>Mon, 29 Jan 2024 00:00:00 GMT</t>
  </si>
  <si>
    <t>Fri, 26 Jan 2024 00:00:00 GMT</t>
  </si>
  <si>
    <t>Thu, 25 Jan 2024 00:00:00 GMT</t>
  </si>
  <si>
    <t>Wed, 24 Jan 2024 00:00:00 GMT</t>
  </si>
  <si>
    <t>Tue, 23 Jan 2024 00:00:00 GMT</t>
  </si>
  <si>
    <t>Mon, 22 Jan 2024 00:00:00 GMT</t>
  </si>
  <si>
    <t>Fri, 19 Jan 2024 00:00:00 GMT</t>
  </si>
  <si>
    <t>Thu, 18 Jan 2024 00:00:00 GMT</t>
  </si>
  <si>
    <t>Wed, 17 Jan 2024 00:00:00 GMT</t>
  </si>
  <si>
    <t>Tue, 16 Jan 2024 00:00:00 GMT</t>
  </si>
  <si>
    <t>Fri, 12 Jan 2024 00:00:00 GMT</t>
  </si>
  <si>
    <t>Thu, 11 Jan 2024 00:00:00 GMT</t>
  </si>
  <si>
    <t>Wed, 10 Jan 2024 00:00:00 GMT</t>
  </si>
  <si>
    <t>Tue, 09 Jan 2024 00:00:00 GMT</t>
  </si>
  <si>
    <t>Mon, 08 Jan 2024 00:00:00 GMT</t>
  </si>
  <si>
    <t>Fri, 05 Jan 2024 00:00:00 GMT</t>
  </si>
  <si>
    <t>Thu, 04 Jan 2024 00:00:00 GMT</t>
  </si>
  <si>
    <t>Wed, 03 Jan 2024 00:00:00 GMT</t>
  </si>
  <si>
    <t>Tue, 02 Jan 2024 00:00:00 GMT</t>
  </si>
  <si>
    <t>Fri, 29 Dec 2023 00:00:00 GMT</t>
  </si>
  <si>
    <t>Thu, 28 Dec 2023 00:00:00 GMT</t>
  </si>
  <si>
    <t>Wed, 27 Dec 2023 00:00:00 GMT</t>
  </si>
  <si>
    <t>Tue, 26 Dec 2023 00:00:00 GMT</t>
  </si>
  <si>
    <t>Fri, 22 Dec 2023 00:00:00 GMT</t>
  </si>
  <si>
    <t>Thu, 21 Dec 2023 00:00:00 GMT</t>
  </si>
  <si>
    <t>Wed, 20 Dec 2023 00:00:00 GMT</t>
  </si>
  <si>
    <t>Tue, 19 Dec 2023 00:00:00 GMT</t>
  </si>
  <si>
    <t>Mon, 18 Dec 2023 00:00:00 GMT</t>
  </si>
  <si>
    <t>Fri, 15 Dec 2023 00:00:00 GMT</t>
  </si>
  <si>
    <t>Thu, 14 Dec 2023 00:00:00 GMT</t>
  </si>
  <si>
    <t>Wed, 13 Dec 2023 00:00:00 GMT</t>
  </si>
  <si>
    <t>Tue, 12 Dec 2023 00:00:00 GMT</t>
  </si>
  <si>
    <t>Mon, 11 Dec 2023 00:00:00 GMT</t>
  </si>
  <si>
    <t>Fri, 08 Dec 2023 00:00:00 GMT</t>
  </si>
  <si>
    <t>Thu, 07 Dec 2023 00:00:00 GMT</t>
  </si>
  <si>
    <t>Wed, 06 Dec 2023 00:00:00 GMT</t>
  </si>
  <si>
    <t>Tue, 05 Dec 2023 00:00:00 GMT</t>
  </si>
  <si>
    <t>Mon, 04 Dec 2023 00:00:00 GMT</t>
  </si>
  <si>
    <t>Fri, 01 Dec 2023 00:00:00 GMT</t>
  </si>
  <si>
    <t>Thu, 30 Nov 2023 00:00:00 GMT</t>
  </si>
  <si>
    <t>Wed, 29 Nov 2023 00:00:00 GMT</t>
  </si>
  <si>
    <t>Tue, 28 Nov 2023 00:00:00 GMT</t>
  </si>
  <si>
    <t>Mon, 27 Nov 2023 00:00:00 GMT</t>
  </si>
  <si>
    <t>Fri, 24 Nov 2023 00:00:00 GMT</t>
  </si>
  <si>
    <t>Wed, 22 Nov 2023 00:00:00 GMT</t>
  </si>
  <si>
    <t>Tue, 21 Nov 2023 00:00:00 GMT</t>
  </si>
  <si>
    <t>Mon, 20 Nov 2023 00:00:00 GMT</t>
  </si>
  <si>
    <t>Fri, 17 Nov 2023 00:00:00 GMT</t>
  </si>
  <si>
    <t>Thu, 16 Nov 2023 00:00:00 GMT</t>
  </si>
  <si>
    <t>Wed, 15 Nov 2023 00:00:00 GMT</t>
  </si>
  <si>
    <t>Tue, 14 Nov 2023 00:00:00 GMT</t>
  </si>
  <si>
    <t>Mon, 13 Nov 2023 00:00:00 GMT</t>
  </si>
  <si>
    <t>Fri, 10 Nov 2023 00:00:00 GMT</t>
  </si>
  <si>
    <t>Thu, 09 Nov 2023 00:00:00 GMT</t>
  </si>
  <si>
    <t>Wed, 08 Nov 2023 00:00:00 GMT</t>
  </si>
  <si>
    <t>Tue, 07 Nov 2023 00:00:00 GMT</t>
  </si>
  <si>
    <t>Mon, 06 Nov 2023 00:00:00 GMT</t>
  </si>
  <si>
    <t>Fri, 03 Nov 2023 00:00:00 GMT</t>
  </si>
  <si>
    <t>Thu, 02 Nov 2023 00:00:00 GMT</t>
  </si>
  <si>
    <t>Wed, 01 Nov 2023 00:00:00 GMT</t>
  </si>
  <si>
    <t>Tue, 31 Oct 2023 00:00:00 GMT</t>
  </si>
  <si>
    <t>Mon, 30 Oct 2023 00:00:00 GMT</t>
  </si>
  <si>
    <t>Fri, 27 Oct 2023 00:00:00 GMT</t>
  </si>
  <si>
    <t>Thu, 26 Oct 2023 00:00:00 GMT</t>
  </si>
  <si>
    <t>Wed, 25 Oct 2023 00:00:00 GMT</t>
  </si>
  <si>
    <t>Tue, 24 Oct 2023 00:00:00 GMT</t>
  </si>
  <si>
    <t>Mon, 23 Oct 2023 00:00:00 GMT</t>
  </si>
  <si>
    <t>Fri, 20 Oct 2023 00:00:00 GMT</t>
  </si>
  <si>
    <t>Thu, 19 Oct 2023 00:00:00 GMT</t>
  </si>
  <si>
    <t>Wed, 18 Oct 2023 00:00:00 GMT</t>
  </si>
  <si>
    <t>Tue, 17 Oct 2023 00:00:00 GMT</t>
  </si>
  <si>
    <t>Mon, 16 Oct 2023 00:00:00 GMT</t>
  </si>
  <si>
    <t>Fri, 13 Oct 2023 00:00:00 GMT</t>
  </si>
  <si>
    <t>Thu, 12 Oct 2023 00:00:00 GMT</t>
  </si>
  <si>
    <t>Wed, 11 Oct 2023 00:00:00 GMT</t>
  </si>
  <si>
    <t>Tue, 10 Oct 2023 00:00:00 GMT</t>
  </si>
  <si>
    <t>Mon, 09 Oct 2023 00:00:00 GMT</t>
  </si>
  <si>
    <t>Fri, 06 Oct 2023 00:00:00 GMT</t>
  </si>
  <si>
    <t>Thu, 05 Oct 2023 00:00:00 GMT</t>
  </si>
  <si>
    <t>Wed, 04 Oct 2023 00:00:00 GMT</t>
  </si>
  <si>
    <t>Tue, 03 Oct 2023 00:00:00 GMT</t>
  </si>
  <si>
    <t>Mon, 02 Oct 2023 00:00:00 GMT</t>
  </si>
  <si>
    <t>Fri, 29 Sep 2023 00:00:00 GMT</t>
  </si>
  <si>
    <t>Thu, 28 Sep 2023 00:00:00 GMT</t>
  </si>
  <si>
    <t>Wed, 27 Sep 2023 00:00:00 GMT</t>
  </si>
  <si>
    <t>Tue, 26 Sep 2023 00:00:00 GMT</t>
  </si>
  <si>
    <t>Mon, 25 Sep 2023 00:00:00 GMT</t>
  </si>
  <si>
    <t>Fri, 22 Sep 2023 00:00:00 GMT</t>
  </si>
  <si>
    <t>Thu, 21 Sep 2023 00:00:00 GMT</t>
  </si>
  <si>
    <t>Wed, 20 Sep 2023 00:00:00 GMT</t>
  </si>
  <si>
    <t>Tue, 19 Sep 2023 00:00:00 GMT</t>
  </si>
  <si>
    <t>Mon, 18 Sep 2023 00:00:00 GMT</t>
  </si>
  <si>
    <t>Fri, 15 Sep 2023 00:00:00 GMT</t>
  </si>
  <si>
    <t>Thu, 14 Sep 2023 00:00:00 GMT</t>
  </si>
  <si>
    <t>Wed, 13 Sep 2023 00:00:00 GMT</t>
  </si>
  <si>
    <t>Tue, 12 Sep 2023 00:00:00 GMT</t>
  </si>
  <si>
    <t>Mon, 11 Sep 2023 00:00:00 GMT</t>
  </si>
  <si>
    <t>Fri, 08 Sep 2023 00:00:00 GMT</t>
  </si>
  <si>
    <t>Thu, 07 Sep 2023 00:00:00 GMT</t>
  </si>
  <si>
    <t>Wed, 06 Sep 2023 00:00:00 GMT</t>
  </si>
  <si>
    <t>Tue, 05 Sep 2023 00:00:00 GMT</t>
  </si>
  <si>
    <t>Fri, 01 Sep 2023 00:00:00 GMT</t>
  </si>
  <si>
    <t>Thu, 31 Aug 2023 00:00:00 GMT</t>
  </si>
  <si>
    <t>Wed, 30 Aug 2023 00:00:00 GMT</t>
  </si>
  <si>
    <t>Tue, 29 Aug 2023 00:00:00 GMT</t>
  </si>
  <si>
    <t>Mon, 28 Aug 2023 00:00:00 GMT</t>
  </si>
  <si>
    <t>Fri, 25 Aug 2023 00:00:00 GMT</t>
  </si>
  <si>
    <t>Thu, 24 Aug 2023 00:00:00 GMT</t>
  </si>
  <si>
    <t>Wed, 23 Aug 2023 00:00:00 GMT</t>
  </si>
  <si>
    <t>Tue, 22 Aug 2023 00:00:00 GMT</t>
  </si>
  <si>
    <t>Mon, 21 Aug 2023 00:00:00 GMT</t>
  </si>
  <si>
    <t>Fri, 18 Aug 2023 00:00:00 GMT</t>
  </si>
  <si>
    <t>Thu, 17 Aug 2023 00:00:00 GMT</t>
  </si>
  <si>
    <t>Wed, 16 Aug 2023 00:00:00 GMT</t>
  </si>
  <si>
    <t>Tue, 15 Aug 2023 00:00:00 GMT</t>
  </si>
  <si>
    <t>Mon, 14 Aug 2023 00:00:00 GMT</t>
  </si>
  <si>
    <t>Fri, 11 Aug 2023 00:00:00 GMT</t>
  </si>
  <si>
    <t>Thu, 10 Aug 2023 00:00:00 GMT</t>
  </si>
  <si>
    <t>Wed, 09 Aug 2023 00:00:00 GMT</t>
  </si>
  <si>
    <t>Tue, 08 Aug 2023 00:00:00 GMT</t>
  </si>
  <si>
    <t>Mon, 07 Aug 2023 00:00:00 GMT</t>
  </si>
  <si>
    <t>Fri, 04 Aug 2023 00:00:00 GMT</t>
  </si>
  <si>
    <t>Thu, 03 Aug 2023 00:00:00 GMT</t>
  </si>
  <si>
    <t>Wed, 02 Aug 2023 00:00:00 GMT</t>
  </si>
  <si>
    <t>Tue, 01 Aug 2023 00:00:00 GMT</t>
  </si>
  <si>
    <t>Mon, 31 Jul 2023 00:00:00 GMT</t>
  </si>
  <si>
    <t>Fri, 28 Jul 2023 00:00:00 GMT</t>
  </si>
  <si>
    <t>Thu, 27 Jul 2023 00:00:00 GMT</t>
  </si>
  <si>
    <t>Wed, 26 Jul 2023 00:00:00 GMT</t>
  </si>
  <si>
    <t>Tue, 25 Jul 2023 00:00:00 GMT</t>
  </si>
  <si>
    <t>Mon, 24 Jul 2023 00:00:00 GMT</t>
  </si>
  <si>
    <t>Fri, 21 Jul 2023 00:00:00 GMT</t>
  </si>
  <si>
    <t>Thu, 20 Jul 2023 00:00:00 GMT</t>
  </si>
  <si>
    <t>Wed, 19 Jul 2023 00:00:00 GMT</t>
  </si>
  <si>
    <t>Tue, 18 Jul 2023 00:00:00 GMT</t>
  </si>
  <si>
    <t>Mon, 17 Jul 2023 00:00:00 GMT</t>
  </si>
  <si>
    <t>Fri, 14 Jul 2023 00:00:00 GMT</t>
  </si>
  <si>
    <t>Thu, 13 Jul 2023 00:00:00 GMT</t>
  </si>
  <si>
    <t>Wed, 12 Jul 2023 00:00:00 GMT</t>
  </si>
  <si>
    <t>Tue, 11 Jul 2023 00:00:00 GMT</t>
  </si>
  <si>
    <t>Mon, 10 Jul 2023 00:00:00 GMT</t>
  </si>
  <si>
    <t>Fri, 07 Jul 2023 00:00:00 GMT</t>
  </si>
  <si>
    <t>Thu, 06 Jul 2023 00:00:00 GMT</t>
  </si>
  <si>
    <t>Wed, 05 Jul 2023 00:00:00 GMT</t>
  </si>
  <si>
    <t>Mon, 03 Jul 2023 00:00:00 GMT</t>
  </si>
  <si>
    <t>Fri, 30 Jun 2023 00:00:00 GMT</t>
  </si>
  <si>
    <t>Thu, 29 Jun 2023 00:00:00 GMT</t>
  </si>
  <si>
    <t>Wed, 28 Jun 2023 00:00:00 GMT</t>
  </si>
  <si>
    <t>Tue, 27 Jun 2023 00:00:00 GMT</t>
  </si>
  <si>
    <t>Mon, 26 Jun 2023 00:00:00 GMT</t>
  </si>
  <si>
    <t>Fri, 23 Jun 2023 00:00:00 GMT</t>
  </si>
  <si>
    <t>Thu, 22 Jun 2023 00:00:00 GMT</t>
  </si>
  <si>
    <t>Wed, 21 Jun 2023 00:00:00 GMT</t>
  </si>
  <si>
    <t>Tue, 20 Jun 2023 00:00:00 GMT</t>
  </si>
  <si>
    <t>Fri, 16 Jun 2023 00:00:00 GMT</t>
  </si>
  <si>
    <t>Thu, 15 Jun 2023 00:00:00 GMT</t>
  </si>
  <si>
    <t>Wed, 14 Jun 2023 00:00:00 GMT</t>
  </si>
  <si>
    <t>Tue, 13 Jun 2023 00:00:00 GMT</t>
  </si>
  <si>
    <t>Mon, 12 Jun 2023 00:00:00 GMT</t>
  </si>
  <si>
    <t>Fri, 09 Jun 2023 00:00:00 GMT</t>
  </si>
  <si>
    <t>Thu, 08 Jun 2023 00:00:00 GMT</t>
  </si>
  <si>
    <t>Wed, 07 Jun 2023 00:00:00 GMT</t>
  </si>
  <si>
    <t>Tue, 06 Jun 2023 00:00:00 GMT</t>
  </si>
  <si>
    <t>Mon, 05 Jun 2023 00:00:00 GMT</t>
  </si>
  <si>
    <t>Fri, 02 Jun 2023 00:00:00 GMT</t>
  </si>
  <si>
    <t>Thu, 01 Jun 2023 00:00:00 GMT</t>
  </si>
  <si>
    <t>Wed, 31 May 2023 00:00:00 GMT</t>
  </si>
  <si>
    <t>Tue, 30 May 2023 00:00:00 GMT</t>
  </si>
  <si>
    <t>Fri, 26 May 2023 00:00:00 GMT</t>
  </si>
  <si>
    <t>Thu, 25 May 2023 00:00:00 GMT</t>
  </si>
  <si>
    <t>Wed, 24 May 2023 00:00:00 GMT</t>
  </si>
  <si>
    <t>Tue, 23 May 2023 00:00:00 GMT</t>
  </si>
  <si>
    <t>Mon, 22 May 2023 00:00:00 GMT</t>
  </si>
  <si>
    <t>Fri, 19 May 2023 00:00:00 GMT</t>
  </si>
  <si>
    <t>Thu, 18 May 2023 00:00:00 GMT</t>
  </si>
  <si>
    <t>Wed, 17 May 2023 00:00:00 GMT</t>
  </si>
  <si>
    <t>Tue, 16 May 2023 00:00:00 GMT</t>
  </si>
  <si>
    <t>Mon, 15 May 2023 00:00:00 GMT</t>
  </si>
  <si>
    <t>Fri, 12 May 2023 00:00:00 GMT</t>
  </si>
  <si>
    <t>Thu, 11 May 2023 00:00:00 GMT</t>
  </si>
  <si>
    <t>Wed, 10 May 2023 00:00:00 GMT</t>
  </si>
  <si>
    <t>Tue, 09 May 2023 00:00:00 GMT</t>
  </si>
  <si>
    <t>Mon, 08 May 2023 00:00:00 GMT</t>
  </si>
  <si>
    <t>Fri, 05 May 2023 00:00:00 GMT</t>
  </si>
  <si>
    <t>Thu, 04 May 2023 00:00:00 GMT</t>
  </si>
  <si>
    <t>Wed, 03 May 2023 00:00:00 GMT</t>
  </si>
  <si>
    <t>Tue, 02 May 2023 00:00:00 GMT</t>
  </si>
  <si>
    <t>Mon, 01 May 2023 00:00:00 GMT</t>
  </si>
  <si>
    <t>Fri, 28 Apr 2023 00:00:00 GMT</t>
  </si>
  <si>
    <t>Thu, 27 Apr 2023 00:00:00 GMT</t>
  </si>
  <si>
    <t>Wed, 26 Apr 2023 00:00:00 GMT</t>
  </si>
  <si>
    <t>Tue, 25 Apr 2023 00:00:00 GMT</t>
  </si>
  <si>
    <t>Mon, 24 Apr 2023 00:00:00 GMT</t>
  </si>
  <si>
    <t>Fri, 21 Apr 2023 00:00:00 GMT</t>
  </si>
  <si>
    <t>Thu, 20 Apr 2023 00:00:00 GMT</t>
  </si>
  <si>
    <t>Wed, 19 Apr 2023 00:00:00 GMT</t>
  </si>
  <si>
    <t>Tue, 18 Apr 2023 00:00:00 GMT</t>
  </si>
  <si>
    <t>Mon, 17 Apr 2023 00:00:00 GMT</t>
  </si>
  <si>
    <t>Fri, 14 Apr 2023 00:00:00 GMT</t>
  </si>
  <si>
    <t>Thu, 13 Apr 2023 00:00:00 GMT</t>
  </si>
  <si>
    <t>Wed, 12 Apr 2023 00:00:00 GMT</t>
  </si>
  <si>
    <t>Tue, 11 Apr 2023 00:00:00 GMT</t>
  </si>
  <si>
    <t>Mon, 10 Apr 2023 00:00:00 GMT</t>
  </si>
  <si>
    <t>Thu, 06 Apr 2023 00:00:00 GMT</t>
  </si>
  <si>
    <t>Wed, 05 Apr 2023 00:00:00 GMT</t>
  </si>
  <si>
    <t>Tue, 04 Apr 2023 00:00:00 GMT</t>
  </si>
  <si>
    <t>Mon, 03 Apr 2023 00:00:00 GMT</t>
  </si>
  <si>
    <t>Fri, 31 Mar 2023 00:00:00 GMT</t>
  </si>
  <si>
    <t>Thu, 30 Mar 2023 00:00:00 GMT</t>
  </si>
  <si>
    <t>Wed, 29 Mar 2023 00:00:00 GMT</t>
  </si>
  <si>
    <t>Tue, 28 Mar 2023 00:00:00 GMT</t>
  </si>
  <si>
    <t>Mon, 27 Mar 2023 00:00:00 GMT</t>
  </si>
  <si>
    <t>Fri, 24 Mar 2023 00:00:00 GMT</t>
  </si>
  <si>
    <t>Thu, 23 Mar 2023 00:00:00 GMT</t>
  </si>
  <si>
    <t>Wed, 22 Mar 2023 00:00:00 GMT</t>
  </si>
  <si>
    <t>Tue, 21 Mar 2023 00:00:00 GMT</t>
  </si>
  <si>
    <t>Mon, 20 Mar 2023 00:00:00 GMT</t>
  </si>
  <si>
    <t>Fri, 17 Mar 2023 00:00:00 GMT</t>
  </si>
  <si>
    <t>Thu, 16 Mar 2023 00:00:00 GMT</t>
  </si>
  <si>
    <t>Wed, 15 Mar 2023 00:00:00 GMT</t>
  </si>
  <si>
    <t>Tue, 14 Mar 2023 00:00:00 GMT</t>
  </si>
  <si>
    <t>Mon, 13 Mar 2023 00:00:00 GMT</t>
  </si>
  <si>
    <t>Fri, 10 Mar 2023 00:00:00 GMT</t>
  </si>
  <si>
    <t>Thu, 09 Mar 2023 00:00:00 GMT</t>
  </si>
  <si>
    <t>Wed, 08 Mar 2023 00:00:00 GMT</t>
  </si>
  <si>
    <t>Tue, 07 Mar 2023 00:00:00 GMT</t>
  </si>
  <si>
    <t>Mon, 06 Mar 2023 00:00:00 GMT</t>
  </si>
  <si>
    <t>Fri, 03 Mar 2023 00:00:00 GMT</t>
  </si>
  <si>
    <t>Thu, 02 Mar 2023 00:00:00 GMT</t>
  </si>
  <si>
    <t>Wed, 01 Mar 2023 00:00:00 GMT</t>
  </si>
  <si>
    <t>Tue, 28 Feb 2023 00:00:00 GMT</t>
  </si>
  <si>
    <t>Mon, 27 Feb 2023 00:00:00 GMT</t>
  </si>
  <si>
    <t>Fri, 24 Feb 2023 00:00:00 GMT</t>
  </si>
  <si>
    <t>Thu, 23 Feb 2023 00:00:00 GMT</t>
  </si>
  <si>
    <t>Wed, 22 Feb 2023 00:00:00 GMT</t>
  </si>
  <si>
    <t>Tue, 21 Feb 2023 00:00:00 GMT</t>
  </si>
  <si>
    <t>Fri, 17 Feb 2023 00:00:00 GMT</t>
  </si>
  <si>
    <t>Thu, 16 Feb 2023 00:00:00 GMT</t>
  </si>
  <si>
    <t>Wed, 15 Feb 2023 00:00:00 GMT</t>
  </si>
  <si>
    <t>Tue, 14 Feb 2023 00:00:00 GMT</t>
  </si>
  <si>
    <t>Mon, 13 Feb 2023 00:00:00 GMT</t>
  </si>
  <si>
    <t>Fri, 10 Feb 2023 00:00:00 GMT</t>
  </si>
  <si>
    <t>Thu, 09 Feb 2023 00:00:00 GMT</t>
  </si>
  <si>
    <t>Wed, 08 Feb 2023 00:00:00 GMT</t>
  </si>
  <si>
    <t>Tue, 07 Feb 2023 00:00:00 GMT</t>
  </si>
  <si>
    <t>Mon, 06 Feb 2023 00:00:00 GMT</t>
  </si>
  <si>
    <t>Fri, 03 Feb 2023 00:00:00 GMT</t>
  </si>
  <si>
    <t>Thu, 02 Feb 2023 00:00:00 GMT</t>
  </si>
  <si>
    <t>Wed, 01 Feb 2023 00:00:00 GMT</t>
  </si>
  <si>
    <t>Tue, 31 Jan 2023 00:00:00 GMT</t>
  </si>
  <si>
    <t>Mon, 30 Jan 2023 00:00:00 GMT</t>
  </si>
  <si>
    <t>Fri, 27 Jan 2023 00:00:00 GMT</t>
  </si>
  <si>
    <t>Thu, 26 Jan 2023 00:00:00 GMT</t>
  </si>
  <si>
    <t>Wed, 25 Jan 2023 00:00:00 GMT</t>
  </si>
  <si>
    <t>Tue, 24 Jan 2023 00:00:00 GMT</t>
  </si>
  <si>
    <t>Mon, 23 Jan 2023 00:00:00 GMT</t>
  </si>
  <si>
    <t>Fri, 20 Jan 2023 00:00:00 GMT</t>
  </si>
  <si>
    <t>Thu, 19 Jan 2023 00:00:00 GMT</t>
  </si>
  <si>
    <t>Wed, 18 Jan 2023 00:00:00 GMT</t>
  </si>
  <si>
    <t>Tue, 17 Jan 2023 00:00:00 GMT</t>
  </si>
  <si>
    <t>Fri, 13 Jan 2023 00:00:00 GMT</t>
  </si>
  <si>
    <t>Thu, 12 Jan 2023 00:00:00 GMT</t>
  </si>
  <si>
    <t>Wed, 11 Jan 2023 00:00:00 GMT</t>
  </si>
  <si>
    <t>Tue, 10 Jan 2023 00:00:00 GMT</t>
  </si>
  <si>
    <t>Mon, 09 Jan 2023 00:00:00 GMT</t>
  </si>
  <si>
    <t>Fri, 06 Jan 2023 00:00:00 GMT</t>
  </si>
  <si>
    <t>Thu, 05 Jan 2023 00:00:00 GMT</t>
  </si>
  <si>
    <t>Wed, 04 Jan 2023 00:00:00 GMT</t>
  </si>
  <si>
    <t>Tue, 03 Jan 2023 00:00:00 GMT</t>
  </si>
  <si>
    <t>Fri, 30 Dec 2022 00:00:00 GMT</t>
  </si>
  <si>
    <t>Thu, 29 Dec 2022 00:00:00 GMT</t>
  </si>
  <si>
    <t>Wed, 28 Dec 2022 00:00:00 GMT</t>
  </si>
  <si>
    <t>Tue, 27 Dec 2022 00:00:00 GMT</t>
  </si>
  <si>
    <t>Fri, 23 Dec 2022 00:00:00 GMT</t>
  </si>
  <si>
    <t>Thu, 22 Dec 2022 00:00:00 GMT</t>
  </si>
  <si>
    <t>Wed, 21 Dec 2022 00:00:00 GMT</t>
  </si>
  <si>
    <t>Tue, 20 Dec 2022 00:00:00 GMT</t>
  </si>
  <si>
    <t>Mon, 19 Dec 2022 00:00:00 GMT</t>
  </si>
  <si>
    <t>Fri, 16 Dec 2022 00:00:00 GMT</t>
  </si>
  <si>
    <t>Thu, 15 Dec 2022 00:00:00 GMT</t>
  </si>
  <si>
    <t>Wed, 14 Dec 2022 00:00:00 GMT</t>
  </si>
  <si>
    <t>Tue, 13 Dec 2022 00:00:00 GMT</t>
  </si>
  <si>
    <t>Mon, 12 Dec 2022 00:00:00 GMT</t>
  </si>
  <si>
    <t>Fri, 09 Dec 2022 00:00:00 GMT</t>
  </si>
  <si>
    <t>Thu, 08 Dec 2022 00:00:00 GMT</t>
  </si>
  <si>
    <t>Wed, 07 Dec 2022 00:00:00 GMT</t>
  </si>
  <si>
    <t>Tue, 06 Dec 2022 00:00:00 GMT</t>
  </si>
  <si>
    <t>Mon, 05 Dec 2022 00:00:00 GMT</t>
  </si>
  <si>
    <t>Fri, 02 Dec 2022 00:00:00 GMT</t>
  </si>
  <si>
    <t>Thu, 01 Dec 2022 00:00:00 GMT</t>
  </si>
  <si>
    <t>Wed, 30 Nov 2022 00:00:00 GMT</t>
  </si>
  <si>
    <t>Tue, 29 Nov 2022 00:00:00 GMT</t>
  </si>
  <si>
    <t>Mon, 28 Nov 2022 00:00:00 GMT</t>
  </si>
  <si>
    <t>Fri, 25 Nov 2022 00:00:00 GMT</t>
  </si>
  <si>
    <t>Wed, 23 Nov 2022 00:00:00 GMT</t>
  </si>
  <si>
    <t>Tue, 22 Nov 2022 00:00:00 GMT</t>
  </si>
  <si>
    <t>Mon, 21 Nov 2022 00:00:00 GMT</t>
  </si>
  <si>
    <t>Fri, 18 Nov 2022 00:00:00 GMT</t>
  </si>
  <si>
    <t>Thu, 17 Nov 2022 00:00:00 GMT</t>
  </si>
  <si>
    <t>Wed, 16 Nov 2022 00:00:00 GMT</t>
  </si>
  <si>
    <t>Tue, 15 Nov 2022 00:00:00 GMT</t>
  </si>
  <si>
    <t>Mon, 14 Nov 2022 00:00:00 GMT</t>
  </si>
  <si>
    <t>Fri, 11 Nov 2022 00:00:00 GMT</t>
  </si>
  <si>
    <t>Thu, 10 Nov 2022 00:00:00 GMT</t>
  </si>
  <si>
    <t>Wed, 09 Nov 2022 00:00:00 GMT</t>
  </si>
  <si>
    <t>Tue, 08 Nov 2022 00:00:00 GMT</t>
  </si>
  <si>
    <t>Mon, 07 Nov 2022 00:00:00 GMT</t>
  </si>
  <si>
    <t>Fri, 04 Nov 2022 00:00:00 GMT</t>
  </si>
  <si>
    <t>Thu, 03 Nov 2022 00:00:00 GMT</t>
  </si>
  <si>
    <t>Wed, 02 Nov 2022 00:00:00 GMT</t>
  </si>
  <si>
    <t>Tue, 01 Nov 2022 00:00:00 GMT</t>
  </si>
  <si>
    <t>Mon, 31 Oct 2022 00:00:00 GMT</t>
  </si>
  <si>
    <t>Fri, 28 Oct 2022 00:00:00 GMT</t>
  </si>
  <si>
    <t>Thu, 27 Oct 2022 00:00:00 GMT</t>
  </si>
  <si>
    <t>Wed, 26 Oct 2022 00:00:00 GMT</t>
  </si>
  <si>
    <t>Tue, 25 Oct 2022 00:00:00 GMT</t>
  </si>
  <si>
    <t>Mon, 24 Oct 2022 00:00:00 GMT</t>
  </si>
  <si>
    <t>Fri, 21 Oct 2022 00:00:00 GMT</t>
  </si>
  <si>
    <t>Thu, 20 Oct 2022 00:00:00 GMT</t>
  </si>
  <si>
    <t>Wed, 19 Oct 2022 00:00:00 GMT</t>
  </si>
  <si>
    <t>Tue, 18 Oct 2022 00:00:00 GMT</t>
  </si>
  <si>
    <t>Mon, 17 Oct 2022 00:00:00 GMT</t>
  </si>
  <si>
    <t>Fri, 14 Oct 2022 00:00:00 GMT</t>
  </si>
  <si>
    <t>Thu, 13 Oct 2022 00:00:00 GMT</t>
  </si>
  <si>
    <t>Wed, 12 Oct 2022 00:00:00 GMT</t>
  </si>
  <si>
    <t>Tue, 11 Oct 2022 00:00:00 GMT</t>
  </si>
  <si>
    <t>Mon, 10 Oct 2022 00:00:00 GMT</t>
  </si>
  <si>
    <t>Fri, 07 Oct 2022 00:00:00 GMT</t>
  </si>
  <si>
    <t>Thu, 06 Oct 2022 00:00:00 GMT</t>
  </si>
  <si>
    <t>Wed, 05 Oct 2022 00:00:00 GMT</t>
  </si>
  <si>
    <t>Tue, 04 Oct 2022 00:00:00 GMT</t>
  </si>
  <si>
    <t>Mon, 03 Oct 2022 00:00:00 GMT</t>
  </si>
  <si>
    <t>Fri, 30 Sep 2022 00:00:00 GMT</t>
  </si>
  <si>
    <t>Thu, 29 Sep 2022 00:00:00 GMT</t>
  </si>
  <si>
    <t>Wed, 28 Sep 2022 00:00:00 GMT</t>
  </si>
  <si>
    <t>Tue, 27 Sep 2022 00:00:00 GMT</t>
  </si>
  <si>
    <t>Mon, 26 Sep 2022 00:00:00 GMT</t>
  </si>
  <si>
    <t>Fri, 23 Sep 2022 00:00:00 GMT</t>
  </si>
  <si>
    <t>Thu, 22 Sep 2022 00:00:00 GMT</t>
  </si>
  <si>
    <t>Wed, 21 Sep 2022 00:00:00 GMT</t>
  </si>
  <si>
    <t>Tue, 20 Sep 2022 00:00:00 GMT</t>
  </si>
  <si>
    <t>Mon, 19 Sep 2022 00:00:00 GMT</t>
  </si>
  <si>
    <t>Fri, 16 Sep 2022 00:00:00 GMT</t>
  </si>
  <si>
    <t>Thu, 15 Sep 2022 00:00:00 GMT</t>
  </si>
  <si>
    <t>Wed, 14 Sep 2022 00:00:00 GMT</t>
  </si>
  <si>
    <t>Tue, 13 Sep 2022 00:00:00 GMT</t>
  </si>
  <si>
    <t>Mon, 12 Sep 2022 00:00:00 GMT</t>
  </si>
  <si>
    <t>Fri, 09 Sep 2022 00:00:00 GMT</t>
  </si>
  <si>
    <t>Thu, 08 Sep 2022 00:00:00 GMT</t>
  </si>
  <si>
    <t>Wed, 07 Sep 2022 00:00:00 GMT</t>
  </si>
  <si>
    <t>Tue, 06 Sep 2022 00:00:00 GMT</t>
  </si>
  <si>
    <t>Fri, 02 Sep 2022 00:00:00 GMT</t>
  </si>
  <si>
    <t>Thu, 01 Sep 2022 00:00:00 GMT</t>
  </si>
  <si>
    <t>Wed, 31 Aug 2022 00:00:00 GMT</t>
  </si>
  <si>
    <t>Tue, 30 Aug 2022 00:00:00 GMT</t>
  </si>
  <si>
    <t>Mon, 29 Aug 2022 00:00:00 GMT</t>
  </si>
  <si>
    <t>Fri, 26 Aug 2022 00:00:00 GMT</t>
  </si>
  <si>
    <t>Thu, 25 Aug 2022 00:00:00 GMT</t>
  </si>
  <si>
    <t>Wed, 24 Aug 2022 00:00:00 GMT</t>
  </si>
  <si>
    <t>Tue, 23 Aug 2022 00:00:00 GMT</t>
  </si>
  <si>
    <t>Mon, 22 Aug 2022 00:00:00 GMT</t>
  </si>
  <si>
    <t>Fri, 19 Aug 2022 00:00:00 GMT</t>
  </si>
  <si>
    <t>Thu, 18 Aug 2022 00:00:00 GMT</t>
  </si>
  <si>
    <t>Wed, 17 Aug 2022 00:00:00 GMT</t>
  </si>
  <si>
    <t>Tue, 16 Aug 2022 00:00:00 GMT</t>
  </si>
  <si>
    <t>Mon, 15 Aug 2022 00:00:00 GMT</t>
  </si>
  <si>
    <t>Fri, 12 Aug 2022 00:00:00 GMT</t>
  </si>
  <si>
    <t>Thu, 11 Aug 2022 00:00:00 GMT</t>
  </si>
  <si>
    <t>Wed, 10 Aug 2022 00:00:00 GMT</t>
  </si>
  <si>
    <t>Tue, 09 Aug 2022 00:00:00 GMT</t>
  </si>
  <si>
    <t>Mon, 08 Aug 2022 00:00:00 GMT</t>
  </si>
  <si>
    <t>Fri, 05 Aug 2022 00:00:00 GMT</t>
  </si>
  <si>
    <t>Thu, 04 Aug 2022 00:00:00 GMT</t>
  </si>
  <si>
    <t>Wed, 03 Aug 2022 00:00:00 GMT</t>
  </si>
  <si>
    <t>Tue, 02 Aug 2022 00:00:00 GMT</t>
  </si>
  <si>
    <t>Mon, 01 Aug 2022 00:00:00 GMT</t>
  </si>
  <si>
    <t>Fri, 29 Jul 2022 00:00:00 GMT</t>
  </si>
  <si>
    <t>Thu, 28 Jul 2022 00:00:00 GMT</t>
  </si>
  <si>
    <t>Wed, 27 Jul 2022 00:00:00 GMT</t>
  </si>
  <si>
    <t>Tue, 26 Jul 2022 00:00:00 GMT</t>
  </si>
  <si>
    <t>Mon, 25 Jul 2022 00:00:00 GMT</t>
  </si>
  <si>
    <t>Fri, 22 Jul 2022 00:00:00 GMT</t>
  </si>
  <si>
    <t>Thu, 21 Jul 2022 00:00:00 GMT</t>
  </si>
  <si>
    <t>Wed, 20 Jul 2022 00:00:00 GMT</t>
  </si>
  <si>
    <t>Tue, 19 Jul 2022 00:00:00 GMT</t>
  </si>
  <si>
    <t>Mon, 18 Jul 2022 00:00:00 GMT</t>
  </si>
  <si>
    <t>Fri, 15 Jul 2022 00:00:00 GMT</t>
  </si>
  <si>
    <t>Thu, 14 Jul 2022 00:00:00 GMT</t>
  </si>
  <si>
    <t>Wed, 13 Jul 2022 00:00:00 GMT</t>
  </si>
  <si>
    <t>Tue, 12 Jul 2022 00:00:00 GMT</t>
  </si>
  <si>
    <t>Mon, 11 Jul 2022 00:00:00 GMT</t>
  </si>
  <si>
    <t>Fri, 08 Jul 2022 00:00:00 GMT</t>
  </si>
  <si>
    <t>Thu, 07 Jul 2022 00:00:00 GMT</t>
  </si>
  <si>
    <t>Wed, 06 Jul 2022 00:00:00 GMT</t>
  </si>
  <si>
    <t>Tue, 05 Jul 2022 00:00:00 GMT</t>
  </si>
  <si>
    <t>Fri, 01 Jul 2022 00:00:00 GMT</t>
  </si>
  <si>
    <t>Thu, 30 Jun 2022 00:00:00 GMT</t>
  </si>
  <si>
    <t>Wed, 29 Jun 2022 00:00:00 GMT</t>
  </si>
  <si>
    <t>Tue, 28 Jun 2022 00:00:00 GMT</t>
  </si>
  <si>
    <t>Mon, 27 Jun 2022 00:00:00 GMT</t>
  </si>
  <si>
    <t>Fri, 24 Jun 2022 00:00:00 GMT</t>
  </si>
  <si>
    <t>Thu, 23 Jun 2022 00:00:00 GMT</t>
  </si>
  <si>
    <t>Wed, 22 Jun 2022 00:00:00 GMT</t>
  </si>
  <si>
    <t>Tue, 21 Jun 2022 00:00:00 GMT</t>
  </si>
  <si>
    <t>Fri, 17 Jun 2022 00:00:00 GMT</t>
  </si>
  <si>
    <t>Thu, 16 Jun 2022 00:00:00 GMT</t>
  </si>
  <si>
    <t>Wed, 15 Jun 2022 00:00:00 GMT</t>
  </si>
  <si>
    <t>Tue, 14 Jun 2022 00:00:00 GMT</t>
  </si>
  <si>
    <t>Mon, 13 Jun 2022 00:00:00 GMT</t>
  </si>
  <si>
    <t>Fri, 10 Jun 2022 00:00:00 GMT</t>
  </si>
  <si>
    <t>Thu, 09 Jun 2022 00:00:00 GMT</t>
  </si>
  <si>
    <t>Wed, 08 Jun 2022 00:00:00 GMT</t>
  </si>
  <si>
    <t>Tue, 07 Jun 2022 00:00:00 GMT</t>
  </si>
  <si>
    <t>Mon, 06 Jun 2022 00:00:00 GMT</t>
  </si>
  <si>
    <t>Fri, 03 Jun 2022 00:00:00 GMT</t>
  </si>
  <si>
    <t>Thu, 02 Jun 2022 00:00:00 GMT</t>
  </si>
  <si>
    <t>Wed, 01 Jun 2022 00:00:00 GMT</t>
  </si>
  <si>
    <t>Tue, 31 May 2022 00:00:00 GMT</t>
  </si>
  <si>
    <t>Fri, 27 May 2022 00:00:00 GMT</t>
  </si>
  <si>
    <t>Thu, 26 May 2022 00:00:00 GMT</t>
  </si>
  <si>
    <t>Wed, 25 May 2022 00:00:00 GMT</t>
  </si>
  <si>
    <t>Tue, 24 May 2022 00:00:00 GMT</t>
  </si>
  <si>
    <t>Mon, 23 May 2022 00:00:00 GMT</t>
  </si>
  <si>
    <t>Fri, 20 May 2022 00:00:00 GMT</t>
  </si>
  <si>
    <t>Thu, 19 May 2022 00:00:00 GMT</t>
  </si>
  <si>
    <t>Wed, 18 May 2022 00:00:00 GMT</t>
  </si>
  <si>
    <t>Tue, 17 May 2022 00:00:00 GMT</t>
  </si>
  <si>
    <t>Mon, 16 May 2022 00:00:00 GMT</t>
  </si>
  <si>
    <t>Fri, 13 May 2022 00:00:00 GMT</t>
  </si>
  <si>
    <t>Thu, 12 May 2022 00:00:00 GMT</t>
  </si>
  <si>
    <t>Wed, 11 May 2022 00:00:00 GMT</t>
  </si>
  <si>
    <t>Tue, 10 May 2022 00:00:00 GMT</t>
  </si>
  <si>
    <t>Mon, 09 May 2022 00:00:00 GMT</t>
  </si>
  <si>
    <t>Fri, 06 May 2022 00:00:00 GMT</t>
  </si>
  <si>
    <t>Thu, 05 May 2022 00:00:00 GMT</t>
  </si>
  <si>
    <t>Wed, 04 May 2022 00:00:00 GMT</t>
  </si>
  <si>
    <t>Tue, 03 May 2022 00:00:00 GMT</t>
  </si>
  <si>
    <t>Mon, 02 May 2022 00:00:00 GMT</t>
  </si>
  <si>
    <t>Fri, 29 Apr 2022 00:00:00 GMT</t>
  </si>
  <si>
    <t>Thu, 28 Apr 2022 00:00:00 GMT</t>
  </si>
  <si>
    <t>Wed, 27 Apr 2022 00:00:00 GMT</t>
  </si>
  <si>
    <t>Tue, 26 Apr 2022 00:00:00 GMT</t>
  </si>
  <si>
    <t>Mon, 25 Apr 2022 00:00:00 GMT</t>
  </si>
  <si>
    <t>Fri, 22 Apr 2022 00:00:00 GMT</t>
  </si>
  <si>
    <t>Thu, 21 Apr 2022 00:00:00 GMT</t>
  </si>
  <si>
    <t>Wed, 20 Apr 2022 00:00:00 GMT</t>
  </si>
  <si>
    <t>Tue, 19 Apr 2022 00:00:00 GMT</t>
  </si>
  <si>
    <t>Mon, 18 Apr 2022 00:00:00 GMT</t>
  </si>
  <si>
    <t>Thu, 14 Apr 2022 00:00:00 GMT</t>
  </si>
  <si>
    <t>Wed, 13 Apr 2022 00:00:00 GMT</t>
  </si>
  <si>
    <t>Tue, 12 Apr 2022 00:00:00 GMT</t>
  </si>
  <si>
    <t>Mon, 11 Apr 2022 00:00:00 GMT</t>
  </si>
  <si>
    <t>Fri, 08 Apr 2022 00:00:00 GMT</t>
  </si>
  <si>
    <t>Thu, 07 Apr 2022 00:00:00 GMT</t>
  </si>
  <si>
    <t>Wed, 06 Apr 2022 00:00:00 GMT</t>
  </si>
  <si>
    <t>Tue, 05 Apr 2022 00:00:00 GMT</t>
  </si>
  <si>
    <t>Mon, 04 Apr 2022 00:00:00 GMT</t>
  </si>
  <si>
    <t>Fri, 01 Apr 2022 00:00:00 GMT</t>
  </si>
  <si>
    <t>Thu, 31 Mar 2022 00:00:00 GMT</t>
  </si>
  <si>
    <t>Wed, 30 Mar 2022 00:00:00 GMT</t>
  </si>
  <si>
    <t>Tue, 29 Mar 2022 00:00:00 GMT</t>
  </si>
  <si>
    <t>Mon, 28 Mar 2022 00:00:00 GMT</t>
  </si>
  <si>
    <t>Fri, 25 Mar 2022 00:00:00 GMT</t>
  </si>
  <si>
    <t>Thu, 24 Mar 2022 00:00:00 GMT</t>
  </si>
  <si>
    <t>Wed, 23 Mar 2022 00:00:00 GMT</t>
  </si>
  <si>
    <t>Tue, 22 Mar 2022 00:00:00 GMT</t>
  </si>
  <si>
    <t>Mon, 21 Mar 2022 00:00:00 GMT</t>
  </si>
  <si>
    <t>Fri, 18 Mar 2022 00:00:00 GMT</t>
  </si>
  <si>
    <t>Thu, 17 Mar 2022 00:00:00 GMT</t>
  </si>
  <si>
    <t>Wed, 16 Mar 2022 00:00:00 GMT</t>
  </si>
  <si>
    <t>Tue, 15 Mar 2022 00:00:00 GMT</t>
  </si>
  <si>
    <t>Mon, 14 Mar 2022 00:00:00 GMT</t>
  </si>
  <si>
    <t>Fri, 11 Mar 2022 00:00:00 GMT</t>
  </si>
  <si>
    <t>Thu, 10 Mar 2022 00:00:00 GMT</t>
  </si>
  <si>
    <t>Wed, 09 Mar 2022 00:00:00 GMT</t>
  </si>
  <si>
    <t>Tue, 08 Mar 2022 00:00:00 GMT</t>
  </si>
  <si>
    <t>Mon, 07 Mar 2022 00:00:00 GMT</t>
  </si>
  <si>
    <t>Fri, 04 Mar 2022 00:00:00 GMT</t>
  </si>
  <si>
    <t>Thu, 03 Mar 2022 00:00:00 GMT</t>
  </si>
  <si>
    <t>Wed, 02 Mar 2022 00:00:00 GMT</t>
  </si>
  <si>
    <t>Tue, 01 Mar 2022 00:00:00 GMT</t>
  </si>
  <si>
    <t>Mon, 28 Feb 2022 00:00:00 GMT</t>
  </si>
  <si>
    <t>Fri, 25 Feb 2022 00:00:00 GMT</t>
  </si>
  <si>
    <t>Thu, 24 Feb 2022 00:00:00 GMT</t>
  </si>
  <si>
    <t>Wed, 23 Feb 2022 00:00:00 GMT</t>
  </si>
  <si>
    <t>Tue, 22 Feb 2022 00:00:00 GMT</t>
  </si>
  <si>
    <t>Fri, 18 Feb 2022 00:00:00 GMT</t>
  </si>
  <si>
    <t>Thu, 17 Feb 2022 00:00:00 GMT</t>
  </si>
  <si>
    <t>Wed, 16 Feb 2022 00:00:00 GMT</t>
  </si>
  <si>
    <t>Tue, 15 Feb 2022 00:00:00 GMT</t>
  </si>
  <si>
    <t>Mon, 14 Feb 2022 00:00:00 GMT</t>
  </si>
  <si>
    <t>Fri, 11 Feb 2022 00:00:00 GMT</t>
  </si>
  <si>
    <t>Thu, 10 Feb 2022 00:00:00 GMT</t>
  </si>
  <si>
    <t>Wed, 09 Feb 2022 00:00:00 GMT</t>
  </si>
  <si>
    <t>Tue, 08 Feb 2022 00:00:00 GMT</t>
  </si>
  <si>
    <t>Mon, 07 Feb 2022 00:00:00 GMT</t>
  </si>
  <si>
    <t>Fri, 04 Feb 2022 00:00:00 GMT</t>
  </si>
  <si>
    <t>Thu, 03 Feb 2022 00:00:00 GMT</t>
  </si>
  <si>
    <t>Wed, 02 Feb 2022 00:00:00 GMT</t>
  </si>
  <si>
    <t>Tue, 01 Feb 2022 00:00:00 GMT</t>
  </si>
  <si>
    <t>Mon, 31 Jan 2022 00:00:00 GMT</t>
  </si>
  <si>
    <t>Fri, 28 Jan 2022 00:00:00 GMT</t>
  </si>
  <si>
    <t>Thu, 27 Jan 2022 00:00:00 GMT</t>
  </si>
  <si>
    <t>Wed, 26 Jan 2022 00:00:00 GMT</t>
  </si>
  <si>
    <t>Tue, 25 Jan 2022 00:00:00 GMT</t>
  </si>
  <si>
    <t>Mon, 24 Jan 2022 00:00:00 GMT</t>
  </si>
  <si>
    <t>Fri, 21 Jan 2022 00:00:00 GMT</t>
  </si>
  <si>
    <t>Thu, 20 Jan 2022 00:00:00 GMT</t>
  </si>
  <si>
    <t>Wed, 19 Jan 2022 00:00:00 GMT</t>
  </si>
  <si>
    <t>Tue, 18 Jan 2022 00:00:00 GMT</t>
  </si>
  <si>
    <t>Fri, 14 Jan 2022 00:00:00 GMT</t>
  </si>
  <si>
    <t>Thu, 13 Jan 2022 00:00:00 GMT</t>
  </si>
  <si>
    <t>Wed, 12 Jan 2022 00:00:00 GMT</t>
  </si>
  <si>
    <t>Tue, 11 Jan 2022 00:00:00 GMT</t>
  </si>
  <si>
    <t>Mon, 10 Jan 2022 00:00:00 GMT</t>
  </si>
  <si>
    <t>Fri, 07 Jan 2022 00:00:00 GMT</t>
  </si>
  <si>
    <t>Thu, 06 Jan 2022 00:00:00 GMT</t>
  </si>
  <si>
    <t>Wed, 05 Jan 2022 00:00:00 GMT</t>
  </si>
  <si>
    <t>Tue, 04 Jan 2022 00:00:00 GMT</t>
  </si>
  <si>
    <t>Mon, 03 Jan 2022 00:00:00 GMT</t>
  </si>
  <si>
    <t>Fri, 31 Dec 2021 00:00:00 GMT</t>
  </si>
  <si>
    <t>Thu, 30 Dec 2021 00:00:00 GMT</t>
  </si>
  <si>
    <t>Wed, 29 Dec 2021 00:00:00 GMT</t>
  </si>
  <si>
    <t>Tue, 28 Dec 2021 00:00:00 GMT</t>
  </si>
  <si>
    <t>Mon, 27 Dec 2021 00:00:00 GMT</t>
  </si>
  <si>
    <t>Thu, 23 Dec 2021 00:00:00 GMT</t>
  </si>
  <si>
    <t>Wed, 22 Dec 2021 00:00:00 GMT</t>
  </si>
  <si>
    <t>Tue, 21 Dec 2021 00:00:00 GMT</t>
  </si>
  <si>
    <t>Mon, 20 Dec 2021 00:00:00 GMT</t>
  </si>
  <si>
    <t>Fri, 17 Dec 2021 00:00:00 GMT</t>
  </si>
  <si>
    <t>Thu, 16 Dec 2021 00:00:00 GMT</t>
  </si>
  <si>
    <t>Wed, 15 Dec 2021 00:00:00 GMT</t>
  </si>
  <si>
    <t>Tue, 14 Dec 2021 00:00:00 GMT</t>
  </si>
  <si>
    <t>Mon, 13 Dec 2021 00:00:00 GMT</t>
  </si>
  <si>
    <t>Fri, 10 Dec 2021 00:00:00 GMT</t>
  </si>
  <si>
    <t>Thu, 09 Dec 2021 00:00:00 GMT</t>
  </si>
  <si>
    <t>Wed, 08 Dec 2021 00:00:00 GMT</t>
  </si>
  <si>
    <t>Tue, 07 Dec 2021 00:00:00 GMT</t>
  </si>
  <si>
    <t>Mon, 06 Dec 2021 00:00:00 GMT</t>
  </si>
  <si>
    <t>Fri, 03 Dec 2021 00:00:00 GMT</t>
  </si>
  <si>
    <t>Thu, 02 Dec 2021 00:00:00 GMT</t>
  </si>
  <si>
    <t>Wed, 01 Dec 2021 00:00:00 GMT</t>
  </si>
  <si>
    <t>Tue, 30 Nov 2021 00:00:00 GMT</t>
  </si>
  <si>
    <t>Mon, 29 Nov 2021 00:00:00 GMT</t>
  </si>
  <si>
    <t>Fri, 26 Nov 2021 00:00:00 GMT</t>
  </si>
  <si>
    <t>Wed, 24 Nov 2021 00:00:00 GMT</t>
  </si>
  <si>
    <t>Tue, 23 Nov 2021 00:00:00 GMT</t>
  </si>
  <si>
    <t>Mon, 22 Nov 2021 00:00:00 GMT</t>
  </si>
  <si>
    <t>Fri, 19 Nov 2021 00:00:00 GMT</t>
  </si>
  <si>
    <t>Thu, 18 Nov 2021 00:00:00 GMT</t>
  </si>
  <si>
    <t>Wed, 17 Nov 2021 00:00:00 GMT</t>
  </si>
  <si>
    <t>Tue, 16 Nov 2021 00:00:00 GMT</t>
  </si>
  <si>
    <t>Mon, 15 Nov 2021 00:00:00 GMT</t>
  </si>
  <si>
    <t>Fri, 12 Nov 2021 00:00:00 GMT</t>
  </si>
  <si>
    <t>Thu, 11 Nov 2021 00:00:00 GMT</t>
  </si>
  <si>
    <t>Wed, 10 Nov 2021 00:00:00 GMT</t>
  </si>
  <si>
    <t>Tue, 09 Nov 2021 00:00:00 GMT</t>
  </si>
  <si>
    <t>Mon, 08 Nov 2021 00:00:00 GMT</t>
  </si>
  <si>
    <t>Fri, 05 Nov 2021 00:00:00 GMT</t>
  </si>
  <si>
    <t>Thu, 04 Nov 2021 00:00:00 GMT</t>
  </si>
  <si>
    <t>Wed, 03 Nov 2021 00:00:00 GMT</t>
  </si>
  <si>
    <t>Tue, 02 Nov 2021 00:00:00 GMT</t>
  </si>
  <si>
    <t>Mon, 01 Nov 2021 00:00:00 GMT</t>
  </si>
  <si>
    <t>Fri, 29 Oct 2021 00:00:00 GMT</t>
  </si>
  <si>
    <t>Thu, 28 Oct 2021 00:00:00 GMT</t>
  </si>
  <si>
    <t>Wed, 27 Oct 2021 00:00:00 GMT</t>
  </si>
  <si>
    <t>Tue, 26 Oct 2021 00:00:00 GMT</t>
  </si>
  <si>
    <t>Mon, 25 Oct 2021 00:00:00 GMT</t>
  </si>
  <si>
    <t>Fri, 22 Oct 2021 00:00:00 GMT</t>
  </si>
  <si>
    <t>Thu, 21 Oct 2021 00:00:00 GMT</t>
  </si>
  <si>
    <t>Wed, 20 Oct 2021 00:00:00 GMT</t>
  </si>
  <si>
    <t>Tue, 19 Oct 2021 00:00:00 GMT</t>
  </si>
  <si>
    <t>Mon, 18 Oct 2021 00:00:00 GMT</t>
  </si>
  <si>
    <t>Fri, 15 Oct 2021 00:00:00 GMT</t>
  </si>
  <si>
    <t>Thu, 14 Oct 2021 00:00:00 GMT</t>
  </si>
  <si>
    <t>Wed, 13 Oct 2021 00:00:00 GMT</t>
  </si>
  <si>
    <t>Tue, 12 Oct 2021 00:00:00 GMT</t>
  </si>
  <si>
    <t>Mon, 11 Oct 2021 00:00:00 GMT</t>
  </si>
  <si>
    <t>Fri, 08 Oct 2021 00:00:00 GMT</t>
  </si>
  <si>
    <t>Thu, 07 Oct 2021 00:00:00 GMT</t>
  </si>
  <si>
    <t>Wed, 06 Oct 2021 00:00:00 GMT</t>
  </si>
  <si>
    <t>Tue, 05 Oct 2021 00:00:00 GMT</t>
  </si>
  <si>
    <t>Mon, 04 Oct 2021 00:00:00 GMT</t>
  </si>
  <si>
    <t>Fri, 01 Oct 2021 00:00:00 GMT</t>
  </si>
  <si>
    <t>Thu, 30 Sep 2021 00:00:00 GMT</t>
  </si>
  <si>
    <t>Wed, 29 Sep 2021 00:00:00 GMT</t>
  </si>
  <si>
    <t>Tue, 28 Sep 2021 00:00:00 GMT</t>
  </si>
  <si>
    <t>Mon, 27 Sep 2021 00:00:00 GMT</t>
  </si>
  <si>
    <t>Fri, 24 Sep 2021 00:00:00 GMT</t>
  </si>
  <si>
    <t>Thu, 23 Sep 2021 00:00:00 GMT</t>
  </si>
  <si>
    <t>Wed, 22 Sep 2021 00:00:00 GMT</t>
  </si>
  <si>
    <t>Tue, 21 Sep 2021 00:00:00 GMT</t>
  </si>
  <si>
    <t>Mon, 20 Sep 2021 00:00:00 GMT</t>
  </si>
  <si>
    <t>Fri, 17 Sep 2021 00:00:00 GMT</t>
  </si>
  <si>
    <t>Thu, 16 Sep 2021 00:00:00 GMT</t>
  </si>
  <si>
    <t>Wed, 15 Sep 2021 00:00:00 GMT</t>
  </si>
  <si>
    <t>Tue, 14 Sep 2021 00:00:00 GMT</t>
  </si>
  <si>
    <t>Mon, 13 Sep 2021 00:00:00 GMT</t>
  </si>
  <si>
    <t>Fri, 10 Sep 2021 00:00:00 GMT</t>
  </si>
  <si>
    <t>Thu, 09 Sep 2021 00:00:00 GMT</t>
  </si>
  <si>
    <t>Wed, 08 Sep 2021 00:00:00 GMT</t>
  </si>
  <si>
    <t>Tue, 07 Sep 2021 00:00:00 GMT</t>
  </si>
  <si>
    <t>Fri, 03 Sep 2021 00:00:00 GMT</t>
  </si>
  <si>
    <t>Thu, 02 Sep 2021 00:00:00 GMT</t>
  </si>
  <si>
    <t>Wed, 01 Sep 2021 00:00:00 GMT</t>
  </si>
  <si>
    <t>Tue, 31 Aug 2021 00:00:00 GMT</t>
  </si>
  <si>
    <t>Mon, 30 Aug 2021 00:00:00 GMT</t>
  </si>
  <si>
    <t>Fri, 27 Aug 2021 00:00:00 GMT</t>
  </si>
  <si>
    <t>Thu, 26 Aug 2021 00:00:00 GMT</t>
  </si>
  <si>
    <t>Wed, 25 Aug 2021 00:00:00 GMT</t>
  </si>
  <si>
    <t>Tue, 24 Aug 2021 00:00:00 GMT</t>
  </si>
  <si>
    <t>Mon, 23 Aug 2021 00:00:00 GMT</t>
  </si>
  <si>
    <t>Fri, 20 Aug 2021 00:00:00 GMT</t>
  </si>
  <si>
    <t>Thu, 19 Aug 2021 00:00:00 GMT</t>
  </si>
  <si>
    <t>Wed, 18 Aug 2021 00:00:00 GMT</t>
  </si>
  <si>
    <t>Tue, 17 Aug 2021 00:00:00 GMT</t>
  </si>
  <si>
    <t>Mon, 16 Aug 2021 00:00:00 GMT</t>
  </si>
  <si>
    <t>Fri, 13 Aug 2021 00:00:00 GMT</t>
  </si>
  <si>
    <t>Thu, 12 Aug 2021 00:00:00 GMT</t>
  </si>
  <si>
    <t>Wed, 11 Aug 2021 00:00:00 GMT</t>
  </si>
  <si>
    <t>Tue, 10 Aug 2021 00:00:00 GMT</t>
  </si>
  <si>
    <t>Mon, 09 Aug 2021 00:00:00 GMT</t>
  </si>
  <si>
    <t>Fri, 06 Aug 2021 00:00:00 GMT</t>
  </si>
  <si>
    <t>Thu, 05 Aug 2021 00:00:00 GMT</t>
  </si>
  <si>
    <t>Wed, 04 Aug 2021 00:00:00 GMT</t>
  </si>
  <si>
    <t>Tue, 03 Aug 2021 00:00:00 GMT</t>
  </si>
  <si>
    <t>Mon, 02 Aug 2021 00:00:00 GMT</t>
  </si>
  <si>
    <t>Fri, 30 Jul 2021 00:00:00 GMT</t>
  </si>
  <si>
    <t>Thu, 29 Jul 2021 00:00:00 GMT</t>
  </si>
  <si>
    <t>Wed, 28 Jul 2021 00:00:00 GMT</t>
  </si>
  <si>
    <t>Tue, 27 Jul 2021 00:00:00 GMT</t>
  </si>
  <si>
    <t>Mon, 26 Jul 2021 00:00:00 GMT</t>
  </si>
  <si>
    <t>Fri, 23 Jul 2021 00:00:00 GMT</t>
  </si>
  <si>
    <t>Thu, 22 Jul 2021 00:00:00 GMT</t>
  </si>
  <si>
    <t>Wed, 21 Jul 2021 00:00:00 GMT</t>
  </si>
  <si>
    <t>Tue, 20 Jul 2021 00:00:00 GMT</t>
  </si>
  <si>
    <t>Mon, 19 Jul 2021 00:00:00 GMT</t>
  </si>
  <si>
    <t>Fri, 16 Jul 2021 00:00:00 GMT</t>
  </si>
  <si>
    <t>Thu, 15 Jul 2021 00:00:00 GMT</t>
  </si>
  <si>
    <t>Wed, 14 Jul 2021 00:00:00 GMT</t>
  </si>
  <si>
    <t>Tue, 13 Jul 2021 00:00:00 GMT</t>
  </si>
  <si>
    <t>Mon, 12 Jul 2021 00:00:00 GMT</t>
  </si>
  <si>
    <t>Fri, 09 Jul 2021 00:00:00 GMT</t>
  </si>
  <si>
    <t>Thu, 08 Jul 2021 00:00:00 GMT</t>
  </si>
  <si>
    <t>Wed, 07 Jul 2021 00:00:00 GMT</t>
  </si>
  <si>
    <t>Tue, 06 Jul 2021 00:00:00 GMT</t>
  </si>
  <si>
    <t>Fri, 02 Jul 2021 00:00:00 GMT</t>
  </si>
  <si>
    <t>Thu, 01 Jul 2021 00:00:00 GMT</t>
  </si>
  <si>
    <t>Wed, 30 Jun 2021 00:00:00 GMT</t>
  </si>
  <si>
    <t>Tue, 29 Jun 2021 00:00:00 GMT</t>
  </si>
  <si>
    <t>Mon, 28 Jun 2021 00:00:00 GMT</t>
  </si>
  <si>
    <t>Fri, 25 Jun 2021 00:00:00 GMT</t>
  </si>
  <si>
    <t>Thu, 24 Jun 2021 00:00:00 GMT</t>
  </si>
  <si>
    <t>Wed, 23 Jun 2021 00:00:00 GMT</t>
  </si>
  <si>
    <t>Tue, 22 Jun 2021 00:00:00 GMT</t>
  </si>
  <si>
    <t>Mon, 21 Jun 2021 00:00:00 GMT</t>
  </si>
  <si>
    <t>Fri, 18 Jun 2021 00:00:00 GMT</t>
  </si>
  <si>
    <t>Thu, 17 Jun 2021 00:00:00 GMT</t>
  </si>
  <si>
    <t>Wed, 16 Jun 2021 00:00:00 GMT</t>
  </si>
  <si>
    <t>Tue, 15 Jun 2021 00:00:00 GMT</t>
  </si>
  <si>
    <t>Mon, 14 Jun 2021 00:00:00 GMT</t>
  </si>
  <si>
    <t>Fri, 11 Jun 2021 00:00:00 GMT</t>
  </si>
  <si>
    <t>Thu, 10 Jun 2021 00:00:00 GMT</t>
  </si>
  <si>
    <t>Wed, 09 Jun 2021 00:00:00 GMT</t>
  </si>
  <si>
    <t>Tue, 08 Jun 2021 00:00:00 GMT</t>
  </si>
  <si>
    <t>Mon, 07 Jun 2021 00:00:00 GMT</t>
  </si>
  <si>
    <t>Fri, 04 Jun 2021 00:00:00 GMT</t>
  </si>
  <si>
    <t>Thu, 03 Jun 2021 00:00:00 GMT</t>
  </si>
  <si>
    <t>Wed, 02 Jun 2021 00:00:00 GMT</t>
  </si>
  <si>
    <t>Tue, 01 Jun 2021 00:00:00 GMT</t>
  </si>
  <si>
    <t>Fri, 28 May 2021 00:00:00 GMT</t>
  </si>
  <si>
    <t>Thu, 27 May 2021 00:00:00 GMT</t>
  </si>
  <si>
    <t>Wed, 26 May 2021 00:00:00 GMT</t>
  </si>
  <si>
    <t>Tue, 25 May 2021 00:00:00 GMT</t>
  </si>
  <si>
    <t>Mon, 24 May 2021 00:00:00 GMT</t>
  </si>
  <si>
    <t>Fri, 21 May 2021 00:00:00 GMT</t>
  </si>
  <si>
    <t>Thu, 20 May 2021 00:00:00 GMT</t>
  </si>
  <si>
    <t>Wed, 19 May 2021 00:00:00 GMT</t>
  </si>
  <si>
    <t>Tue, 18 May 2021 00:00:00 GMT</t>
  </si>
  <si>
    <t>Mon, 17 May 2021 00:00:00 GMT</t>
  </si>
  <si>
    <t>Fri, 14 May 2021 00:00:00 GMT</t>
  </si>
  <si>
    <t>Thu, 13 May 2021 00:00:00 GMT</t>
  </si>
  <si>
    <t>Wed, 12 May 2021 00:00:00 GMT</t>
  </si>
  <si>
    <t>Tue, 11 May 2021 00:00:00 GMT</t>
  </si>
  <si>
    <t>Mon, 10 May 2021 00:00:00 GMT</t>
  </si>
  <si>
    <t>Fri, 07 May 2021 00:00:00 GMT</t>
  </si>
  <si>
    <t>Thu, 06 May 2021 00:00:00 GMT</t>
  </si>
  <si>
    <t>Wed, 05 May 2021 00:00:00 GMT</t>
  </si>
  <si>
    <t>Tue, 04 May 2021 00:00:00 GMT</t>
  </si>
  <si>
    <t>Mon, 03 May 2021 00:00:00 GMT</t>
  </si>
  <si>
    <t>Fri, 30 Apr 2021 00:00:00 GMT</t>
  </si>
  <si>
    <t>Bin</t>
  </si>
  <si>
    <t>More</t>
  </si>
  <si>
    <t>Frequency</t>
  </si>
  <si>
    <t>PEN Historical Return Histogram (4/30/25)</t>
  </si>
  <si>
    <t>X</t>
  </si>
  <si>
    <t>Y</t>
  </si>
  <si>
    <t>-3σ</t>
  </si>
  <si>
    <t>-2σ</t>
  </si>
  <si>
    <t>-1σ</t>
  </si>
  <si>
    <t>1σ</t>
  </si>
  <si>
    <t>2σ</t>
  </si>
  <si>
    <t>3σ</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</si>
  <si>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</si>
  <si>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</si>
  <si>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β (1-year avg.)</t>
  </si>
  <si>
    <t>Verticle Lines</t>
  </si>
  <si>
    <t>Fat tails, with extremely volatile daily returns ±6-7% change in share price occuring more often than expected in a Gaussian distribution</t>
  </si>
  <si>
    <t xml:space="preserve">Wide range of returns with many significant outliers (resulting in 3 sigma &gt;7.5%) </t>
  </si>
  <si>
    <t xml:space="preserve">The return distribution is highly non normal and doesn't fit a Gaussian distribution curve, reducing confidence in any statistical inferences  </t>
  </si>
  <si>
    <t>Negative skew dominant… Assymetric risk to the downside with sharper selloffs</t>
  </si>
  <si>
    <t xml:space="preserve">  3σ 1-Day Δ: ±</t>
  </si>
  <si>
    <t>Look into Value-at-Risk (VaR) model development while understanding its limitation to capture severity of 3σ+ events</t>
  </si>
  <si>
    <t>Evaluate difference in output vs Sortino Ratio…</t>
  </si>
  <si>
    <t xml:space="preserve">Conditional VaR (CVaR) model will better capture tail risk…  </t>
  </si>
  <si>
    <t xml:space="preserve">Consider using CVaR as the denominator in the Sortino Ratio (instead of downside deviation) to better capture outsized tail risks </t>
  </si>
  <si>
    <r>
      <t xml:space="preserve">I understand that to accurately value a firm's common stock, the analyst must calculate an NPV from a series of </t>
    </r>
    <r>
      <rPr>
        <i/>
        <sz val="11"/>
        <color rgb="FF1A6BC4"/>
        <rFont val="Calibre"/>
      </rPr>
      <t xml:space="preserve">discounted cash flows, </t>
    </r>
    <r>
      <rPr>
        <sz val="11"/>
        <color rgb="FF1A6BC4"/>
        <rFont val="Calibre"/>
      </rPr>
      <t>not net income (which adheres to GAAP and includes non-cash expenses such as D&amp;A, and does not consider the firm's future cash outflows such as CapEx investment demand or ΔNWC)</t>
    </r>
  </si>
  <si>
    <r>
      <t xml:space="preserve">I am discounting net income under the </t>
    </r>
    <r>
      <rPr>
        <i/>
        <sz val="11"/>
        <color rgb="FF1A6BC4"/>
        <rFont val="Calibre"/>
      </rPr>
      <t xml:space="preserve">somewhat-flawed </t>
    </r>
    <r>
      <rPr>
        <sz val="11"/>
        <color rgb="FF1A6BC4"/>
        <rFont val="Calibre"/>
      </rPr>
      <t>assumption that in the long run, net income and FCF converge (as CapEx "switches" from investment to maintenance and D&amp;A roughly balances with the period's CapEx spend)</t>
    </r>
  </si>
  <si>
    <r>
      <t xml:space="preserve">An easy one - Complete Stmt of Cash Flows and build a true DCF model that calculates NPV from </t>
    </r>
    <r>
      <rPr>
        <i/>
        <sz val="11"/>
        <color rgb="FF1A6BC4"/>
        <rFont val="Calibre"/>
      </rPr>
      <t>cash flows</t>
    </r>
    <r>
      <rPr>
        <sz val="11"/>
        <color rgb="FF1A6BC4"/>
        <rFont val="Calibre"/>
      </rPr>
      <t>, not net income… begin building assumptions for projecting the following:</t>
    </r>
  </si>
  <si>
    <r>
      <t xml:space="preserve">!! It is absolutely necessary to begin tracking individual products Penumbra owns/markets and creating useful life tables </t>
    </r>
    <r>
      <rPr>
        <b/>
        <sz val="11"/>
        <color rgb="FF1A6BC4"/>
        <rFont val="Calibre"/>
      </rPr>
      <t>!!</t>
    </r>
    <r>
      <rPr>
        <sz val="11"/>
        <color rgb="FF1A6BC4"/>
        <rFont val="Calibre"/>
      </rPr>
      <t xml:space="preserve"> Understanding the finances </t>
    </r>
    <r>
      <rPr>
        <i/>
        <sz val="11"/>
        <color rgb="FF1A6BC4"/>
        <rFont val="Calibre"/>
      </rPr>
      <t xml:space="preserve">and </t>
    </r>
    <r>
      <rPr>
        <sz val="11"/>
        <color rgb="FF1A6BC4"/>
        <rFont val="Calibre"/>
      </rPr>
      <t>the product is what is expected of analysts</t>
    </r>
  </si>
  <si>
    <r>
      <t xml:space="preserve">While my current net income based model provides a </t>
    </r>
    <r>
      <rPr>
        <i/>
        <sz val="11"/>
        <color rgb="FF1A6BC4"/>
        <rFont val="Calibre"/>
      </rPr>
      <t xml:space="preserve">rough </t>
    </r>
    <r>
      <rPr>
        <sz val="11"/>
        <color rgb="FF1A6BC4"/>
        <rFont val="Calibre"/>
      </rPr>
      <t>estimate, transitioning to an expanded DCF model with Stmt. Of Cashflow considerations are necessary for the model to be of any use/investment value. Addressing these pitfalls will improve accuracy further</t>
    </r>
  </si>
  <si>
    <t xml:space="preserve">TRUMY </t>
  </si>
  <si>
    <t xml:space="preserve">PHG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</si>
</sst>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
    <numFmt numFmtId="166" formatCode="0.0%"/>
  </numFmts>
  <fonts count="29">
    <font>
      <sz val="11"/>
      <color theme="1"/>
      <name val="Calibri"/>
      <family val="2"/>
      <scheme val="minor"/>
    </font>
    <font>
      <b/>
      <sz val="11"/>
      <color theme="1"/>
      <name val="Calibre"/>
    </font>
    <font>
      <sz val="11"/>
      <color theme="1"/>
      <name val="Calibre"/>
    </font>
    <font>
      <b/>
      <sz val="10"/>
      <name val="Calibre"/>
    </font>
    <font>
      <b/>
      <sz val="11"/>
      <color rgb="FF002060"/>
      <name val="Calibre"/>
    </font>
    <font>
      <sz val="11"/>
      <color theme="0"/>
      <name val="Calibre"/>
    </font>
    <font>
      <b/>
      <sz val="11"/>
      <color theme="0"/>
      <name val="Calibre"/>
    </font>
    <font>
      <u/>
      <sz val="11"/>
      <color theme="10"/>
      <name val="Calibri"/>
      <family val="2"/>
      <scheme val="minor"/>
    </font>
    <font>
      <sz val="11"/>
      <color rgb="FF000000"/>
      <name val="Calibre"/>
    </font>
    <font>
      <b/>
      <sz val="11"/>
      <color rgb="FF000000"/>
      <name val="Calibre"/>
    </font>
    <font>
      <sz val="10"/>
      <name val="Calibre"/>
    </font>
    <font>
      <b/>
      <sz val="11"/>
      <name val="Calibre"/>
    </font>
    <font>
      <sz val="11"/>
      <name val="Calibre"/>
    </font>
    <font>
      <sz val="11"/>
      <color rgb="FF00B0F0"/>
      <name val="Calibre"/>
    </font>
    <font>
      <u/>
      <sz val="11"/>
      <color rgb="FF00B0F0"/>
      <name val="Calibre"/>
    </font>
    <font>
      <b/>
      <sz val="11"/>
      <color theme="7" tint="-0.499984740745262"/>
      <name val="Calibre"/>
    </font>
    <font>
      <sz val="11"/>
      <color theme="7" tint="-0.499984740745262"/>
      <name val="Calibre"/>
    </font>
    <font>
      <i/>
      <sz val="11"/>
      <color theme="1"/>
      <name val="Calibre"/>
    </font>
    <font>
      <u/>
      <sz val="11"/>
      <color theme="9" tint="0.39997558519241921"/>
      <name val="Calibri"/>
      <family val="2"/>
      <scheme val="minor"/>
    </font>
    <font>
      <sz val="11"/>
      <color theme="9" tint="0.39997558519241921"/>
      <name val="Calibre"/>
    </font>
    <font>
      <sz val="10"/>
      <name val="Arial"/>
      <family val="2"/>
    </font>
    <font>
      <sz val="11"/>
      <color theme="1"/>
      <name val="Calibri"/>
      <family val="2"/>
      <scheme val="minor"/>
    </font>
    <font>
      <b/>
      <sz val="10"/>
      <name val="Arial"/>
      <family val="2"/>
    </font>
    <font>
      <i/>
      <sz val="11"/>
      <color theme="1"/>
      <name val="Calibri"/>
      <family val="2"/>
      <scheme val="minor"/>
    </font>
    <font>
      <b/>
      <i/>
      <sz val="11"/>
      <color theme="1"/>
      <name val="Calibri"/>
      <family val="2"/>
      <scheme val="minor"/>
    </font>
    <font>
      <sz val="11"/>
      <color rgb="FF1A6BC4"/>
      <name val="Calibre"/>
    </font>
    <font>
      <b/>
      <sz val="11"/>
      <color rgb="FF1A6BC4"/>
      <name val="Calibre"/>
    </font>
    <font>
      <i/>
      <sz val="11"/>
      <color rgb="FF1A6BC4"/>
      <name val="Calibre"/>
    </font>
    <font>
      <sz val="10"/>
      <color rgb="FF1A6BC4"/>
      <name val="Calibre"/>
    </font>
  </fonts>
  <fills count="11">
    <fill>
      <patternFill patternType="none"/>
    </fill>
    <fill>
      <patternFill patternType="gray125"/>
    </fill>
    <fill>
      <patternFill patternType="solid">
        <fgColor rgb="FFF5F5F5"/>
      </patternFill>
    </fill>
    <fill>
      <patternFill patternType="solid">
        <fgColor rgb="FF002060"/>
        <bgColor indexed="64"/>
      </patternFill>
    </fill>
    <fill>
      <patternFill patternType="solid">
        <fgColor theme="4" tint="0.89999084444715716"/>
        <bgColor indexed="64"/>
      </patternFill>
    </fill>
    <fill>
      <patternFill patternType="solid">
        <fgColor theme="3" tint="0.249977111117893"/>
        <bgColor indexed="64"/>
      </patternFill>
    </fill>
    <fill>
      <patternFill patternType="solid">
        <fgColor rgb="FF990000"/>
        <bgColor indexed="64"/>
      </patternFill>
    </fill>
    <fill>
      <patternFill patternType="solid">
        <fgColor rgb="FFFCD8D8"/>
        <bgColor indexed="64"/>
      </patternFill>
    </fill>
    <fill>
      <patternFill patternType="solid">
        <fgColor rgb="FFFF3300"/>
        <bgColor indexed="64"/>
      </patternFill>
    </fill>
    <fill>
      <patternFill patternType="solid">
        <fgColor theme="4" tint="0.79998168889431442"/>
        <bgColor theme="4" tint="0.79998168889431442"/>
      </patternFill>
    </fill>
    <fill>
      <patternFill patternType="solid">
        <fgColor theme="4" tint="0.79998168889431442"/>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theme="4" tint="0.39997558519241921"/>
      </top>
      <bottom style="thin">
        <color theme="4" tint="0.39997558519241921"/>
      </bottom>
      <diagonal/>
    </border>
  </borders>
  <cellStyleXfs count="3">
    <xf numFmtId="0" fontId="0" fillId="0" borderId="0"/>
    <xf numFmtId="0" fontId="7" fillId="0" borderId="0" applyNumberFormat="0" applyFill="0" applyBorder="0" applyAlignment="0" applyProtection="0"/>
    <xf numFmtId="9" fontId="21" fillId="0" borderId="0" applyFont="0" applyFill="0" applyBorder="0" applyAlignment="0" applyProtection="0"/>
  </cellStyleXfs>
  <cellXfs count="161">
    <xf numFmtId="0" fontId="0" fillId="0" borderId="0" xfId="0"/>
    <xf numFmtId="0" fontId="1" fillId="0" borderId="0" xfId="0" applyFont="1"/>
    <xf numFmtId="0" fontId="2" fillId="0" borderId="0" xfId="0" applyFont="1"/>
    <xf numFmtId="14" fontId="2" fillId="0" borderId="0" xfId="0" applyNumberFormat="1" applyFont="1"/>
    <xf numFmtId="164" fontId="2" fillId="0" borderId="0" xfId="0" applyNumberFormat="1" applyFont="1"/>
    <xf numFmtId="10" fontId="2" fillId="0" borderId="0" xfId="0" applyNumberFormat="1" applyFont="1"/>
    <xf numFmtId="0" fontId="3" fillId="2" borderId="0" xfId="0" applyFont="1" applyFill="1" applyAlignment="1">
      <alignment horizontal="center" vertical="center"/>
    </xf>
    <xf numFmtId="10" fontId="3" fillId="2" borderId="0" xfId="0" applyNumberFormat="1" applyFont="1" applyFill="1" applyAlignment="1">
      <alignment horizontal="center" vertical="center"/>
    </xf>
    <xf numFmtId="0" fontId="4" fillId="0" borderId="0" xfId="0" applyFont="1"/>
    <xf numFmtId="0" fontId="2" fillId="0" borderId="0" xfId="0" applyFont="1" applyAlignment="1">
      <alignment horizontal="right"/>
    </xf>
    <xf numFmtId="0" fontId="2" fillId="0" borderId="0" xfId="0" applyFont="1" applyAlignment="1">
      <alignment horizontal="left"/>
    </xf>
    <xf numFmtId="0" fontId="1" fillId="0" borderId="0" xfId="0" applyFont="1" applyAlignment="1">
      <alignment horizontal="left"/>
    </xf>
    <xf numFmtId="165" fontId="2" fillId="0" borderId="0" xfId="0" applyNumberFormat="1" applyFont="1"/>
    <xf numFmtId="1" fontId="2" fillId="0" borderId="0" xfId="0" applyNumberFormat="1" applyFont="1"/>
    <xf numFmtId="166" fontId="2" fillId="0" borderId="0" xfId="0" applyNumberFormat="1" applyFont="1"/>
    <xf numFmtId="2" fontId="2" fillId="0" borderId="0" xfId="0" applyNumberFormat="1" applyFont="1"/>
    <xf numFmtId="165" fontId="1" fillId="0" borderId="0" xfId="0" applyNumberFormat="1" applyFont="1"/>
    <xf numFmtId="1" fontId="1" fillId="0" borderId="0" xfId="0" applyNumberFormat="1" applyFont="1"/>
    <xf numFmtId="0" fontId="3" fillId="2" borderId="0" xfId="0" applyFont="1" applyFill="1" applyAlignment="1">
      <alignment horizontal="right" vertical="center"/>
    </xf>
    <xf numFmtId="0" fontId="5" fillId="3" borderId="10" xfId="0" applyFont="1" applyFill="1" applyBorder="1"/>
    <xf numFmtId="0" fontId="5" fillId="3" borderId="11" xfId="0" applyFont="1" applyFill="1" applyBorder="1"/>
    <xf numFmtId="0" fontId="6" fillId="3" borderId="9" xfId="0" applyFont="1" applyFill="1" applyBorder="1"/>
    <xf numFmtId="0" fontId="6" fillId="3" borderId="10" xfId="0" applyFont="1" applyFill="1" applyBorder="1"/>
    <xf numFmtId="0" fontId="8" fillId="0" borderId="0" xfId="0" applyFont="1"/>
    <xf numFmtId="0" fontId="8" fillId="0" borderId="0" xfId="0" applyFont="1" applyAlignment="1">
      <alignment vertical="center" wrapText="1"/>
    </xf>
    <xf numFmtId="0" fontId="10" fillId="0" borderId="0" xfId="0" applyFont="1"/>
    <xf numFmtId="0" fontId="11" fillId="0" borderId="0" xfId="0" applyFont="1"/>
    <xf numFmtId="0" fontId="12" fillId="4" borderId="1" xfId="0" applyFont="1" applyFill="1" applyBorder="1"/>
    <xf numFmtId="0" fontId="12" fillId="4" borderId="2" xfId="0" applyFont="1" applyFill="1" applyBorder="1"/>
    <xf numFmtId="0" fontId="12" fillId="4" borderId="3" xfId="0" applyFont="1" applyFill="1" applyBorder="1"/>
    <xf numFmtId="0" fontId="11" fillId="4" borderId="4" xfId="0" applyFont="1" applyFill="1" applyBorder="1"/>
    <xf numFmtId="0" fontId="11" fillId="4" borderId="0" xfId="0" applyFont="1" applyFill="1" applyAlignment="1">
      <alignment horizontal="center"/>
    </xf>
    <xf numFmtId="0" fontId="12" fillId="4" borderId="5" xfId="0" applyFont="1" applyFill="1" applyBorder="1"/>
    <xf numFmtId="0" fontId="12" fillId="4" borderId="0" xfId="0" applyFont="1" applyFill="1"/>
    <xf numFmtId="0" fontId="12" fillId="4" borderId="4" xfId="0" applyFont="1" applyFill="1" applyBorder="1"/>
    <xf numFmtId="0" fontId="12" fillId="4" borderId="0" xfId="0" applyFont="1" applyFill="1" applyAlignment="1">
      <alignment horizontal="center"/>
    </xf>
    <xf numFmtId="0" fontId="12" fillId="4" borderId="6" xfId="0" applyFont="1" applyFill="1" applyBorder="1"/>
    <xf numFmtId="0" fontId="12" fillId="4" borderId="7" xfId="0" applyFont="1" applyFill="1" applyBorder="1" applyAlignment="1">
      <alignment horizontal="center"/>
    </xf>
    <xf numFmtId="0" fontId="12" fillId="4" borderId="8" xfId="0" applyFont="1" applyFill="1" applyBorder="1"/>
    <xf numFmtId="0" fontId="12" fillId="4" borderId="7" xfId="0" applyFont="1" applyFill="1" applyBorder="1"/>
    <xf numFmtId="0" fontId="12" fillId="4" borderId="2" xfId="0" applyFont="1" applyFill="1" applyBorder="1" applyAlignment="1">
      <alignment horizontal="center"/>
    </xf>
    <xf numFmtId="0" fontId="11" fillId="4" borderId="4" xfId="0" applyFont="1" applyFill="1" applyBorder="1" applyAlignment="1">
      <alignment horizontal="right"/>
    </xf>
    <xf numFmtId="0" fontId="11" fillId="4" borderId="5" xfId="0" applyFont="1" applyFill="1" applyBorder="1" applyAlignment="1">
      <alignment horizontal="left"/>
    </xf>
    <xf numFmtId="0" fontId="12" fillId="4" borderId="5" xfId="0" applyFont="1" applyFill="1" applyBorder="1" applyAlignment="1">
      <alignment horizontal="left"/>
    </xf>
    <xf numFmtId="0" fontId="11" fillId="4" borderId="6" xfId="0" applyFont="1" applyFill="1" applyBorder="1" applyAlignment="1">
      <alignment horizontal="left"/>
    </xf>
    <xf numFmtId="0" fontId="11" fillId="4" borderId="7" xfId="0" applyFont="1" applyFill="1" applyBorder="1" applyAlignment="1">
      <alignment horizontal="center"/>
    </xf>
    <xf numFmtId="0" fontId="5" fillId="5" borderId="0" xfId="0" applyFont="1" applyFill="1" applyAlignment="1">
      <alignment horizontal="center"/>
    </xf>
    <xf numFmtId="0" fontId="6" fillId="5" borderId="0" xfId="0" applyFont="1" applyFill="1" applyAlignment="1">
      <alignment horizontal="center"/>
    </xf>
    <xf numFmtId="0" fontId="5" fillId="5" borderId="1" xfId="0" applyFont="1" applyFill="1" applyBorder="1" applyAlignment="1">
      <alignment horizontal="center"/>
    </xf>
    <xf numFmtId="0" fontId="5" fillId="5" borderId="4" xfId="0" applyFont="1" applyFill="1" applyBorder="1" applyAlignment="1">
      <alignment horizontal="center"/>
    </xf>
    <xf numFmtId="0" fontId="6" fillId="5" borderId="4" xfId="0" applyFont="1" applyFill="1" applyBorder="1" applyAlignment="1">
      <alignment horizontal="center"/>
    </xf>
    <xf numFmtId="0" fontId="5" fillId="5" borderId="6" xfId="0" applyFont="1" applyFill="1" applyBorder="1" applyAlignment="1">
      <alignment horizontal="center"/>
    </xf>
    <xf numFmtId="0" fontId="6" fillId="5" borderId="1" xfId="0" applyFont="1" applyFill="1" applyBorder="1" applyAlignment="1">
      <alignment horizontal="left"/>
    </xf>
    <xf numFmtId="0" fontId="5" fillId="5" borderId="2" xfId="0" applyFont="1" applyFill="1" applyBorder="1" applyAlignment="1">
      <alignment horizontal="center"/>
    </xf>
    <xf numFmtId="0" fontId="5" fillId="5" borderId="3" xfId="0" applyFont="1" applyFill="1" applyBorder="1" applyAlignment="1">
      <alignment horizontal="center"/>
    </xf>
    <xf numFmtId="0" fontId="6" fillId="5" borderId="4" xfId="0" applyFont="1" applyFill="1" applyBorder="1" applyAlignment="1">
      <alignment horizontal="left"/>
    </xf>
    <xf numFmtId="0" fontId="5" fillId="5" borderId="5" xfId="0" applyFont="1" applyFill="1" applyBorder="1" applyAlignment="1">
      <alignment horizontal="center"/>
    </xf>
    <xf numFmtId="0" fontId="6" fillId="5" borderId="6" xfId="0" applyFont="1" applyFill="1" applyBorder="1" applyAlignment="1">
      <alignment horizontal="left"/>
    </xf>
    <xf numFmtId="0" fontId="5" fillId="5" borderId="7" xfId="0" applyFont="1" applyFill="1" applyBorder="1" applyAlignment="1">
      <alignment horizontal="center"/>
    </xf>
    <xf numFmtId="0" fontId="5" fillId="5" borderId="8" xfId="0" applyFont="1" applyFill="1" applyBorder="1" applyAlignment="1">
      <alignment horizontal="center"/>
    </xf>
    <xf numFmtId="0" fontId="13" fillId="0" borderId="0" xfId="0" applyFont="1"/>
    <xf numFmtId="0" fontId="14" fillId="0" borderId="0" xfId="1" applyFont="1"/>
    <xf numFmtId="0" fontId="15" fillId="0" borderId="0" xfId="0" applyFont="1"/>
    <xf numFmtId="165" fontId="15" fillId="0" borderId="0" xfId="0" applyNumberFormat="1" applyFont="1"/>
    <xf numFmtId="0" fontId="16" fillId="0" borderId="0" xfId="0" applyFont="1"/>
    <xf numFmtId="165" fontId="16" fillId="0" borderId="0" xfId="0" applyNumberFormat="1" applyFont="1"/>
    <xf numFmtId="0" fontId="2" fillId="4" borderId="9" xfId="0" applyFont="1" applyFill="1" applyBorder="1"/>
    <xf numFmtId="0" fontId="2" fillId="4" borderId="11" xfId="0" applyFont="1" applyFill="1" applyBorder="1"/>
    <xf numFmtId="0" fontId="6" fillId="6" borderId="1" xfId="0" applyFont="1" applyFill="1" applyBorder="1"/>
    <xf numFmtId="0" fontId="5" fillId="6" borderId="2" xfId="0" applyFont="1" applyFill="1" applyBorder="1"/>
    <xf numFmtId="0" fontId="6" fillId="8" borderId="9" xfId="0" applyFont="1" applyFill="1" applyBorder="1" applyAlignment="1">
      <alignment horizontal="left"/>
    </xf>
    <xf numFmtId="0" fontId="5" fillId="8" borderId="10" xfId="0" applyFont="1" applyFill="1" applyBorder="1" applyAlignment="1">
      <alignment horizontal="center"/>
    </xf>
    <xf numFmtId="0" fontId="6" fillId="8" borderId="11" xfId="0" applyFont="1" applyFill="1" applyBorder="1" applyAlignment="1">
      <alignment horizontal="left"/>
    </xf>
    <xf numFmtId="0" fontId="2" fillId="0" borderId="0" xfId="0" applyFont="1" applyAlignment="1">
      <alignment vertical="top" wrapText="1"/>
    </xf>
    <xf numFmtId="0" fontId="6" fillId="3" borderId="1" xfId="0" applyFont="1" applyFill="1" applyBorder="1"/>
    <xf numFmtId="0" fontId="6" fillId="5" borderId="12" xfId="0" applyFont="1" applyFill="1" applyBorder="1" applyAlignment="1">
      <alignment horizontal="left"/>
    </xf>
    <xf numFmtId="0" fontId="6" fillId="5" borderId="13" xfId="0" applyFont="1" applyFill="1" applyBorder="1" applyAlignment="1">
      <alignment horizontal="left"/>
    </xf>
    <xf numFmtId="0" fontId="6" fillId="5" borderId="14" xfId="0" applyFont="1" applyFill="1" applyBorder="1" applyAlignment="1">
      <alignment horizontal="left"/>
    </xf>
    <xf numFmtId="0" fontId="5" fillId="3" borderId="2" xfId="0" applyFont="1" applyFill="1" applyBorder="1"/>
    <xf numFmtId="0" fontId="2" fillId="4" borderId="13" xfId="0" applyFont="1" applyFill="1" applyBorder="1"/>
    <xf numFmtId="0" fontId="6" fillId="3" borderId="2" xfId="0" applyFont="1" applyFill="1" applyBorder="1"/>
    <xf numFmtId="0" fontId="2" fillId="0" borderId="14" xfId="0" applyFont="1" applyBorder="1"/>
    <xf numFmtId="0" fontId="2" fillId="0" borderId="12" xfId="0" applyFont="1" applyBorder="1"/>
    <xf numFmtId="0" fontId="6" fillId="5" borderId="5" xfId="0" applyFont="1" applyFill="1" applyBorder="1" applyAlignment="1">
      <alignment horizontal="right"/>
    </xf>
    <xf numFmtId="0" fontId="6" fillId="5" borderId="8" xfId="0" applyFont="1" applyFill="1" applyBorder="1" applyAlignment="1">
      <alignment horizontal="right"/>
    </xf>
    <xf numFmtId="0" fontId="6" fillId="5" borderId="0" xfId="0" applyFont="1" applyFill="1" applyAlignment="1">
      <alignment horizontal="right"/>
    </xf>
    <xf numFmtId="0" fontId="6" fillId="3" borderId="11" xfId="0" applyFont="1" applyFill="1" applyBorder="1" applyAlignment="1">
      <alignment horizontal="right"/>
    </xf>
    <xf numFmtId="0" fontId="5" fillId="3" borderId="9" xfId="0" applyFont="1" applyFill="1" applyBorder="1"/>
    <xf numFmtId="0" fontId="6" fillId="3" borderId="10" xfId="0" applyFont="1" applyFill="1" applyBorder="1" applyAlignment="1">
      <alignment horizontal="right"/>
    </xf>
    <xf numFmtId="0" fontId="2" fillId="3" borderId="11" xfId="0" applyFont="1" applyFill="1" applyBorder="1"/>
    <xf numFmtId="0" fontId="2" fillId="7" borderId="9" xfId="0" applyFont="1" applyFill="1" applyBorder="1"/>
    <xf numFmtId="0" fontId="2" fillId="7" borderId="10" xfId="0" applyFont="1" applyFill="1" applyBorder="1"/>
    <xf numFmtId="0" fontId="2" fillId="7" borderId="11" xfId="0" applyFont="1" applyFill="1" applyBorder="1"/>
    <xf numFmtId="0" fontId="5" fillId="3" borderId="1" xfId="0" applyFont="1" applyFill="1" applyBorder="1"/>
    <xf numFmtId="0" fontId="2" fillId="3" borderId="3" xfId="0" applyFont="1" applyFill="1" applyBorder="1"/>
    <xf numFmtId="0" fontId="18" fillId="4" borderId="1" xfId="1" applyFont="1" applyFill="1" applyBorder="1"/>
    <xf numFmtId="0" fontId="18" fillId="4" borderId="4" xfId="1" applyFont="1" applyFill="1" applyBorder="1"/>
    <xf numFmtId="0" fontId="18" fillId="4" borderId="6" xfId="1" applyFont="1" applyFill="1" applyBorder="1"/>
    <xf numFmtId="0" fontId="19" fillId="4" borderId="7" xfId="0" applyFont="1" applyFill="1" applyBorder="1"/>
    <xf numFmtId="0" fontId="19" fillId="4" borderId="2" xfId="0" applyFont="1" applyFill="1" applyBorder="1"/>
    <xf numFmtId="0" fontId="12" fillId="4" borderId="10" xfId="0" applyFont="1" applyFill="1" applyBorder="1"/>
    <xf numFmtId="0" fontId="12" fillId="4" borderId="11" xfId="0" applyFont="1" applyFill="1" applyBorder="1"/>
    <xf numFmtId="0" fontId="5" fillId="5" borderId="12" xfId="0" applyFont="1" applyFill="1" applyBorder="1" applyAlignment="1">
      <alignment horizontal="center"/>
    </xf>
    <xf numFmtId="0" fontId="5" fillId="5" borderId="13" xfId="0" applyFont="1" applyFill="1" applyBorder="1" applyAlignment="1">
      <alignment horizontal="center"/>
    </xf>
    <xf numFmtId="0" fontId="6" fillId="5" borderId="13" xfId="0" applyFont="1" applyFill="1" applyBorder="1" applyAlignment="1">
      <alignment horizontal="center"/>
    </xf>
    <xf numFmtId="0" fontId="5" fillId="5" borderId="14" xfId="0" applyFont="1" applyFill="1" applyBorder="1" applyAlignment="1">
      <alignment horizontal="center"/>
    </xf>
    <xf numFmtId="0" fontId="19" fillId="4" borderId="0" xfId="0" applyFont="1" applyFill="1"/>
    <xf numFmtId="0" fontId="18" fillId="4" borderId="9" xfId="1" applyFont="1" applyFill="1" applyBorder="1"/>
    <xf numFmtId="0" fontId="7" fillId="0" borderId="0" xfId="1"/>
    <xf numFmtId="0" fontId="20" fillId="0" borderId="0" xfId="0" applyFont="1"/>
    <xf numFmtId="0" fontId="22" fillId="2" borderId="0" xfId="0" applyFont="1" applyFill="1" applyAlignment="1">
      <alignment horizontal="center" vertical="center"/>
    </xf>
    <xf numFmtId="10" fontId="20" fillId="0" borderId="0" xfId="2" applyNumberFormat="1" applyFont="1"/>
    <xf numFmtId="10" fontId="0" fillId="0" borderId="0" xfId="0" applyNumberFormat="1" applyFill="1" applyBorder="1" applyAlignment="1"/>
    <xf numFmtId="0" fontId="0" fillId="0" borderId="0" xfId="0" applyFill="1" applyBorder="1" applyAlignment="1"/>
    <xf numFmtId="0" fontId="0" fillId="0" borderId="15" xfId="0" applyFill="1" applyBorder="1" applyAlignment="1"/>
    <xf numFmtId="0" fontId="23" fillId="0" borderId="16" xfId="0" applyFont="1" applyFill="1" applyBorder="1" applyAlignment="1">
      <alignment horizontal="center"/>
    </xf>
    <xf numFmtId="0" fontId="2" fillId="0" borderId="0" xfId="0" applyNumberFormat="1" applyFont="1"/>
    <xf numFmtId="2" fontId="2" fillId="0" borderId="0" xfId="2" quotePrefix="1" applyNumberFormat="1" applyFont="1"/>
    <xf numFmtId="2" fontId="2" fillId="0" borderId="0" xfId="0" quotePrefix="1" applyNumberFormat="1" applyFont="1"/>
    <xf numFmtId="0" fontId="2" fillId="0" borderId="0" xfId="2" applyNumberFormat="1" applyFont="1"/>
    <xf numFmtId="0" fontId="23" fillId="0" borderId="16" xfId="0" applyFont="1" applyBorder="1" applyAlignment="1">
      <alignment horizontal="left"/>
    </xf>
    <xf numFmtId="0" fontId="23" fillId="0" borderId="16" xfId="0" applyFont="1" applyBorder="1" applyAlignment="1">
      <alignment horizontal="center" wrapText="1"/>
    </xf>
    <xf numFmtId="0" fontId="25" fillId="0" borderId="0" xfId="0" applyFont="1"/>
    <xf numFmtId="0" fontId="26" fillId="0" borderId="0" xfId="0" applyFont="1"/>
    <xf numFmtId="1" fontId="25" fillId="0" borderId="0" xfId="0" applyNumberFormat="1" applyFont="1"/>
    <xf numFmtId="166" fontId="25" fillId="0" borderId="0" xfId="0" applyNumberFormat="1" applyFont="1"/>
    <xf numFmtId="165" fontId="26" fillId="0" borderId="0" xfId="0" applyNumberFormat="1" applyFont="1"/>
    <xf numFmtId="165" fontId="25" fillId="0" borderId="0" xfId="0" applyNumberFormat="1" applyFont="1"/>
    <xf numFmtId="2" fontId="25" fillId="0" borderId="0" xfId="0" applyNumberFormat="1" applyFont="1"/>
    <xf numFmtId="10" fontId="25" fillId="0" borderId="0" xfId="0" applyNumberFormat="1" applyFont="1"/>
    <xf numFmtId="0" fontId="25" fillId="0" borderId="0" xfId="0" applyFont="1" applyAlignment="1">
      <alignment vertical="top" wrapText="1"/>
    </xf>
    <xf numFmtId="14" fontId="25" fillId="0" borderId="0" xfId="0" applyNumberFormat="1" applyFont="1" applyAlignment="1">
      <alignment horizontal="right"/>
    </xf>
    <xf numFmtId="0" fontId="25" fillId="0" borderId="0" xfId="0" applyFont="1" applyAlignment="1">
      <alignment horizontal="right"/>
    </xf>
    <xf numFmtId="14" fontId="28" fillId="0" borderId="0" xfId="0" applyNumberFormat="1" applyFont="1" applyAlignment="1">
      <alignment horizontal="right"/>
    </xf>
    <xf numFmtId="10" fontId="26" fillId="0" borderId="0" xfId="0" applyNumberFormat="1" applyFont="1"/>
    <xf numFmtId="10" fontId="2" fillId="9" borderId="17" xfId="0" applyNumberFormat="1" applyFont="1" applyFill="1" applyBorder="1"/>
    <xf numFmtId="10" fontId="2" fillId="0" borderId="17" xfId="0" applyNumberFormat="1" applyFont="1" applyBorder="1"/>
    <xf numFmtId="10" fontId="2" fillId="9" borderId="17" xfId="0" applyNumberFormat="1" applyFont="1" applyFill="1" applyBorder="1" applyAlignment="1">
      <alignment wrapText="1"/>
    </xf>
    <xf numFmtId="10" fontId="2" fillId="9" borderId="17" xfId="0" applyNumberFormat="1" applyFont="1" applyFill="1" applyBorder="1" applyAlignment="1">
      <alignment horizontal="center" wrapText="1"/>
    </xf>
    <xf numFmtId="0" fontId="12" fillId="10" borderId="4" xfId="0" applyFont="1" applyFill="1" applyBorder="1"/>
    <xf numFmtId="0" fontId="12" fillId="10" borderId="0" xfId="0" applyFont="1" applyFill="1"/>
    <xf numFmtId="0" fontId="12" fillId="10" borderId="5" xfId="0" applyFont="1" applyFill="1" applyBorder="1"/>
    <xf numFmtId="0" fontId="12" fillId="10" borderId="1" xfId="0" applyFont="1" applyFill="1" applyBorder="1"/>
    <xf numFmtId="0" fontId="12" fillId="10" borderId="2" xfId="0" applyFont="1" applyFill="1" applyBorder="1"/>
    <xf numFmtId="0" fontId="12" fillId="10" borderId="3" xfId="0" applyFont="1" applyFill="1" applyBorder="1"/>
    <xf numFmtId="0" fontId="11" fillId="10" borderId="4" xfId="0" applyFont="1" applyFill="1" applyBorder="1"/>
    <xf numFmtId="0" fontId="11" fillId="10" borderId="0" xfId="0" applyFont="1" applyFill="1" applyAlignment="1">
      <alignment horizontal="center"/>
    </xf>
    <xf numFmtId="0" fontId="12" fillId="10" borderId="0" xfId="0" applyFont="1" applyFill="1" applyAlignment="1">
      <alignment horizontal="center"/>
    </xf>
    <xf numFmtId="0" fontId="12" fillId="10" borderId="6" xfId="0" applyFont="1" applyFill="1" applyBorder="1"/>
    <xf numFmtId="0" fontId="12" fillId="10" borderId="7" xfId="0" applyFont="1" applyFill="1" applyBorder="1" applyAlignment="1">
      <alignment horizontal="center"/>
    </xf>
    <xf numFmtId="0" fontId="12" fillId="10" borderId="8" xfId="0" applyFont="1" applyFill="1" applyBorder="1"/>
    <xf numFmtId="0" fontId="12" fillId="10" borderId="7" xfId="0" applyFont="1" applyFill="1" applyBorder="1"/>
    <xf numFmtId="0" fontId="12" fillId="10" borderId="2" xfId="0" applyFont="1" applyFill="1" applyBorder="1" applyAlignment="1">
      <alignment horizontal="center"/>
    </xf>
    <xf numFmtId="0" fontId="11" fillId="10" borderId="4" xfId="0" applyFont="1" applyFill="1" applyBorder="1" applyAlignment="1">
      <alignment horizontal="right"/>
    </xf>
    <xf numFmtId="0" fontId="11" fillId="10" borderId="5" xfId="0" applyFont="1" applyFill="1" applyBorder="1" applyAlignment="1">
      <alignment horizontal="left"/>
    </xf>
    <xf numFmtId="0" fontId="12" fillId="10" borderId="5" xfId="0" applyFont="1" applyFill="1" applyBorder="1" applyAlignment="1">
      <alignment horizontal="left"/>
    </xf>
    <xf numFmtId="0" fontId="11" fillId="10" borderId="9" xfId="0" applyFont="1" applyFill="1" applyBorder="1" applyAlignment="1">
      <alignment horizontal="left"/>
    </xf>
    <xf numFmtId="0" fontId="11" fillId="10" borderId="10" xfId="0" applyFont="1" applyFill="1" applyBorder="1" applyAlignment="1">
      <alignment horizontal="center"/>
    </xf>
    <xf numFmtId="0" fontId="12" fillId="10" borderId="11" xfId="0" applyFont="1" applyFill="1" applyBorder="1"/>
    <xf numFmtId="0" fontId="12" fillId="10" borderId="9" xfId="0" applyFont="1" applyFill="1" applyBorder="1"/>
    <xf numFmtId="0" fontId="12" fillId="10" borderId="10" xfId="0" applyFont="1" applyFill="1" applyBorder="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99CCFF"/>
      <color rgb="FF66CCFF"/>
      <color rgb="FF1A6BC4"/>
      <color rgb="FF3A58EE"/>
      <color rgb="FFFD6203"/>
      <color rgb="FF990000"/>
      <color rgb="FFFF99FF"/>
      <color rgb="FFFF3300"/>
      <color rgb="FFFCD8D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r>
              <a:rPr lang="en-US"/>
              <a:t>(PEN) Quarterly Ttl Revenues, Net Income, Free Cash Flows (in millions)</a:t>
            </a:r>
          </a:p>
        </c:rich>
      </c:tx>
      <c:overlay val="0"/>
      <c:spPr>
        <a:noFill/>
        <a:ln>
          <a:noFill/>
        </a:ln>
        <a:effectLst/>
      </c:spPr>
      <c:txPr>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endParaRPr lang="en-US"/>
        </a:p>
      </c:txPr>
    </c:title>
    <c:autoTitleDeleted val="0"/>
    <c:plotArea>
      <c:layout>
        <c:manualLayout>
          <c:layoutTarget val="inner"/>
          <c:xMode val="edge"/>
          <c:yMode val="edge"/>
          <c:x val="9.6798377690229573E-2"/>
          <c:y val="0.11478174751218337"/>
          <c:w val="0.88242614721237911"/>
          <c:h val="0.75563693032380408"/>
        </c:manualLayout>
      </c:layout>
      <c:barChart>
        <c:barDir val="col"/>
        <c:grouping val="clustered"/>
        <c:varyColors val="0"/>
        <c:ser>
          <c:idx val="1"/>
          <c:order val="1"/>
          <c:tx>
            <c:v>Net Income</c:v>
          </c:tx>
          <c:spPr>
            <a:solidFill>
              <a:srgbClr val="00B050"/>
            </a:solidFill>
            <a:ln>
              <a:solidFill>
                <a:srgbClr val="00B050"/>
              </a:solidFill>
            </a:ln>
            <a:effectLst/>
          </c:spPr>
          <c:invertIfNegative val="0"/>
          <c:cat>
            <c:strRef>
              <c:f>Model!$C$2:$AA$2</c:f>
              <c:strCache>
                <c:ptCount val="25"/>
                <c:pt idx="0">
                  <c:v>Q1'19</c:v>
                </c:pt>
                <c:pt idx="1">
                  <c:v>Q2'19</c:v>
                </c:pt>
                <c:pt idx="2">
                  <c:v>Q3'19</c:v>
                </c:pt>
                <c:pt idx="3">
                  <c:v>Q4'19</c:v>
                </c:pt>
                <c:pt idx="4">
                  <c:v>Q1'20</c:v>
                </c:pt>
                <c:pt idx="5">
                  <c:v>Q2'20</c:v>
                </c:pt>
                <c:pt idx="6">
                  <c:v>Q3'20</c:v>
                </c:pt>
                <c:pt idx="7">
                  <c:v>Q4'20</c:v>
                </c:pt>
                <c:pt idx="8">
                  <c:v>Q1'21</c:v>
                </c:pt>
                <c:pt idx="9">
                  <c:v>Q2'21</c:v>
                </c:pt>
                <c:pt idx="10">
                  <c:v>Q3'21</c:v>
                </c:pt>
                <c:pt idx="11">
                  <c:v>Q4'21</c:v>
                </c:pt>
                <c:pt idx="12">
                  <c:v>Q1'22</c:v>
                </c:pt>
                <c:pt idx="13">
                  <c:v>Q2'22</c:v>
                </c:pt>
                <c:pt idx="14">
                  <c:v>Q3'22</c:v>
                </c:pt>
                <c:pt idx="15">
                  <c:v>Q4'22</c:v>
                </c:pt>
                <c:pt idx="16">
                  <c:v>Q1'23</c:v>
                </c:pt>
                <c:pt idx="17">
                  <c:v>Q2'23</c:v>
                </c:pt>
                <c:pt idx="18">
                  <c:v>Q3'23</c:v>
                </c:pt>
                <c:pt idx="19">
                  <c:v>Q4'23</c:v>
                </c:pt>
                <c:pt idx="20">
                  <c:v>Q1'24</c:v>
                </c:pt>
                <c:pt idx="21">
                  <c:v>Q2'24</c:v>
                </c:pt>
                <c:pt idx="22">
                  <c:v>Q3'24</c:v>
                </c:pt>
                <c:pt idx="23">
                  <c:v>Q4'24</c:v>
                </c:pt>
                <c:pt idx="24">
                  <c:v>Q1'25</c:v>
                </c:pt>
              </c:strCache>
            </c:strRef>
          </c:cat>
          <c:val>
            <c:numRef>
              <c:f>Model!$C$39:$AA$39</c:f>
              <c:numCache>
                <c:formatCode>0.0</c:formatCode>
                <c:ptCount val="25"/>
                <c:pt idx="0">
                  <c:v>10.698</c:v>
                </c:pt>
                <c:pt idx="1">
                  <c:v>15.68499999999999</c:v>
                </c:pt>
                <c:pt idx="2">
                  <c:v>3.7180000000000115</c:v>
                </c:pt>
                <c:pt idx="3">
                  <c:v>20.502000000000081</c:v>
                </c:pt>
                <c:pt idx="4">
                  <c:v>1.5160000000000133</c:v>
                </c:pt>
                <c:pt idx="5">
                  <c:v>-11.940000000000015</c:v>
                </c:pt>
                <c:pt idx="6">
                  <c:v>-8.833000000000002</c:v>
                </c:pt>
                <c:pt idx="7">
                  <c:v>3.6550000000000091</c:v>
                </c:pt>
                <c:pt idx="8">
                  <c:v>11.832000000000003</c:v>
                </c:pt>
                <c:pt idx="9">
                  <c:v>9.2550000000000221</c:v>
                </c:pt>
                <c:pt idx="10">
                  <c:v>8.841999999999981</c:v>
                </c:pt>
                <c:pt idx="11">
                  <c:v>-24.665000000000081</c:v>
                </c:pt>
                <c:pt idx="12">
                  <c:v>7.1999999999997399E-2</c:v>
                </c:pt>
                <c:pt idx="13">
                  <c:v>-3.6640000000000068</c:v>
                </c:pt>
                <c:pt idx="14">
                  <c:v>-2.2800000000000034</c:v>
                </c:pt>
                <c:pt idx="15">
                  <c:v>3.869999999999949</c:v>
                </c:pt>
                <c:pt idx="16">
                  <c:v>8.6040000000000401</c:v>
                </c:pt>
                <c:pt idx="17">
                  <c:v>19.100000000000001</c:v>
                </c:pt>
                <c:pt idx="18">
                  <c:v>9.2099999999999937</c:v>
                </c:pt>
                <c:pt idx="19">
                  <c:v>54.096000000000032</c:v>
                </c:pt>
                <c:pt idx="20">
                  <c:v>11.099999999999989</c:v>
                </c:pt>
                <c:pt idx="21">
                  <c:v>-60.200000000000038</c:v>
                </c:pt>
                <c:pt idx="22">
                  <c:v>29.500000000000032</c:v>
                </c:pt>
                <c:pt idx="23">
                  <c:v>33.590000000000003</c:v>
                </c:pt>
                <c:pt idx="24">
                  <c:v>39.222999999999999</c:v>
                </c:pt>
              </c:numCache>
            </c:numRef>
          </c:val>
          <c:extLst>
            <c:ext xmlns:c16="http://schemas.microsoft.com/office/drawing/2014/chart" uri="{C3380CC4-5D6E-409C-BE32-E72D297353CC}">
              <c16:uniqueId val="{00000001-6B6D-4618-9F11-6C09556F4461}"/>
            </c:ext>
          </c:extLst>
        </c:ser>
        <c:ser>
          <c:idx val="2"/>
          <c:order val="2"/>
          <c:tx>
            <c:v>FCF</c:v>
          </c:tx>
          <c:spPr>
            <a:solidFill>
              <a:srgbClr val="FFC000"/>
            </a:solidFill>
            <a:ln>
              <a:solidFill>
                <a:srgbClr val="FFC000"/>
              </a:solidFill>
            </a:ln>
            <a:effectLst/>
          </c:spPr>
          <c:invertIfNegative val="0"/>
          <c:cat>
            <c:strRef>
              <c:f>Model!$C$2:$AA$2</c:f>
              <c:strCache>
                <c:ptCount val="25"/>
                <c:pt idx="0">
                  <c:v>Q1'19</c:v>
                </c:pt>
                <c:pt idx="1">
                  <c:v>Q2'19</c:v>
                </c:pt>
                <c:pt idx="2">
                  <c:v>Q3'19</c:v>
                </c:pt>
                <c:pt idx="3">
                  <c:v>Q4'19</c:v>
                </c:pt>
                <c:pt idx="4">
                  <c:v>Q1'20</c:v>
                </c:pt>
                <c:pt idx="5">
                  <c:v>Q2'20</c:v>
                </c:pt>
                <c:pt idx="6">
                  <c:v>Q3'20</c:v>
                </c:pt>
                <c:pt idx="7">
                  <c:v>Q4'20</c:v>
                </c:pt>
                <c:pt idx="8">
                  <c:v>Q1'21</c:v>
                </c:pt>
                <c:pt idx="9">
                  <c:v>Q2'21</c:v>
                </c:pt>
                <c:pt idx="10">
                  <c:v>Q3'21</c:v>
                </c:pt>
                <c:pt idx="11">
                  <c:v>Q4'21</c:v>
                </c:pt>
                <c:pt idx="12">
                  <c:v>Q1'22</c:v>
                </c:pt>
                <c:pt idx="13">
                  <c:v>Q2'22</c:v>
                </c:pt>
                <c:pt idx="14">
                  <c:v>Q3'22</c:v>
                </c:pt>
                <c:pt idx="15">
                  <c:v>Q4'22</c:v>
                </c:pt>
                <c:pt idx="16">
                  <c:v>Q1'23</c:v>
                </c:pt>
                <c:pt idx="17">
                  <c:v>Q2'23</c:v>
                </c:pt>
                <c:pt idx="18">
                  <c:v>Q3'23</c:v>
                </c:pt>
                <c:pt idx="19">
                  <c:v>Q4'23</c:v>
                </c:pt>
                <c:pt idx="20">
                  <c:v>Q1'24</c:v>
                </c:pt>
                <c:pt idx="21">
                  <c:v>Q2'24</c:v>
                </c:pt>
                <c:pt idx="22">
                  <c:v>Q3'24</c:v>
                </c:pt>
                <c:pt idx="23">
                  <c:v>Q4'24</c:v>
                </c:pt>
                <c:pt idx="24">
                  <c:v>Q1'25</c:v>
                </c:pt>
              </c:strCache>
            </c:strRef>
          </c:cat>
          <c:val>
            <c:numRef>
              <c:f>Model!$C$84:$AA$84</c:f>
              <c:numCache>
                <c:formatCode>0.0</c:formatCode>
                <c:ptCount val="25"/>
                <c:pt idx="0">
                  <c:v>-16.051000000000002</c:v>
                </c:pt>
                <c:pt idx="1">
                  <c:v>-28.408000000000001</c:v>
                </c:pt>
                <c:pt idx="2">
                  <c:v>-7.7029999999999959</c:v>
                </c:pt>
                <c:pt idx="3">
                  <c:v>-5.8359999999999985</c:v>
                </c:pt>
                <c:pt idx="4">
                  <c:v>-16.051000000000002</c:v>
                </c:pt>
                <c:pt idx="5">
                  <c:v>-28.408000000000001</c:v>
                </c:pt>
                <c:pt idx="6">
                  <c:v>-7.7029999999999959</c:v>
                </c:pt>
                <c:pt idx="7">
                  <c:v>-5.8359999999999985</c:v>
                </c:pt>
                <c:pt idx="8">
                  <c:v>-18.359000000000002</c:v>
                </c:pt>
                <c:pt idx="9">
                  <c:v>-6.6050000000000004</c:v>
                </c:pt>
                <c:pt idx="10">
                  <c:v>30.648000000000003</c:v>
                </c:pt>
                <c:pt idx="11">
                  <c:v>-17.362000000000002</c:v>
                </c:pt>
                <c:pt idx="12">
                  <c:v>-9.4710000000000001</c:v>
                </c:pt>
                <c:pt idx="13">
                  <c:v>-44.005999999999993</c:v>
                </c:pt>
                <c:pt idx="14">
                  <c:v>-19.256999999999998</c:v>
                </c:pt>
                <c:pt idx="15">
                  <c:v>-2.2250000000000014</c:v>
                </c:pt>
                <c:pt idx="16">
                  <c:v>9.2349999999999994</c:v>
                </c:pt>
                <c:pt idx="17">
                  <c:v>12.757000000000003</c:v>
                </c:pt>
                <c:pt idx="18">
                  <c:v>26.512</c:v>
                </c:pt>
                <c:pt idx="19">
                  <c:v>32.615999999999993</c:v>
                </c:pt>
                <c:pt idx="20">
                  <c:v>32.471000000000004</c:v>
                </c:pt>
                <c:pt idx="21">
                  <c:v>18.074999999999996</c:v>
                </c:pt>
                <c:pt idx="22">
                  <c:v>51.016000000000005</c:v>
                </c:pt>
                <c:pt idx="23">
                  <c:v>45.736999999999995</c:v>
                </c:pt>
                <c:pt idx="24">
                  <c:v>62.436999999999998</c:v>
                </c:pt>
              </c:numCache>
            </c:numRef>
          </c:val>
          <c:extLst>
            <c:ext xmlns:c16="http://schemas.microsoft.com/office/drawing/2014/chart" uri="{C3380CC4-5D6E-409C-BE32-E72D297353CC}">
              <c16:uniqueId val="{00000002-6B6D-4618-9F11-6C09556F4461}"/>
            </c:ext>
          </c:extLst>
        </c:ser>
        <c:dLbls>
          <c:showLegendKey val="0"/>
          <c:showVal val="0"/>
          <c:showCatName val="0"/>
          <c:showSerName val="0"/>
          <c:showPercent val="0"/>
          <c:showBubbleSize val="0"/>
        </c:dLbls>
        <c:gapWidth val="57"/>
        <c:overlap val="-9"/>
        <c:axId val="1243124976"/>
        <c:axId val="1243123056"/>
      </c:barChart>
      <c:lineChart>
        <c:grouping val="standard"/>
        <c:varyColors val="0"/>
        <c:ser>
          <c:idx val="0"/>
          <c:order val="0"/>
          <c:tx>
            <c:v>Revenues</c:v>
          </c:tx>
          <c:spPr>
            <a:ln w="28575" cap="rnd">
              <a:solidFill>
                <a:schemeClr val="accent4">
                  <a:lumMod val="75000"/>
                </a:schemeClr>
              </a:solidFill>
              <a:round/>
            </a:ln>
            <a:effectLst/>
          </c:spPr>
          <c:marker>
            <c:symbol val="none"/>
          </c:marker>
          <c:cat>
            <c:strRef>
              <c:f>Model!$C$2:$AA$2</c:f>
              <c:strCache>
                <c:ptCount val="25"/>
                <c:pt idx="0">
                  <c:v>Q1'19</c:v>
                </c:pt>
                <c:pt idx="1">
                  <c:v>Q2'19</c:v>
                </c:pt>
                <c:pt idx="2">
                  <c:v>Q3'19</c:v>
                </c:pt>
                <c:pt idx="3">
                  <c:v>Q4'19</c:v>
                </c:pt>
                <c:pt idx="4">
                  <c:v>Q1'20</c:v>
                </c:pt>
                <c:pt idx="5">
                  <c:v>Q2'20</c:v>
                </c:pt>
                <c:pt idx="6">
                  <c:v>Q3'20</c:v>
                </c:pt>
                <c:pt idx="7">
                  <c:v>Q4'20</c:v>
                </c:pt>
                <c:pt idx="8">
                  <c:v>Q1'21</c:v>
                </c:pt>
                <c:pt idx="9">
                  <c:v>Q2'21</c:v>
                </c:pt>
                <c:pt idx="10">
                  <c:v>Q3'21</c:v>
                </c:pt>
                <c:pt idx="11">
                  <c:v>Q4'21</c:v>
                </c:pt>
                <c:pt idx="12">
                  <c:v>Q1'22</c:v>
                </c:pt>
                <c:pt idx="13">
                  <c:v>Q2'22</c:v>
                </c:pt>
                <c:pt idx="14">
                  <c:v>Q3'22</c:v>
                </c:pt>
                <c:pt idx="15">
                  <c:v>Q4'22</c:v>
                </c:pt>
                <c:pt idx="16">
                  <c:v>Q1'23</c:v>
                </c:pt>
                <c:pt idx="17">
                  <c:v>Q2'23</c:v>
                </c:pt>
                <c:pt idx="18">
                  <c:v>Q3'23</c:v>
                </c:pt>
                <c:pt idx="19">
                  <c:v>Q4'23</c:v>
                </c:pt>
                <c:pt idx="20">
                  <c:v>Q1'24</c:v>
                </c:pt>
                <c:pt idx="21">
                  <c:v>Q2'24</c:v>
                </c:pt>
                <c:pt idx="22">
                  <c:v>Q3'24</c:v>
                </c:pt>
                <c:pt idx="23">
                  <c:v>Q4'24</c:v>
                </c:pt>
                <c:pt idx="24">
                  <c:v>Q1'25</c:v>
                </c:pt>
              </c:strCache>
            </c:strRef>
          </c:cat>
          <c:val>
            <c:numRef>
              <c:f>Model!$C$26:$AA$26</c:f>
              <c:numCache>
                <c:formatCode>0.0</c:formatCode>
                <c:ptCount val="25"/>
                <c:pt idx="0">
                  <c:v>128.43899999999999</c:v>
                </c:pt>
                <c:pt idx="1">
                  <c:v>134.20099999999999</c:v>
                </c:pt>
                <c:pt idx="2">
                  <c:v>139.50200000000001</c:v>
                </c:pt>
                <c:pt idx="3">
                  <c:v>145.26100000000008</c:v>
                </c:pt>
                <c:pt idx="4">
                  <c:v>137.30000000000001</c:v>
                </c:pt>
                <c:pt idx="5">
                  <c:v>105.1</c:v>
                </c:pt>
                <c:pt idx="6">
                  <c:v>151.1</c:v>
                </c:pt>
                <c:pt idx="7">
                  <c:v>166.91200000000003</c:v>
                </c:pt>
                <c:pt idx="8">
                  <c:v>169.2</c:v>
                </c:pt>
                <c:pt idx="9">
                  <c:v>184.3</c:v>
                </c:pt>
                <c:pt idx="10">
                  <c:v>190.1</c:v>
                </c:pt>
                <c:pt idx="11">
                  <c:v>203.99</c:v>
                </c:pt>
                <c:pt idx="12">
                  <c:v>203.9</c:v>
                </c:pt>
                <c:pt idx="13">
                  <c:v>208.3</c:v>
                </c:pt>
                <c:pt idx="14">
                  <c:v>213.7</c:v>
                </c:pt>
                <c:pt idx="15">
                  <c:v>221.23299999999995</c:v>
                </c:pt>
                <c:pt idx="16">
                  <c:v>241.4</c:v>
                </c:pt>
                <c:pt idx="17">
                  <c:v>261.5</c:v>
                </c:pt>
                <c:pt idx="18">
                  <c:v>270.89999999999998</c:v>
                </c:pt>
                <c:pt idx="19">
                  <c:v>284.72000000000003</c:v>
                </c:pt>
                <c:pt idx="20">
                  <c:v>278.7</c:v>
                </c:pt>
                <c:pt idx="21">
                  <c:v>299.39999999999998</c:v>
                </c:pt>
                <c:pt idx="22">
                  <c:v>301</c:v>
                </c:pt>
                <c:pt idx="23">
                  <c:v>315.5</c:v>
                </c:pt>
                <c:pt idx="24">
                  <c:v>324.14</c:v>
                </c:pt>
              </c:numCache>
            </c:numRef>
          </c:val>
          <c:smooth val="0"/>
          <c:extLst>
            <c:ext xmlns:c16="http://schemas.microsoft.com/office/drawing/2014/chart" uri="{C3380CC4-5D6E-409C-BE32-E72D297353CC}">
              <c16:uniqueId val="{00000000-6B6D-4618-9F11-6C09556F4461}"/>
            </c:ext>
          </c:extLst>
        </c:ser>
        <c:dLbls>
          <c:showLegendKey val="0"/>
          <c:showVal val="0"/>
          <c:showCatName val="0"/>
          <c:showSerName val="0"/>
          <c:showPercent val="0"/>
          <c:showBubbleSize val="0"/>
        </c:dLbls>
        <c:marker val="1"/>
        <c:smooth val="0"/>
        <c:axId val="1243124976"/>
        <c:axId val="1243123056"/>
      </c:lineChart>
      <c:dateAx>
        <c:axId val="124312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3056"/>
        <c:crosses val="autoZero"/>
        <c:auto val="0"/>
        <c:lblOffset val="100"/>
        <c:baseTimeUnit val="days"/>
        <c:majorUnit val="1"/>
      </c:dateAx>
      <c:valAx>
        <c:axId val="124312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4976"/>
        <c:crosses val="autoZero"/>
        <c:crossBetween val="between"/>
      </c:valAx>
      <c:spPr>
        <a:noFill/>
        <a:ln>
          <a:noFill/>
        </a:ln>
        <a:effectLst/>
      </c:spPr>
    </c:plotArea>
    <c:legend>
      <c:legendPos val="t"/>
      <c:layout>
        <c:manualLayout>
          <c:xMode val="edge"/>
          <c:yMode val="edge"/>
          <c:x val="0.23601803088279277"/>
          <c:y val="6.8226667462544965E-2"/>
          <c:w val="0.53831279215259631"/>
          <c:h val="3.418420423957399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alibre"/>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(PEN) Historical Return Histogram +  Normal Distribution Overlay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smoothMarker"/>
        <c:varyColors val="0"/>
        <c:ser>
          <c:idx val="0"/>
          <c:order val="0"/>
          <c:tx>
            <c:v>Population Histogram</c:v>
          </c:tx>
          <c:spPr>
            <a:ln w="38100" cap="rnd">
              <a:noFill/>
              <a:round/>
            </a:ln>
            <a:effectLst/>
          </c:spPr>
          <c:marker>
            <c:symbol val="none"/>
          </c:marker>
          <c:errBars>
            <c:errDir val="y"/>
            <c:errBarType val="minus"/>
            <c:errValType val="percentage"/>
            <c:noEndCap val="1"/>
            <c:val val="100"/>
            <c:spPr>
              <a:noFill/>
              <a:ln w="165100" cap="flat" cmpd="sng" algn="ctr">
                <a:solidFill>
                  <a:srgbClr val="00B0F0"/>
                </a:solidFill>
                <a:round/>
              </a:ln>
              <a:effectLst/>
            </c:spPr>
          </c:errBars>
          <c:xVal>
            <c:numRef>
              <c:f>'Notes | Quant Analysis'!$I$114:$I$174</c:f>
              <c:numCache>
                <c:formatCode>0.00%</c:formatCode>
                <c:ptCount val="61"/>
                <c:pt idx="0">
                  <c:v>-7.4999999999999997E-2</c:v>
                </c:pt>
                <c:pt idx="1">
                  <c:v>-7.2499999999999995E-2</c:v>
                </c:pt>
                <c:pt idx="2">
                  <c:v>-6.9999999999999993E-2</c:v>
                </c:pt>
                <c:pt idx="3">
                  <c:v>-6.7499999999999991E-2</c:v>
                </c:pt>
                <c:pt idx="4">
                  <c:v>-6.4999999999999988E-2</c:v>
                </c:pt>
                <c:pt idx="5">
                  <c:v>-6.2499999999999986E-2</c:v>
                </c:pt>
                <c:pt idx="6">
                  <c:v>-5.9999999999999984E-2</c:v>
                </c:pt>
                <c:pt idx="7">
                  <c:v>-5.7499999999999982E-2</c:v>
                </c:pt>
                <c:pt idx="8">
                  <c:v>-5.4999999999999979E-2</c:v>
                </c:pt>
                <c:pt idx="9">
                  <c:v>-5.2499999999999977E-2</c:v>
                </c:pt>
                <c:pt idx="10">
                  <c:v>-4.9999999999999975E-2</c:v>
                </c:pt>
                <c:pt idx="11">
                  <c:v>-4.7499999999999973E-2</c:v>
                </c:pt>
                <c:pt idx="12">
                  <c:v>-4.4999999999999971E-2</c:v>
                </c:pt>
                <c:pt idx="13">
                  <c:v>-4.2499999999999968E-2</c:v>
                </c:pt>
                <c:pt idx="14">
                  <c:v>-3.9999999999999966E-2</c:v>
                </c:pt>
                <c:pt idx="15">
                  <c:v>-3.7499999999999964E-2</c:v>
                </c:pt>
                <c:pt idx="16">
                  <c:v>-3.4999999999999962E-2</c:v>
                </c:pt>
                <c:pt idx="17">
                  <c:v>-3.2499999999999959E-2</c:v>
                </c:pt>
                <c:pt idx="18">
                  <c:v>-2.9999999999999961E-2</c:v>
                </c:pt>
                <c:pt idx="19">
                  <c:v>-2.7499999999999962E-2</c:v>
                </c:pt>
                <c:pt idx="20">
                  <c:v>-2.4999999999999963E-2</c:v>
                </c:pt>
                <c:pt idx="21">
                  <c:v>-2.2499999999999964E-2</c:v>
                </c:pt>
                <c:pt idx="22">
                  <c:v>-1.9999999999999966E-2</c:v>
                </c:pt>
                <c:pt idx="23">
                  <c:v>-1.7499999999999967E-2</c:v>
                </c:pt>
                <c:pt idx="24">
                  <c:v>-1.4999999999999966E-2</c:v>
                </c:pt>
                <c:pt idx="25">
                  <c:v>-1.2499999999999966E-2</c:v>
                </c:pt>
                <c:pt idx="26">
                  <c:v>-9.9999999999999655E-3</c:v>
                </c:pt>
                <c:pt idx="27">
                  <c:v>-7.499999999999965E-3</c:v>
                </c:pt>
                <c:pt idx="28">
                  <c:v>-4.9999999999999645E-3</c:v>
                </c:pt>
                <c:pt idx="29">
                  <c:v>-2.4999999999999645E-3</c:v>
                </c:pt>
                <c:pt idx="30">
                  <c:v>3.5561831257524545E-17</c:v>
                </c:pt>
                <c:pt idx="31">
                  <c:v>2.5000000000000356E-3</c:v>
                </c:pt>
                <c:pt idx="32">
                  <c:v>5.0000000000000357E-3</c:v>
                </c:pt>
                <c:pt idx="33">
                  <c:v>7.5000000000000362E-3</c:v>
                </c:pt>
                <c:pt idx="34">
                  <c:v>1.0000000000000037E-2</c:v>
                </c:pt>
                <c:pt idx="35">
                  <c:v>1.2500000000000037E-2</c:v>
                </c:pt>
                <c:pt idx="36">
                  <c:v>1.5000000000000038E-2</c:v>
                </c:pt>
                <c:pt idx="37">
                  <c:v>1.7500000000000036E-2</c:v>
                </c:pt>
                <c:pt idx="38">
                  <c:v>2.0000000000000035E-2</c:v>
                </c:pt>
                <c:pt idx="39">
                  <c:v>2.2500000000000034E-2</c:v>
                </c:pt>
                <c:pt idx="40">
                  <c:v>2.5000000000000033E-2</c:v>
                </c:pt>
                <c:pt idx="41">
                  <c:v>2.7500000000000031E-2</c:v>
                </c:pt>
                <c:pt idx="42">
                  <c:v>3.000000000000003E-2</c:v>
                </c:pt>
                <c:pt idx="43">
                  <c:v>3.2500000000000029E-2</c:v>
                </c:pt>
                <c:pt idx="44">
                  <c:v>3.5000000000000031E-2</c:v>
                </c:pt>
                <c:pt idx="45">
                  <c:v>3.7500000000000033E-2</c:v>
                </c:pt>
                <c:pt idx="46">
                  <c:v>4.0000000000000036E-2</c:v>
                </c:pt>
                <c:pt idx="47">
                  <c:v>4.2500000000000038E-2</c:v>
                </c:pt>
                <c:pt idx="48">
                  <c:v>4.500000000000004E-2</c:v>
                </c:pt>
                <c:pt idx="49">
                  <c:v>4.7500000000000042E-2</c:v>
                </c:pt>
                <c:pt idx="50">
                  <c:v>5.0000000000000044E-2</c:v>
                </c:pt>
                <c:pt idx="51">
                  <c:v>5.2500000000000047E-2</c:v>
                </c:pt>
                <c:pt idx="52">
                  <c:v>5.5000000000000049E-2</c:v>
                </c:pt>
                <c:pt idx="53">
                  <c:v>5.7500000000000051E-2</c:v>
                </c:pt>
                <c:pt idx="54">
                  <c:v>6.0000000000000053E-2</c:v>
                </c:pt>
                <c:pt idx="55">
                  <c:v>6.2500000000000056E-2</c:v>
                </c:pt>
                <c:pt idx="56">
                  <c:v>6.5000000000000058E-2</c:v>
                </c:pt>
                <c:pt idx="57">
                  <c:v>6.750000000000006E-2</c:v>
                </c:pt>
                <c:pt idx="58">
                  <c:v>7.0000000000000062E-2</c:v>
                </c:pt>
                <c:pt idx="59">
                  <c:v>7.2500000000000064E-2</c:v>
                </c:pt>
                <c:pt idx="60">
                  <c:v>7.5000000000000067E-2</c:v>
                </c:pt>
              </c:numCache>
            </c:numRef>
          </c:xVal>
          <c:yVal>
            <c:numRef>
              <c:f>'Notes | Quant Analysis'!$J$114:$J$174</c:f>
              <c:numCache>
                <c:formatCode>General</c:formatCode>
                <c:ptCount val="61"/>
                <c:pt idx="0">
                  <c:v>1</c:v>
                </c:pt>
                <c:pt idx="1">
                  <c:v>1</c:v>
                </c:pt>
                <c:pt idx="2">
                  <c:v>1</c:v>
                </c:pt>
                <c:pt idx="3">
                  <c:v>0</c:v>
                </c:pt>
                <c:pt idx="4">
                  <c:v>2</c:v>
                </c:pt>
                <c:pt idx="5">
                  <c:v>0</c:v>
                </c:pt>
                <c:pt idx="6">
                  <c:v>2</c:v>
                </c:pt>
                <c:pt idx="7">
                  <c:v>0</c:v>
                </c:pt>
                <c:pt idx="8">
                  <c:v>2</c:v>
                </c:pt>
                <c:pt idx="9">
                  <c:v>7</c:v>
                </c:pt>
                <c:pt idx="10">
                  <c:v>2</c:v>
                </c:pt>
                <c:pt idx="11">
                  <c:v>7</c:v>
                </c:pt>
                <c:pt idx="12">
                  <c:v>5</c:v>
                </c:pt>
                <c:pt idx="13">
                  <c:v>2</c:v>
                </c:pt>
                <c:pt idx="14">
                  <c:v>12</c:v>
                </c:pt>
                <c:pt idx="15">
                  <c:v>8</c:v>
                </c:pt>
                <c:pt idx="16">
                  <c:v>10</c:v>
                </c:pt>
                <c:pt idx="17">
                  <c:v>6</c:v>
                </c:pt>
                <c:pt idx="18">
                  <c:v>11</c:v>
                </c:pt>
                <c:pt idx="19">
                  <c:v>9</c:v>
                </c:pt>
                <c:pt idx="20">
                  <c:v>25</c:v>
                </c:pt>
                <c:pt idx="21">
                  <c:v>32</c:v>
                </c:pt>
                <c:pt idx="22">
                  <c:v>18</c:v>
                </c:pt>
                <c:pt idx="23">
                  <c:v>27</c:v>
                </c:pt>
                <c:pt idx="24">
                  <c:v>24</c:v>
                </c:pt>
                <c:pt idx="25">
                  <c:v>42</c:v>
                </c:pt>
                <c:pt idx="26">
                  <c:v>53</c:v>
                </c:pt>
                <c:pt idx="27">
                  <c:v>48</c:v>
                </c:pt>
                <c:pt idx="28">
                  <c:v>47</c:v>
                </c:pt>
                <c:pt idx="29">
                  <c:v>49</c:v>
                </c:pt>
                <c:pt idx="30">
                  <c:v>51</c:v>
                </c:pt>
                <c:pt idx="31">
                  <c:v>42</c:v>
                </c:pt>
                <c:pt idx="32">
                  <c:v>61</c:v>
                </c:pt>
                <c:pt idx="33">
                  <c:v>43</c:v>
                </c:pt>
                <c:pt idx="34">
                  <c:v>41</c:v>
                </c:pt>
                <c:pt idx="35">
                  <c:v>41</c:v>
                </c:pt>
                <c:pt idx="36">
                  <c:v>38</c:v>
                </c:pt>
                <c:pt idx="37">
                  <c:v>33</c:v>
                </c:pt>
                <c:pt idx="38">
                  <c:v>33</c:v>
                </c:pt>
                <c:pt idx="39">
                  <c:v>28</c:v>
                </c:pt>
                <c:pt idx="40">
                  <c:v>17</c:v>
                </c:pt>
                <c:pt idx="41">
                  <c:v>15</c:v>
                </c:pt>
                <c:pt idx="42">
                  <c:v>17</c:v>
                </c:pt>
                <c:pt idx="43">
                  <c:v>12</c:v>
                </c:pt>
                <c:pt idx="44">
                  <c:v>12</c:v>
                </c:pt>
                <c:pt idx="45">
                  <c:v>11</c:v>
                </c:pt>
                <c:pt idx="46">
                  <c:v>6</c:v>
                </c:pt>
                <c:pt idx="47">
                  <c:v>8</c:v>
                </c:pt>
                <c:pt idx="48">
                  <c:v>4</c:v>
                </c:pt>
                <c:pt idx="49">
                  <c:v>4</c:v>
                </c:pt>
                <c:pt idx="50">
                  <c:v>4</c:v>
                </c:pt>
                <c:pt idx="51">
                  <c:v>4</c:v>
                </c:pt>
                <c:pt idx="52">
                  <c:v>6</c:v>
                </c:pt>
                <c:pt idx="53">
                  <c:v>2</c:v>
                </c:pt>
                <c:pt idx="54">
                  <c:v>1</c:v>
                </c:pt>
                <c:pt idx="55">
                  <c:v>1</c:v>
                </c:pt>
                <c:pt idx="56">
                  <c:v>1</c:v>
                </c:pt>
                <c:pt idx="57">
                  <c:v>2</c:v>
                </c:pt>
                <c:pt idx="58">
                  <c:v>0</c:v>
                </c:pt>
                <c:pt idx="59">
                  <c:v>0</c:v>
                </c:pt>
                <c:pt idx="60">
                  <c:v>1</c:v>
                </c:pt>
              </c:numCache>
            </c:numRef>
          </c:yVal>
          <c:smooth val="1"/>
          <c:extLst>
            <c:ext xmlns:c16="http://schemas.microsoft.com/office/drawing/2014/chart" uri="{C3380CC4-5D6E-409C-BE32-E72D297353CC}">
              <c16:uniqueId val="{00000000-28C7-4862-86E9-AF862A5BA0AD}"/>
            </c:ext>
          </c:extLst>
        </c:ser>
        <c:ser>
          <c:idx val="1"/>
          <c:order val="1"/>
          <c:tx>
            <c:v>Normal Distribution Overlay</c:v>
          </c:tx>
          <c:spPr>
            <a:ln w="19050" cap="rnd">
              <a:solidFill>
                <a:srgbClr val="FFC000"/>
              </a:solidFill>
              <a:round/>
            </a:ln>
            <a:effectLst/>
          </c:spPr>
          <c:marker>
            <c:symbol val="none"/>
          </c:marker>
          <c:xVal>
            <c:numRef>
              <c:f>'Notes | Quant Analysis'!$L$114:$L$175</c:f>
              <c:numCache>
                <c:formatCode>General</c:formatCode>
                <c:ptCount val="62"/>
                <c:pt idx="0">
                  <c:v>-7.7499999999999999E-2</c:v>
                </c:pt>
                <c:pt idx="1">
                  <c:v>-7.4999999999999997E-2</c:v>
                </c:pt>
                <c:pt idx="2">
                  <c:v>-7.2499999999999995E-2</c:v>
                </c:pt>
                <c:pt idx="3">
                  <c:v>-6.9999999999999993E-2</c:v>
                </c:pt>
                <c:pt idx="4">
                  <c:v>-6.7499999999999991E-2</c:v>
                </c:pt>
                <c:pt idx="5">
                  <c:v>-6.4999999999999988E-2</c:v>
                </c:pt>
                <c:pt idx="6">
                  <c:v>-6.2499999999999986E-2</c:v>
                </c:pt>
                <c:pt idx="7">
                  <c:v>-5.9999999999999984E-2</c:v>
                </c:pt>
                <c:pt idx="8">
                  <c:v>-5.7499999999999982E-2</c:v>
                </c:pt>
                <c:pt idx="9">
                  <c:v>-5.4999999999999979E-2</c:v>
                </c:pt>
                <c:pt idx="10">
                  <c:v>-5.2499999999999977E-2</c:v>
                </c:pt>
                <c:pt idx="11">
                  <c:v>-4.9999999999999975E-2</c:v>
                </c:pt>
                <c:pt idx="12">
                  <c:v>-4.7499999999999973E-2</c:v>
                </c:pt>
                <c:pt idx="13">
                  <c:v>-4.4999999999999971E-2</c:v>
                </c:pt>
                <c:pt idx="14">
                  <c:v>-4.2499999999999968E-2</c:v>
                </c:pt>
                <c:pt idx="15">
                  <c:v>-3.9999999999999966E-2</c:v>
                </c:pt>
                <c:pt idx="16">
                  <c:v>-3.7499999999999964E-2</c:v>
                </c:pt>
                <c:pt idx="17">
                  <c:v>-3.4999999999999962E-2</c:v>
                </c:pt>
                <c:pt idx="18">
                  <c:v>-3.2499999999999959E-2</c:v>
                </c:pt>
                <c:pt idx="19">
                  <c:v>-2.9999999999999961E-2</c:v>
                </c:pt>
                <c:pt idx="20">
                  <c:v>-2.7499999999999962E-2</c:v>
                </c:pt>
                <c:pt idx="21">
                  <c:v>-2.4999999999999963E-2</c:v>
                </c:pt>
                <c:pt idx="22">
                  <c:v>-2.2499999999999964E-2</c:v>
                </c:pt>
                <c:pt idx="23">
                  <c:v>-1.9999999999999966E-2</c:v>
                </c:pt>
                <c:pt idx="24">
                  <c:v>-1.7499999999999967E-2</c:v>
                </c:pt>
                <c:pt idx="25">
                  <c:v>-1.4999999999999966E-2</c:v>
                </c:pt>
                <c:pt idx="26">
                  <c:v>-1.2499999999999966E-2</c:v>
                </c:pt>
                <c:pt idx="27">
                  <c:v>-9.9999999999999655E-3</c:v>
                </c:pt>
                <c:pt idx="28">
                  <c:v>-7.499999999999965E-3</c:v>
                </c:pt>
                <c:pt idx="29">
                  <c:v>-4.9999999999999645E-3</c:v>
                </c:pt>
                <c:pt idx="30">
                  <c:v>-2.4999999999999645E-3</c:v>
                </c:pt>
                <c:pt idx="31">
                  <c:v>3.5561831257524545E-17</c:v>
                </c:pt>
                <c:pt idx="32">
                  <c:v>2.5000000000000356E-3</c:v>
                </c:pt>
                <c:pt idx="33">
                  <c:v>5.0000000000000357E-3</c:v>
                </c:pt>
                <c:pt idx="34">
                  <c:v>7.5000000000000362E-3</c:v>
                </c:pt>
                <c:pt idx="35">
                  <c:v>1.0000000000000037E-2</c:v>
                </c:pt>
                <c:pt idx="36">
                  <c:v>1.2500000000000037E-2</c:v>
                </c:pt>
                <c:pt idx="37">
                  <c:v>1.5000000000000038E-2</c:v>
                </c:pt>
                <c:pt idx="38">
                  <c:v>1.7500000000000036E-2</c:v>
                </c:pt>
                <c:pt idx="39">
                  <c:v>2.0000000000000035E-2</c:v>
                </c:pt>
                <c:pt idx="40">
                  <c:v>2.2500000000000034E-2</c:v>
                </c:pt>
                <c:pt idx="41">
                  <c:v>2.5000000000000033E-2</c:v>
                </c:pt>
                <c:pt idx="42">
                  <c:v>2.7500000000000031E-2</c:v>
                </c:pt>
                <c:pt idx="43">
                  <c:v>3.000000000000003E-2</c:v>
                </c:pt>
                <c:pt idx="44">
                  <c:v>3.2500000000000029E-2</c:v>
                </c:pt>
                <c:pt idx="45">
                  <c:v>3.5000000000000031E-2</c:v>
                </c:pt>
                <c:pt idx="46">
                  <c:v>3.7500000000000033E-2</c:v>
                </c:pt>
                <c:pt idx="47">
                  <c:v>4.0000000000000036E-2</c:v>
                </c:pt>
                <c:pt idx="48">
                  <c:v>4.2500000000000038E-2</c:v>
                </c:pt>
                <c:pt idx="49">
                  <c:v>4.500000000000004E-2</c:v>
                </c:pt>
                <c:pt idx="50">
                  <c:v>4.7500000000000042E-2</c:v>
                </c:pt>
                <c:pt idx="51">
                  <c:v>5.0000000000000044E-2</c:v>
                </c:pt>
                <c:pt idx="52">
                  <c:v>5.2500000000000047E-2</c:v>
                </c:pt>
                <c:pt idx="53">
                  <c:v>5.5000000000000049E-2</c:v>
                </c:pt>
                <c:pt idx="54">
                  <c:v>5.7500000000000051E-2</c:v>
                </c:pt>
                <c:pt idx="55">
                  <c:v>6.0000000000000053E-2</c:v>
                </c:pt>
                <c:pt idx="56">
                  <c:v>6.2500000000000056E-2</c:v>
                </c:pt>
                <c:pt idx="57">
                  <c:v>6.5000000000000058E-2</c:v>
                </c:pt>
                <c:pt idx="58">
                  <c:v>6.750000000000006E-2</c:v>
                </c:pt>
                <c:pt idx="59">
                  <c:v>7.0000000000000062E-2</c:v>
                </c:pt>
                <c:pt idx="60">
                  <c:v>7.2500000000000064E-2</c:v>
                </c:pt>
                <c:pt idx="61">
                  <c:v>7.5000000000000067E-2</c:v>
                </c:pt>
              </c:numCache>
            </c:numRef>
          </c:xVal>
          <c:yVal>
            <c:numRef>
              <c:f>'Notes | Quant Analysis'!$M$114:$M$175</c:f>
              <c:numCache>
                <c:formatCode>General</c:formatCode>
                <c:ptCount val="62"/>
                <c:pt idx="0">
                  <c:v>0.12175671053333864</c:v>
                </c:pt>
                <c:pt idx="1">
                  <c:v>0.16572643532551629</c:v>
                </c:pt>
                <c:pt idx="2">
                  <c:v>0.22331639508899631</c:v>
                </c:pt>
                <c:pt idx="3">
                  <c:v>0.29790607870469921</c:v>
                </c:pt>
                <c:pt idx="4">
                  <c:v>0.39343053030094327</c:v>
                </c:pt>
                <c:pt idx="5">
                  <c:v>0.51438309634328894</c:v>
                </c:pt>
                <c:pt idx="6">
                  <c:v>0.6657869147290929</c:v>
                </c:pt>
                <c:pt idx="7">
                  <c:v>0.85312714212129315</c:v>
                </c:pt>
                <c:pt idx="8">
                  <c:v>1.082236556927398</c:v>
                </c:pt>
                <c:pt idx="9">
                  <c:v>1.3591286816430226</c:v>
                </c:pt>
                <c:pt idx="10">
                  <c:v>1.6897750443815549</c:v>
                </c:pt>
                <c:pt idx="11">
                  <c:v>2.0798266711855637</c:v>
                </c:pt>
                <c:pt idx="12">
                  <c:v>2.5342842896496385</c:v>
                </c:pt>
                <c:pt idx="13">
                  <c:v>3.0571268288032196</c:v>
                </c:pt>
                <c:pt idx="14">
                  <c:v>3.6509132879381645</c:v>
                </c:pt>
                <c:pt idx="15">
                  <c:v>4.3163784635877072</c:v>
                </c:pt>
                <c:pt idx="16">
                  <c:v>5.0520478185070772</c:v>
                </c:pt>
                <c:pt idx="17">
                  <c:v>5.8539003473180768</c:v>
                </c:pt>
                <c:pt idx="18">
                  <c:v>6.7151100484493975</c:v>
                </c:pt>
                <c:pt idx="19">
                  <c:v>7.6258960414977723</c:v>
                </c:pt>
                <c:pt idx="20">
                  <c:v>8.5735081215953706</c:v>
                </c:pt>
                <c:pt idx="21">
                  <c:v>9.5423684933312458</c:v>
                </c:pt>
                <c:pt idx="22">
                  <c:v>10.51438173045598</c:v>
                </c:pt>
                <c:pt idx="23">
                  <c:v>11.469414121105958</c:v>
                </c:pt>
                <c:pt idx="24">
                  <c:v>12.385931230979054</c:v>
                </c:pt>
                <c:pt idx="25">
                  <c:v>13.241769741499533</c:v>
                </c:pt>
                <c:pt idx="26">
                  <c:v>14.01500754718894</c:v>
                </c:pt>
                <c:pt idx="27">
                  <c:v>14.684885920138573</c:v>
                </c:pt>
                <c:pt idx="28">
                  <c:v>15.23273037524465</c:v>
                </c:pt>
                <c:pt idx="29">
                  <c:v>15.642813582443607</c:v>
                </c:pt>
                <c:pt idx="30">
                  <c:v>15.903104819568272</c:v>
                </c:pt>
                <c:pt idx="31">
                  <c:v>16.005856170285302</c:v>
                </c:pt>
                <c:pt idx="32">
                  <c:v>15.947985618787614</c:v>
                </c:pt>
                <c:pt idx="33">
                  <c:v>15.731230610744719</c:v>
                </c:pt>
                <c:pt idx="34">
                  <c:v>15.362061404536385</c:v>
                </c:pt>
                <c:pt idx="35">
                  <c:v>14.851360242436012</c:v>
                </c:pt>
                <c:pt idx="36">
                  <c:v>14.213888539371403</c:v>
                </c:pt>
                <c:pt idx="37">
                  <c:v>13.467578486782354</c:v>
                </c:pt>
                <c:pt idx="38">
                  <c:v>12.632696483086278</c:v>
                </c:pt>
                <c:pt idx="39">
                  <c:v>11.730932752199603</c:v>
                </c:pt>
                <c:pt idx="40">
                  <c:v>10.78447394341967</c:v>
                </c:pt>
                <c:pt idx="41">
                  <c:v>9.815113422208432</c:v>
                </c:pt>
                <c:pt idx="42">
                  <c:v>8.8434477991250784</c:v>
                </c:pt>
                <c:pt idx="43">
                  <c:v>7.8881988042839817</c:v>
                </c:pt>
                <c:pt idx="44">
                  <c:v>6.9656879539684651</c:v>
                </c:pt>
                <c:pt idx="45">
                  <c:v>6.0894787572207258</c:v>
                </c:pt>
                <c:pt idx="46">
                  <c:v>5.2701886486886487</c:v>
                </c:pt>
                <c:pt idx="47">
                  <c:v>4.5154614567481204</c:v>
                </c:pt>
                <c:pt idx="48">
                  <c:v>3.8300818470335583</c:v>
                </c:pt>
                <c:pt idx="49">
                  <c:v>3.2162063626533604</c:v>
                </c:pt>
                <c:pt idx="50">
                  <c:v>2.6736816515361874</c:v>
                </c:pt>
                <c:pt idx="51">
                  <c:v>2.2004191779406992</c:v>
                </c:pt>
                <c:pt idx="52">
                  <c:v>1.7927968648030317</c:v>
                </c:pt>
                <c:pt idx="53">
                  <c:v>1.4460612333913916</c:v>
                </c:pt>
                <c:pt idx="54">
                  <c:v>1.1547081201353255</c:v>
                </c:pt>
                <c:pt idx="55">
                  <c:v>0.91282535155394096</c:v>
                </c:pt>
                <c:pt idx="56">
                  <c:v>0.71438627660229692</c:v>
                </c:pt>
                <c:pt idx="57">
                  <c:v>0.55348830657618131</c:v>
                </c:pt>
                <c:pt idx="58">
                  <c:v>0.42453522796025961</c:v>
                </c:pt>
                <c:pt idx="59">
                  <c:v>0.32236579519097253</c:v>
                </c:pt>
                <c:pt idx="60">
                  <c:v>0.24233386671084864</c:v>
                </c:pt>
                <c:pt idx="61">
                  <c:v>0.18034711793455815</c:v>
                </c:pt>
              </c:numCache>
            </c:numRef>
          </c:yVal>
          <c:smooth val="1"/>
          <c:extLst>
            <c:ext xmlns:c16="http://schemas.microsoft.com/office/drawing/2014/chart" uri="{C3380CC4-5D6E-409C-BE32-E72D297353CC}">
              <c16:uniqueId val="{00000001-28C7-4862-86E9-AF862A5BA0AD}"/>
            </c:ext>
          </c:extLst>
        </c:ser>
        <c:ser>
          <c:idx val="2"/>
          <c:order val="2"/>
          <c:tx>
            <c:strRef>
              <c:f>'Notes | Quant Analysis'!$O$114</c:f>
              <c:strCache>
                <c:ptCount val="1"/>
                <c:pt idx="0">
                  <c:v>Mean</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28C7-4862-86E9-AF862A5BA0AD}"/>
                </c:ext>
              </c:extLst>
            </c:dLbl>
            <c:dLbl>
              <c:idx val="1"/>
              <c:layout>
                <c:manualLayout>
                  <c:x val="-4.9425287356321922E-2"/>
                  <c:y val="-5.3021448463169488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3-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Analysis'!$P$114:$P$115</c:f>
              <c:numCache>
                <c:formatCode>0.00%</c:formatCode>
                <c:ptCount val="2"/>
                <c:pt idx="0">
                  <c:v>3.5008473359527444E-4</c:v>
                </c:pt>
                <c:pt idx="1">
                  <c:v>3.5008473359527444E-4</c:v>
                </c:pt>
              </c:numCache>
            </c:numRef>
          </c:xVal>
          <c:yVal>
            <c:numRef>
              <c:f>'Notes | Quant Analysis'!$Q$114:$Q$115</c:f>
              <c:numCache>
                <c:formatCode>General</c:formatCode>
                <c:ptCount val="2"/>
                <c:pt idx="0">
                  <c:v>0</c:v>
                </c:pt>
                <c:pt idx="1">
                  <c:v>25</c:v>
                </c:pt>
              </c:numCache>
            </c:numRef>
          </c:yVal>
          <c:smooth val="1"/>
          <c:extLst>
            <c:ext xmlns:c16="http://schemas.microsoft.com/office/drawing/2014/chart" uri="{C3380CC4-5D6E-409C-BE32-E72D297353CC}">
              <c16:uniqueId val="{00000004-28C7-4862-86E9-AF862A5BA0AD}"/>
            </c:ext>
          </c:extLst>
        </c:ser>
        <c:ser>
          <c:idx val="3"/>
          <c:order val="3"/>
          <c:tx>
            <c:strRef>
              <c:f>'Notes | Quant Analysis'!$O$116</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5-28C7-4862-86E9-AF862A5BA0AD}"/>
                </c:ext>
              </c:extLst>
            </c:dLbl>
            <c:dLbl>
              <c:idx val="1"/>
              <c:layout>
                <c:manualLayout>
                  <c:x val="-3.2183908045977011E-2"/>
                  <c:y val="-2.6510724231584907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6-28C7-4862-86E9-AF862A5BA0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Analysis'!$P$116:$P$117</c:f>
              <c:numCache>
                <c:formatCode>0.00%</c:formatCode>
                <c:ptCount val="2"/>
                <c:pt idx="0">
                  <c:v>-7.4416847802588157E-2</c:v>
                </c:pt>
                <c:pt idx="1">
                  <c:v>-7.4416847802588157E-2</c:v>
                </c:pt>
              </c:numCache>
            </c:numRef>
          </c:xVal>
          <c:yVal>
            <c:numRef>
              <c:f>'Notes | Quant Analysis'!$Q$116:$Q$117</c:f>
              <c:numCache>
                <c:formatCode>General</c:formatCode>
                <c:ptCount val="2"/>
                <c:pt idx="0">
                  <c:v>0</c:v>
                </c:pt>
                <c:pt idx="1">
                  <c:v>1</c:v>
                </c:pt>
              </c:numCache>
            </c:numRef>
          </c:yVal>
          <c:smooth val="1"/>
          <c:extLst>
            <c:ext xmlns:c16="http://schemas.microsoft.com/office/drawing/2014/chart" uri="{C3380CC4-5D6E-409C-BE32-E72D297353CC}">
              <c16:uniqueId val="{00000007-28C7-4862-86E9-AF862A5BA0AD}"/>
            </c:ext>
          </c:extLst>
        </c:ser>
        <c:ser>
          <c:idx val="4"/>
          <c:order val="4"/>
          <c:tx>
            <c:strRef>
              <c:f>'Notes | Quant Analysis'!$O$118</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8-28C7-4862-86E9-AF862A5BA0AD}"/>
                </c:ext>
              </c:extLst>
            </c:dLbl>
            <c:dLbl>
              <c:idx val="1"/>
              <c:layout>
                <c:manualLayout>
                  <c:x val="-4.7126436781609195E-2"/>
                  <c:y val="-2.8719951250883634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9-28C7-4862-86E9-AF862A5BA0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Analysis'!$P$118:$P$119</c:f>
              <c:numCache>
                <c:formatCode>0.00%</c:formatCode>
                <c:ptCount val="2"/>
                <c:pt idx="0">
                  <c:v>-4.9494536957193677E-2</c:v>
                </c:pt>
                <c:pt idx="1">
                  <c:v>-4.9494536957193677E-2</c:v>
                </c:pt>
              </c:numCache>
            </c:numRef>
          </c:xVal>
          <c:yVal>
            <c:numRef>
              <c:f>'Notes | Quant Analysis'!$Q$118:$Q$119</c:f>
              <c:numCache>
                <c:formatCode>General</c:formatCode>
                <c:ptCount val="2"/>
                <c:pt idx="0">
                  <c:v>0</c:v>
                </c:pt>
                <c:pt idx="1">
                  <c:v>7</c:v>
                </c:pt>
              </c:numCache>
            </c:numRef>
          </c:yVal>
          <c:smooth val="1"/>
          <c:extLst>
            <c:ext xmlns:c16="http://schemas.microsoft.com/office/drawing/2014/chart" uri="{C3380CC4-5D6E-409C-BE32-E72D297353CC}">
              <c16:uniqueId val="{0000000A-28C7-4862-86E9-AF862A5BA0AD}"/>
            </c:ext>
          </c:extLst>
        </c:ser>
        <c:ser>
          <c:idx val="5"/>
          <c:order val="5"/>
          <c:tx>
            <c:strRef>
              <c:f>'Notes | Quant Analysis'!$O$120</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28C7-4862-86E9-AF862A5BA0AD}"/>
                </c:ext>
              </c:extLst>
            </c:dLbl>
            <c:dLbl>
              <c:idx val="1"/>
              <c:layout>
                <c:manualLayout>
                  <c:x val="-9.3103448275862075E-2"/>
                  <c:y val="-8.1004054941865013E-17"/>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C-28C7-4862-86E9-AF862A5BA0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Analysis'!$P$120:$P$121</c:f>
              <c:numCache>
                <c:formatCode>0.00%</c:formatCode>
                <c:ptCount val="2"/>
                <c:pt idx="0">
                  <c:v>-2.4572226111799201E-2</c:v>
                </c:pt>
                <c:pt idx="1">
                  <c:v>-2.4572226111799201E-2</c:v>
                </c:pt>
              </c:numCache>
            </c:numRef>
          </c:xVal>
          <c:yVal>
            <c:numRef>
              <c:f>'Notes | Quant Analysis'!$Q$120:$Q$121</c:f>
              <c:numCache>
                <c:formatCode>General</c:formatCode>
                <c:ptCount val="2"/>
                <c:pt idx="0">
                  <c:v>0</c:v>
                </c:pt>
                <c:pt idx="1">
                  <c:v>15</c:v>
                </c:pt>
              </c:numCache>
            </c:numRef>
          </c:yVal>
          <c:smooth val="1"/>
          <c:extLst>
            <c:ext xmlns:c16="http://schemas.microsoft.com/office/drawing/2014/chart" uri="{C3380CC4-5D6E-409C-BE32-E72D297353CC}">
              <c16:uniqueId val="{0000000D-28C7-4862-86E9-AF862A5BA0AD}"/>
            </c:ext>
          </c:extLst>
        </c:ser>
        <c:ser>
          <c:idx val="6"/>
          <c:order val="6"/>
          <c:tx>
            <c:strRef>
              <c:f>'Notes | Quant Analysis'!$O$122</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Analysis'!$P$122:$P$123</c:f>
              <c:numCache>
                <c:formatCode>0.00%</c:formatCode>
                <c:ptCount val="2"/>
                <c:pt idx="0">
                  <c:v>2.5272395578989752E-2</c:v>
                </c:pt>
                <c:pt idx="1">
                  <c:v>2.5272395578989752E-2</c:v>
                </c:pt>
              </c:numCache>
            </c:numRef>
          </c:xVal>
          <c:yVal>
            <c:numRef>
              <c:f>'Notes | Quant Analysis'!$Q$122:$Q$123</c:f>
              <c:numCache>
                <c:formatCode>General</c:formatCode>
                <c:ptCount val="2"/>
                <c:pt idx="0">
                  <c:v>0</c:v>
                </c:pt>
                <c:pt idx="1">
                  <c:v>15</c:v>
                </c:pt>
              </c:numCache>
            </c:numRef>
          </c:yVal>
          <c:smooth val="1"/>
          <c:extLst>
            <c:ext xmlns:c16="http://schemas.microsoft.com/office/drawing/2014/chart" uri="{C3380CC4-5D6E-409C-BE32-E72D297353CC}">
              <c16:uniqueId val="{0000000F-28C7-4862-86E9-AF862A5BA0AD}"/>
            </c:ext>
          </c:extLst>
        </c:ser>
        <c:ser>
          <c:idx val="7"/>
          <c:order val="7"/>
          <c:tx>
            <c:strRef>
              <c:f>'Notes | Quant Analysis'!$O$124</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28C7-4862-86E9-AF862A5BA0AD}"/>
                </c:ext>
              </c:extLst>
            </c:dLbl>
            <c:dLbl>
              <c:idx val="1"/>
              <c:layout>
                <c:manualLayout>
                  <c:x val="-3.1034482758620689E-2"/>
                  <c:y val="-2.651072423158474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1-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'Notes | Quant Analysis'!$P$124:$P$125</c:f>
              <c:numCache>
                <c:formatCode>0.00%</c:formatCode>
                <c:ptCount val="2"/>
                <c:pt idx="0">
                  <c:v>5.0194706424384228E-2</c:v>
                </c:pt>
                <c:pt idx="1">
                  <c:v>5.0194706424384228E-2</c:v>
                </c:pt>
              </c:numCache>
            </c:numRef>
          </c:xVal>
          <c:yVal>
            <c:numRef>
              <c:f>'Notes | Quant Analysis'!$Q$124:$Q$125</c:f>
              <c:numCache>
                <c:formatCode>General</c:formatCode>
                <c:ptCount val="2"/>
                <c:pt idx="0">
                  <c:v>0</c:v>
                </c:pt>
                <c:pt idx="1">
                  <c:v>7</c:v>
                </c:pt>
              </c:numCache>
            </c:numRef>
          </c:yVal>
          <c:smooth val="1"/>
          <c:extLst>
            <c:ext xmlns:c16="http://schemas.microsoft.com/office/drawing/2014/chart" uri="{C3380CC4-5D6E-409C-BE32-E72D297353CC}">
              <c16:uniqueId val="{00000012-28C7-4862-86E9-AF862A5BA0AD}"/>
            </c:ext>
          </c:extLst>
        </c:ser>
        <c:ser>
          <c:idx val="8"/>
          <c:order val="8"/>
          <c:tx>
            <c:strRef>
              <c:f>'Notes | Quant Analysis'!$O$126</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3-28C7-4862-86E9-AF862A5BA0AD}"/>
                </c:ext>
              </c:extLst>
            </c:dLbl>
            <c:dLbl>
              <c:idx val="1"/>
              <c:layout>
                <c:manualLayout>
                  <c:x val="-2.6436781609195402E-2"/>
                  <c:y val="-2.4301497212286017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Analysis'!$P$126:$P$127</c:f>
              <c:numCache>
                <c:formatCode>0.00%</c:formatCode>
                <c:ptCount val="2"/>
                <c:pt idx="0">
                  <c:v>7.5117017269778694E-2</c:v>
                </c:pt>
                <c:pt idx="1">
                  <c:v>7.5117017269778694E-2</c:v>
                </c:pt>
              </c:numCache>
            </c:numRef>
          </c:xVal>
          <c:yVal>
            <c:numRef>
              <c:f>'Notes | Quant Analysis'!$Q$126:$Q$127</c:f>
              <c:numCache>
                <c:formatCode>General</c:formatCode>
                <c:ptCount val="2"/>
                <c:pt idx="0">
                  <c:v>0</c:v>
                </c:pt>
                <c:pt idx="1">
                  <c:v>1</c:v>
                </c:pt>
              </c:numCache>
            </c:numRef>
          </c:yVal>
          <c:smooth val="1"/>
          <c:extLst>
            <c:ext xmlns:c16="http://schemas.microsoft.com/office/drawing/2014/chart" uri="{C3380CC4-5D6E-409C-BE32-E72D297353CC}">
              <c16:uniqueId val="{00000015-28C7-4862-86E9-AF862A5BA0AD}"/>
            </c:ext>
          </c:extLst>
        </c:ser>
        <c:dLbls>
          <c:showLegendKey val="0"/>
          <c:showVal val="0"/>
          <c:showCatName val="0"/>
          <c:showSerName val="0"/>
          <c:showPercent val="0"/>
          <c:showBubbleSize val="0"/>
        </c:dLbls>
        <c:axId val="1274098191"/>
        <c:axId val="1274092911"/>
      </c:scatterChart>
      <c:valAx>
        <c:axId val="1274098191"/>
        <c:scaling>
          <c:orientation val="minMax"/>
          <c:max val="8.0000000000000016E-2"/>
          <c:min val="-8.0000000000000016E-2"/>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092911"/>
        <c:crosses val="autoZero"/>
        <c:crossBetween val="midCat"/>
        <c:majorUnit val="1.0000000000000002E-2"/>
      </c:valAx>
      <c:valAx>
        <c:axId val="1274092911"/>
        <c:scaling>
          <c:orientation val="minMax"/>
          <c:min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0981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3.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xdr:col>
      <xdr:colOff>33619</xdr:colOff>
      <xdr:row>191</xdr:row>
      <xdr:rowOff>112057</xdr:rowOff>
    </xdr:from>
    <xdr:to>
      <xdr:col>15</xdr:col>
      <xdr:colOff>582707</xdr:colOff>
      <xdr:row>191</xdr:row>
      <xdr:rowOff>112058</xdr:rowOff>
    </xdr:to>
    <xdr:cxnSp macro="">
      <xdr:nvCxnSpPr>
        <xdr:cNvPr id="3" name="Straight Connector 2">
          <a:extLst>
            <a:ext uri="{FF2B5EF4-FFF2-40B4-BE49-F238E27FC236}">
              <a16:creationId xmlns:a16="http://schemas.microsoft.com/office/drawing/2014/main" id="{81631A79-5CF3-1633-3F81-E49CC3AFFC38}"/>
            </a:ext>
          </a:extLst>
        </xdr:cNvPr>
        <xdr:cNvCxnSpPr/>
      </xdr:nvCxnSpPr>
      <xdr:spPr>
        <a:xfrm>
          <a:off x="224119" y="36990616"/>
          <a:ext cx="10679206" cy="1"/>
        </a:xfrm>
        <a:prstGeom prst="line">
          <a:avLst/>
        </a:prstGeom>
        <a:ln w="19050">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0</xdr:colOff>
      <xdr:row>184</xdr:row>
      <xdr:rowOff>112059</xdr:rowOff>
    </xdr:from>
    <xdr:to>
      <xdr:col>15</xdr:col>
      <xdr:colOff>571500</xdr:colOff>
      <xdr:row>184</xdr:row>
      <xdr:rowOff>112060</xdr:rowOff>
    </xdr:to>
    <xdr:cxnSp macro="">
      <xdr:nvCxnSpPr>
        <xdr:cNvPr id="5" name="Straight Connector 4">
          <a:extLst>
            <a:ext uri="{FF2B5EF4-FFF2-40B4-BE49-F238E27FC236}">
              <a16:creationId xmlns:a16="http://schemas.microsoft.com/office/drawing/2014/main" id="{0A588176-D2E4-4E5C-B439-79905F0E541E}"/>
            </a:ext>
          </a:extLst>
        </xdr:cNvPr>
        <xdr:cNvCxnSpPr/>
      </xdr:nvCxnSpPr>
      <xdr:spPr>
        <a:xfrm flipV="1">
          <a:off x="190500" y="35657118"/>
          <a:ext cx="10701618" cy="1"/>
        </a:xfrm>
        <a:prstGeom prst="line">
          <a:avLst/>
        </a:prstGeom>
        <a:ln w="19050">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xdr:col>
      <xdr:colOff>11205</xdr:colOff>
      <xdr:row>203</xdr:row>
      <xdr:rowOff>22412</xdr:rowOff>
    </xdr:from>
    <xdr:to>
      <xdr:col>5</xdr:col>
      <xdr:colOff>683558</xdr:colOff>
      <xdr:row>216</xdr:row>
      <xdr:rowOff>156882</xdr:rowOff>
    </xdr:to>
    <xdr:pic>
      <xdr:nvPicPr>
        <xdr:cNvPr id="6" name="Picture 5">
          <a:extLst>
            <a:ext uri="{FF2B5EF4-FFF2-40B4-BE49-F238E27FC236}">
              <a16:creationId xmlns:a16="http://schemas.microsoft.com/office/drawing/2014/main" id="{092AD17F-A870-BE87-6817-AAF0A3842090}"/>
            </a:ext>
          </a:extLst>
        </xdr:cNvPr>
        <xdr:cNvPicPr>
          <a:picLocks noChangeAspect="1"/>
        </xdr:cNvPicPr>
      </xdr:nvPicPr>
      <xdr:blipFill>
        <a:blip xmlns:r="http://schemas.openxmlformats.org/officeDocument/2006/relationships" r:embed="rId1"/>
        <a:stretch>
          <a:fillRect/>
        </a:stretch>
      </xdr:blipFill>
      <xdr:spPr>
        <a:xfrm>
          <a:off x="2061881" y="41663471"/>
          <a:ext cx="2812677" cy="2487705"/>
        </a:xfrm>
        <a:prstGeom prst="rect">
          <a:avLst/>
        </a:prstGeom>
      </xdr:spPr>
    </xdr:pic>
    <xdr:clientData/>
  </xdr:twoCellAnchor>
  <xdr:twoCellAnchor editAs="oneCell">
    <xdr:from>
      <xdr:col>6</xdr:col>
      <xdr:colOff>0</xdr:colOff>
      <xdr:row>203</xdr:row>
      <xdr:rowOff>11206</xdr:rowOff>
    </xdr:from>
    <xdr:to>
      <xdr:col>19</xdr:col>
      <xdr:colOff>0</xdr:colOff>
      <xdr:row>213</xdr:row>
      <xdr:rowOff>2</xdr:rowOff>
    </xdr:to>
    <xdr:pic>
      <xdr:nvPicPr>
        <xdr:cNvPr id="7" name="Picture 6">
          <a:extLst>
            <a:ext uri="{FF2B5EF4-FFF2-40B4-BE49-F238E27FC236}">
              <a16:creationId xmlns:a16="http://schemas.microsoft.com/office/drawing/2014/main" id="{4A8A99FA-E42B-5304-2EF8-001F32043FD1}"/>
            </a:ext>
          </a:extLst>
        </xdr:cNvPr>
        <xdr:cNvPicPr>
          <a:picLocks noChangeAspect="1"/>
        </xdr:cNvPicPr>
      </xdr:nvPicPr>
      <xdr:blipFill>
        <a:blip xmlns:r="http://schemas.openxmlformats.org/officeDocument/2006/relationships" r:embed="rId2"/>
        <a:stretch>
          <a:fillRect/>
        </a:stretch>
      </xdr:blipFill>
      <xdr:spPr>
        <a:xfrm>
          <a:off x="4874559" y="41641059"/>
          <a:ext cx="7866529" cy="1792942"/>
        </a:xfrm>
        <a:prstGeom prst="rect">
          <a:avLst/>
        </a:prstGeom>
      </xdr:spPr>
    </xdr:pic>
    <xdr:clientData/>
  </xdr:twoCellAnchor>
  <xdr:twoCellAnchor>
    <xdr:from>
      <xdr:col>2</xdr:col>
      <xdr:colOff>257735</xdr:colOff>
      <xdr:row>26</xdr:row>
      <xdr:rowOff>100853</xdr:rowOff>
    </xdr:from>
    <xdr:to>
      <xdr:col>4</xdr:col>
      <xdr:colOff>168088</xdr:colOff>
      <xdr:row>26</xdr:row>
      <xdr:rowOff>112059</xdr:rowOff>
    </xdr:to>
    <xdr:cxnSp macro="">
      <xdr:nvCxnSpPr>
        <xdr:cNvPr id="8" name="Straight Connector 7">
          <a:extLst>
            <a:ext uri="{FF2B5EF4-FFF2-40B4-BE49-F238E27FC236}">
              <a16:creationId xmlns:a16="http://schemas.microsoft.com/office/drawing/2014/main" id="{0F31FC69-D2FD-4B60-9037-27A02A91F286}"/>
            </a:ext>
          </a:extLst>
        </xdr:cNvPr>
        <xdr:cNvCxnSpPr/>
      </xdr:nvCxnSpPr>
      <xdr:spPr>
        <a:xfrm flipV="1">
          <a:off x="2308411" y="5076265"/>
          <a:ext cx="1378324" cy="11206"/>
        </a:xfrm>
        <a:prstGeom prst="line">
          <a:avLst/>
        </a:prstGeom>
        <a:ln w="3175">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27</xdr:col>
      <xdr:colOff>0</xdr:colOff>
      <xdr:row>0</xdr:row>
      <xdr:rowOff>0</xdr:rowOff>
    </xdr:from>
    <xdr:to>
      <xdr:col>27</xdr:col>
      <xdr:colOff>0</xdr:colOff>
      <xdr:row>103</xdr:row>
      <xdr:rowOff>3362</xdr:rowOff>
    </xdr:to>
    <xdr:cxnSp macro="">
      <xdr:nvCxnSpPr>
        <xdr:cNvPr id="2" name="Straight Connector 1">
          <a:extLst>
            <a:ext uri="{FF2B5EF4-FFF2-40B4-BE49-F238E27FC236}">
              <a16:creationId xmlns:a16="http://schemas.microsoft.com/office/drawing/2014/main" id="{F1E44869-52AF-486E-877C-24F7531B27D8}"/>
            </a:ext>
          </a:extLst>
        </xdr:cNvPr>
        <xdr:cNvCxnSpPr/>
      </xdr:nvCxnSpPr>
      <xdr:spPr>
        <a:xfrm>
          <a:off x="18321618" y="0"/>
          <a:ext cx="0" cy="17910362"/>
        </a:xfrm>
        <a:prstGeom prst="line">
          <a:avLst/>
        </a:prstGeom>
        <a:ln w="9525">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0</xdr:colOff>
      <xdr:row>0</xdr:row>
      <xdr:rowOff>0</xdr:rowOff>
    </xdr:from>
    <xdr:to>
      <xdr:col>53</xdr:col>
      <xdr:colOff>0</xdr:colOff>
      <xdr:row>97</xdr:row>
      <xdr:rowOff>44823</xdr:rowOff>
    </xdr:to>
    <xdr:cxnSp macro="">
      <xdr:nvCxnSpPr>
        <xdr:cNvPr id="3" name="Straight Connector 2">
          <a:extLst>
            <a:ext uri="{FF2B5EF4-FFF2-40B4-BE49-F238E27FC236}">
              <a16:creationId xmlns:a16="http://schemas.microsoft.com/office/drawing/2014/main" id="{BFD2E6C1-1006-457F-8965-56C00580F485}"/>
            </a:ext>
          </a:extLst>
        </xdr:cNvPr>
        <xdr:cNvCxnSpPr/>
      </xdr:nvCxnSpPr>
      <xdr:spPr>
        <a:xfrm>
          <a:off x="34121912" y="0"/>
          <a:ext cx="0" cy="18534529"/>
        </a:xfrm>
        <a:prstGeom prst="line">
          <a:avLst/>
        </a:prstGeom>
        <a:ln w="9525">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201705</xdr:colOff>
      <xdr:row>2</xdr:row>
      <xdr:rowOff>0</xdr:rowOff>
    </xdr:from>
    <xdr:to>
      <xdr:col>17</xdr:col>
      <xdr:colOff>6723</xdr:colOff>
      <xdr:row>31</xdr:row>
      <xdr:rowOff>22412</xdr:rowOff>
    </xdr:to>
    <xdr:pic>
      <xdr:nvPicPr>
        <xdr:cNvPr id="3" name="Picture 2">
          <a:extLst>
            <a:ext uri="{FF2B5EF4-FFF2-40B4-BE49-F238E27FC236}">
              <a16:creationId xmlns:a16="http://schemas.microsoft.com/office/drawing/2014/main" id="{BAC88A5C-F1C7-C9B7-CD05-D7DBD6F7D226}"/>
            </a:ext>
          </a:extLst>
        </xdr:cNvPr>
        <xdr:cNvPicPr>
          <a:picLocks noChangeAspect="1"/>
        </xdr:cNvPicPr>
      </xdr:nvPicPr>
      <xdr:blipFill>
        <a:blip xmlns:r="http://schemas.openxmlformats.org/officeDocument/2006/relationships" r:embed="rId1"/>
        <a:stretch>
          <a:fillRect/>
        </a:stretch>
      </xdr:blipFill>
      <xdr:spPr>
        <a:xfrm>
          <a:off x="201705" y="369794"/>
          <a:ext cx="5452783" cy="5277971"/>
        </a:xfrm>
        <a:prstGeom prst="rect">
          <a:avLst/>
        </a:prstGeom>
      </xdr:spPr>
    </xdr:pic>
    <xdr:clientData/>
  </xdr:twoCellAnchor>
  <xdr:twoCellAnchor>
    <xdr:from>
      <xdr:col>8</xdr:col>
      <xdr:colOff>2400</xdr:colOff>
      <xdr:row>33</xdr:row>
      <xdr:rowOff>0</xdr:rowOff>
    </xdr:from>
    <xdr:to>
      <xdr:col>24</xdr:col>
      <xdr:colOff>0</xdr:colOff>
      <xdr:row>64</xdr:row>
      <xdr:rowOff>0</xdr:rowOff>
    </xdr:to>
    <xdr:graphicFrame macro="">
      <xdr:nvGraphicFramePr>
        <xdr:cNvPr id="5" name="Chart 4">
          <a:extLst>
            <a:ext uri="{FF2B5EF4-FFF2-40B4-BE49-F238E27FC236}">
              <a16:creationId xmlns:a16="http://schemas.microsoft.com/office/drawing/2014/main" id="{83493DDC-1615-4FAA-99E8-6984261D6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27</xdr:col>
      <xdr:colOff>0</xdr:colOff>
      <xdr:row>172</xdr:row>
      <xdr:rowOff>0</xdr:rowOff>
    </xdr:from>
    <xdr:to>
      <xdr:col>41</xdr:col>
      <xdr:colOff>11207</xdr:colOff>
      <xdr:row>205</xdr:row>
      <xdr:rowOff>134471</xdr:rowOff>
    </xdr:to>
    <xdr:pic>
      <xdr:nvPicPr>
        <xdr:cNvPr id="8" name="Picture 7">
          <a:extLst>
            <a:ext uri="{FF2B5EF4-FFF2-40B4-BE49-F238E27FC236}">
              <a16:creationId xmlns:a16="http://schemas.microsoft.com/office/drawing/2014/main" id="{D495630E-7CE2-4147-B554-CF6F5203753E}"/>
            </a:ext>
          </a:extLst>
        </xdr:cNvPr>
        <xdr:cNvPicPr>
          <a:picLocks noChangeAspect="1"/>
        </xdr:cNvPicPr>
      </xdr:nvPicPr>
      <xdr:blipFill>
        <a:blip xmlns:r="http://schemas.openxmlformats.org/officeDocument/2006/relationships" r:embed="rId3"/>
        <a:stretch>
          <a:fillRect/>
        </a:stretch>
      </xdr:blipFill>
      <xdr:spPr>
        <a:xfrm>
          <a:off x="9278471" y="28059529"/>
          <a:ext cx="8482853" cy="6096000"/>
        </a:xfrm>
        <a:prstGeom prst="rect">
          <a:avLst/>
        </a:prstGeom>
      </xdr:spPr>
    </xdr:pic>
    <xdr:clientData/>
  </xdr:twoCellAnchor>
  <xdr:twoCellAnchor editAs="oneCell">
    <xdr:from>
      <xdr:col>27</xdr:col>
      <xdr:colOff>0</xdr:colOff>
      <xdr:row>23</xdr:row>
      <xdr:rowOff>11206</xdr:rowOff>
    </xdr:from>
    <xdr:to>
      <xdr:col>38</xdr:col>
      <xdr:colOff>11206</xdr:colOff>
      <xdr:row>47</xdr:row>
      <xdr:rowOff>1518</xdr:rowOff>
    </xdr:to>
    <xdr:pic>
      <xdr:nvPicPr>
        <xdr:cNvPr id="10" name="Picture 9">
          <a:extLst>
            <a:ext uri="{FF2B5EF4-FFF2-40B4-BE49-F238E27FC236}">
              <a16:creationId xmlns:a16="http://schemas.microsoft.com/office/drawing/2014/main" id="{0A10D00D-E246-46F6-AFCE-DCB735FB5505}"/>
            </a:ext>
          </a:extLst>
        </xdr:cNvPr>
        <xdr:cNvPicPr>
          <a:picLocks noChangeAspect="1"/>
        </xdr:cNvPicPr>
      </xdr:nvPicPr>
      <xdr:blipFill>
        <a:blip xmlns:r="http://schemas.openxmlformats.org/officeDocument/2006/relationships" r:embed="rId4"/>
        <a:stretch>
          <a:fillRect/>
        </a:stretch>
      </xdr:blipFill>
      <xdr:spPr>
        <a:xfrm>
          <a:off x="9278471" y="4191000"/>
          <a:ext cx="6667500" cy="4324586"/>
        </a:xfrm>
        <a:prstGeom prst="rect">
          <a:avLst/>
        </a:prstGeom>
      </xdr:spPr>
    </xdr:pic>
    <xdr:clientData/>
  </xdr:twoCellAnchor>
  <xdr:twoCellAnchor editAs="oneCell">
    <xdr:from>
      <xdr:col>27</xdr:col>
      <xdr:colOff>0</xdr:colOff>
      <xdr:row>69</xdr:row>
      <xdr:rowOff>0</xdr:rowOff>
    </xdr:from>
    <xdr:to>
      <xdr:col>38</xdr:col>
      <xdr:colOff>11206</xdr:colOff>
      <xdr:row>95</xdr:row>
      <xdr:rowOff>22412</xdr:rowOff>
    </xdr:to>
    <xdr:pic>
      <xdr:nvPicPr>
        <xdr:cNvPr id="13" name="Picture 12">
          <a:extLst>
            <a:ext uri="{FF2B5EF4-FFF2-40B4-BE49-F238E27FC236}">
              <a16:creationId xmlns:a16="http://schemas.microsoft.com/office/drawing/2014/main" id="{989E0571-D290-4640-B5AA-D8C7F5EDA31B}"/>
            </a:ext>
          </a:extLst>
        </xdr:cNvPr>
        <xdr:cNvPicPr>
          <a:picLocks noChangeAspect="1"/>
        </xdr:cNvPicPr>
      </xdr:nvPicPr>
      <xdr:blipFill>
        <a:blip xmlns:r="http://schemas.openxmlformats.org/officeDocument/2006/relationships" r:embed="rId5"/>
        <a:stretch>
          <a:fillRect/>
        </a:stretch>
      </xdr:blipFill>
      <xdr:spPr>
        <a:xfrm>
          <a:off x="9278471" y="10656794"/>
          <a:ext cx="6667500" cy="4672853"/>
        </a:xfrm>
        <a:prstGeom prst="rect">
          <a:avLst/>
        </a:prstGeom>
      </xdr:spPr>
    </xdr:pic>
    <xdr:clientData/>
  </xdr:twoCellAnchor>
  <xdr:twoCellAnchor editAs="oneCell">
    <xdr:from>
      <xdr:col>38</xdr:col>
      <xdr:colOff>0</xdr:colOff>
      <xdr:row>68</xdr:row>
      <xdr:rowOff>168088</xdr:rowOff>
    </xdr:from>
    <xdr:to>
      <xdr:col>49</xdr:col>
      <xdr:colOff>11897</xdr:colOff>
      <xdr:row>95</xdr:row>
      <xdr:rowOff>11207</xdr:rowOff>
    </xdr:to>
    <xdr:pic>
      <xdr:nvPicPr>
        <xdr:cNvPr id="18" name="Picture 17">
          <a:extLst>
            <a:ext uri="{FF2B5EF4-FFF2-40B4-BE49-F238E27FC236}">
              <a16:creationId xmlns:a16="http://schemas.microsoft.com/office/drawing/2014/main" id="{15BF3CB9-B25A-4D99-A182-D1536DFBD903}"/>
            </a:ext>
          </a:extLst>
        </xdr:cNvPr>
        <xdr:cNvPicPr>
          <a:picLocks noChangeAspect="1"/>
        </xdr:cNvPicPr>
      </xdr:nvPicPr>
      <xdr:blipFill>
        <a:blip xmlns:r="http://schemas.openxmlformats.org/officeDocument/2006/relationships" r:embed="rId6"/>
        <a:stretch>
          <a:fillRect/>
        </a:stretch>
      </xdr:blipFill>
      <xdr:spPr>
        <a:xfrm>
          <a:off x="15934765" y="10645588"/>
          <a:ext cx="6668191" cy="4684059"/>
        </a:xfrm>
        <a:prstGeom prst="rect">
          <a:avLst/>
        </a:prstGeom>
      </xdr:spPr>
    </xdr:pic>
    <xdr:clientData/>
  </xdr:twoCellAnchor>
  <xdr:twoCellAnchor editAs="oneCell">
    <xdr:from>
      <xdr:col>27</xdr:col>
      <xdr:colOff>0</xdr:colOff>
      <xdr:row>118</xdr:row>
      <xdr:rowOff>0</xdr:rowOff>
    </xdr:from>
    <xdr:to>
      <xdr:col>38</xdr:col>
      <xdr:colOff>11206</xdr:colOff>
      <xdr:row>142</xdr:row>
      <xdr:rowOff>100852</xdr:rowOff>
    </xdr:to>
    <xdr:pic>
      <xdr:nvPicPr>
        <xdr:cNvPr id="22" name="Picture 21">
          <a:extLst>
            <a:ext uri="{FF2B5EF4-FFF2-40B4-BE49-F238E27FC236}">
              <a16:creationId xmlns:a16="http://schemas.microsoft.com/office/drawing/2014/main" id="{DE8D4F65-B4E1-4CFC-B99E-9EBB8204E34D}"/>
            </a:ext>
          </a:extLst>
        </xdr:cNvPr>
        <xdr:cNvPicPr>
          <a:picLocks noChangeAspect="1"/>
        </xdr:cNvPicPr>
      </xdr:nvPicPr>
      <xdr:blipFill>
        <a:blip xmlns:r="http://schemas.openxmlformats.org/officeDocument/2006/relationships" r:embed="rId7"/>
        <a:stretch>
          <a:fillRect/>
        </a:stretch>
      </xdr:blipFill>
      <xdr:spPr>
        <a:xfrm>
          <a:off x="9278471" y="18579353"/>
          <a:ext cx="6667500" cy="4672853"/>
        </a:xfrm>
        <a:prstGeom prst="rect">
          <a:avLst/>
        </a:prstGeom>
      </xdr:spPr>
    </xdr:pic>
    <xdr:clientData/>
  </xdr:twoCellAnchor>
  <xdr:twoCellAnchor editAs="oneCell">
    <xdr:from>
      <xdr:col>38</xdr:col>
      <xdr:colOff>0</xdr:colOff>
      <xdr:row>118</xdr:row>
      <xdr:rowOff>0</xdr:rowOff>
    </xdr:from>
    <xdr:to>
      <xdr:col>49</xdr:col>
      <xdr:colOff>0</xdr:colOff>
      <xdr:row>142</xdr:row>
      <xdr:rowOff>100852</xdr:rowOff>
    </xdr:to>
    <xdr:pic>
      <xdr:nvPicPr>
        <xdr:cNvPr id="26" name="Picture 25">
          <a:extLst>
            <a:ext uri="{FF2B5EF4-FFF2-40B4-BE49-F238E27FC236}">
              <a16:creationId xmlns:a16="http://schemas.microsoft.com/office/drawing/2014/main" id="{CF886081-21FD-B603-D5F4-4DCD69395846}"/>
            </a:ext>
          </a:extLst>
        </xdr:cNvPr>
        <xdr:cNvPicPr>
          <a:picLocks noChangeAspect="1"/>
        </xdr:cNvPicPr>
      </xdr:nvPicPr>
      <xdr:blipFill>
        <a:blip xmlns:r="http://schemas.openxmlformats.org/officeDocument/2006/relationships" r:embed="rId8"/>
        <a:stretch>
          <a:fillRect/>
        </a:stretch>
      </xdr:blipFill>
      <xdr:spPr>
        <a:xfrm>
          <a:off x="15934765" y="18579353"/>
          <a:ext cx="6656294" cy="4672853"/>
        </a:xfrm>
        <a:prstGeom prst="rect">
          <a:avLst/>
        </a:prstGeom>
      </xdr:spPr>
    </xdr:pic>
    <xdr:clientData/>
  </xdr:twoCellAnchor>
  <xdr:twoCellAnchor editAs="oneCell">
    <xdr:from>
      <xdr:col>49</xdr:col>
      <xdr:colOff>1</xdr:colOff>
      <xdr:row>117</xdr:row>
      <xdr:rowOff>190499</xdr:rowOff>
    </xdr:from>
    <xdr:to>
      <xdr:col>60</xdr:col>
      <xdr:colOff>11208</xdr:colOff>
      <xdr:row>142</xdr:row>
      <xdr:rowOff>100853</xdr:rowOff>
    </xdr:to>
    <xdr:pic>
      <xdr:nvPicPr>
        <xdr:cNvPr id="27" name="Picture 26">
          <a:extLst>
            <a:ext uri="{FF2B5EF4-FFF2-40B4-BE49-F238E27FC236}">
              <a16:creationId xmlns:a16="http://schemas.microsoft.com/office/drawing/2014/main" id="{63047CDE-BA59-63C5-911B-C18D15A7EFB7}"/>
            </a:ext>
          </a:extLst>
        </xdr:cNvPr>
        <xdr:cNvPicPr>
          <a:picLocks noChangeAspect="1"/>
        </xdr:cNvPicPr>
      </xdr:nvPicPr>
      <xdr:blipFill>
        <a:blip xmlns:r="http://schemas.openxmlformats.org/officeDocument/2006/relationships" r:embed="rId9"/>
        <a:stretch>
          <a:fillRect/>
        </a:stretch>
      </xdr:blipFill>
      <xdr:spPr>
        <a:xfrm>
          <a:off x="22591060" y="18579352"/>
          <a:ext cx="6667500" cy="4672853"/>
        </a:xfrm>
        <a:prstGeom prst="rect">
          <a:avLst/>
        </a:prstGeom>
      </xdr:spPr>
    </xdr:pic>
    <xdr:clientData/>
  </xdr:twoCellAnchor>
  <xdr:twoCellAnchor editAs="oneCell">
    <xdr:from>
      <xdr:col>38</xdr:col>
      <xdr:colOff>11206</xdr:colOff>
      <xdr:row>23</xdr:row>
      <xdr:rowOff>11205</xdr:rowOff>
    </xdr:from>
    <xdr:to>
      <xdr:col>51</xdr:col>
      <xdr:colOff>1</xdr:colOff>
      <xdr:row>47</xdr:row>
      <xdr:rowOff>0</xdr:rowOff>
    </xdr:to>
    <xdr:pic>
      <xdr:nvPicPr>
        <xdr:cNvPr id="28" name="Picture 27">
          <a:extLst>
            <a:ext uri="{FF2B5EF4-FFF2-40B4-BE49-F238E27FC236}">
              <a16:creationId xmlns:a16="http://schemas.microsoft.com/office/drawing/2014/main" id="{BA459DF1-B19A-EBA0-E9B7-DDB0FA7DE79F}"/>
            </a:ext>
          </a:extLst>
        </xdr:cNvPr>
        <xdr:cNvPicPr>
          <a:picLocks noChangeAspect="1"/>
        </xdr:cNvPicPr>
      </xdr:nvPicPr>
      <xdr:blipFill>
        <a:blip xmlns:r="http://schemas.openxmlformats.org/officeDocument/2006/relationships" r:embed="rId10"/>
        <a:stretch>
          <a:fillRect/>
        </a:stretch>
      </xdr:blipFill>
      <xdr:spPr>
        <a:xfrm>
          <a:off x="16135670" y="4147776"/>
          <a:ext cx="7935366" cy="4275045"/>
        </a:xfrm>
        <a:prstGeom prst="rect">
          <a:avLst/>
        </a:prstGeom>
      </xdr:spPr>
    </xdr:pic>
    <xdr:clientData/>
  </xdr:twoCellAnchor>
  <xdr:twoCellAnchor>
    <xdr:from>
      <xdr:col>47</xdr:col>
      <xdr:colOff>22411</xdr:colOff>
      <xdr:row>45</xdr:row>
      <xdr:rowOff>1</xdr:rowOff>
    </xdr:from>
    <xdr:to>
      <xdr:col>51</xdr:col>
      <xdr:colOff>313765</xdr:colOff>
      <xdr:row>46</xdr:row>
      <xdr:rowOff>78441</xdr:rowOff>
    </xdr:to>
    <xdr:sp macro="" textlink="">
      <xdr:nvSpPr>
        <xdr:cNvPr id="29" name="TextBox 28">
          <a:extLst>
            <a:ext uri="{FF2B5EF4-FFF2-40B4-BE49-F238E27FC236}">
              <a16:creationId xmlns:a16="http://schemas.microsoft.com/office/drawing/2014/main" id="{C2A6CB03-84CB-0D74-4EDD-A33E91A9242E}"/>
            </a:ext>
          </a:extLst>
        </xdr:cNvPr>
        <xdr:cNvSpPr txBox="1"/>
      </xdr:nvSpPr>
      <xdr:spPr>
        <a:xfrm>
          <a:off x="21403235" y="8146677"/>
          <a:ext cx="2711824" cy="257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700" b="1" i="0">
              <a:solidFill>
                <a:sysClr val="windowText" lastClr="000000"/>
              </a:solidFill>
              <a:effectLst/>
              <a:latin typeface="Calibre"/>
              <a:ea typeface="+mn-ea"/>
              <a:cs typeface="+mn-cs"/>
            </a:rPr>
            <a:t>CAGR of 7.21%</a:t>
          </a:r>
          <a:endParaRPr lang="en-US" sz="1700" b="1">
            <a:solidFill>
              <a:sysClr val="windowText" lastClr="000000"/>
            </a:solidFill>
            <a:latin typeface="Calibre"/>
          </a:endParaRPr>
        </a:p>
      </xdr:txBody>
    </xdr:sp>
    <xdr:clientData/>
  </xdr:twoCellAnchor>
  <xdr:twoCellAnchor editAs="oneCell">
    <xdr:from>
      <xdr:col>51</xdr:col>
      <xdr:colOff>0</xdr:colOff>
      <xdr:row>23</xdr:row>
      <xdr:rowOff>0</xdr:rowOff>
    </xdr:from>
    <xdr:to>
      <xdr:col>51</xdr:col>
      <xdr:colOff>304800</xdr:colOff>
      <xdr:row>24</xdr:row>
      <xdr:rowOff>114300</xdr:rowOff>
    </xdr:to>
    <xdr:sp macro="" textlink="">
      <xdr:nvSpPr>
        <xdr:cNvPr id="4097" name="AutoShape 1" descr="Thrombectomy Devices Market Share, By Application, 2024 (%)">
          <a:extLst>
            <a:ext uri="{FF2B5EF4-FFF2-40B4-BE49-F238E27FC236}">
              <a16:creationId xmlns:a16="http://schemas.microsoft.com/office/drawing/2014/main" id="{3C73D548-CE5E-CB04-B865-3FCB3DCCFA1B}"/>
            </a:ext>
          </a:extLst>
        </xdr:cNvPr>
        <xdr:cNvSpPr>
          <a:spLocks noChangeAspect="1" noChangeArrowheads="1"/>
        </xdr:cNvSpPr>
      </xdr:nvSpPr>
      <xdr:spPr bwMode="auto">
        <a:xfrm>
          <a:off x="23964900" y="421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44</xdr:col>
      <xdr:colOff>0</xdr:colOff>
      <xdr:row>38</xdr:row>
      <xdr:rowOff>0</xdr:rowOff>
    </xdr:from>
    <xdr:to>
      <xdr:col>53</xdr:col>
      <xdr:colOff>466726</xdr:colOff>
      <xdr:row>53</xdr:row>
      <xdr:rowOff>133350</xdr:rowOff>
    </xdr:to>
    <xdr:sp macro="" textlink="">
      <xdr:nvSpPr>
        <xdr:cNvPr id="4098" name="AutoShape 2" descr="Thrombectomy Devices Market Share, By Application, 2024 (%)">
          <a:extLst>
            <a:ext uri="{FF2B5EF4-FFF2-40B4-BE49-F238E27FC236}">
              <a16:creationId xmlns:a16="http://schemas.microsoft.com/office/drawing/2014/main" id="{DB3F4F52-72F4-B20A-5878-84B6FE120061}"/>
            </a:ext>
          </a:extLst>
        </xdr:cNvPr>
        <xdr:cNvSpPr>
          <a:spLocks noChangeAspect="1" noChangeArrowheads="1"/>
        </xdr:cNvSpPr>
      </xdr:nvSpPr>
      <xdr:spPr bwMode="auto">
        <a:xfrm>
          <a:off x="19697700" y="6943725"/>
          <a:ext cx="5953125" cy="2857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51</xdr:col>
      <xdr:colOff>0</xdr:colOff>
      <xdr:row>23</xdr:row>
      <xdr:rowOff>0</xdr:rowOff>
    </xdr:from>
    <xdr:to>
      <xdr:col>60</xdr:col>
      <xdr:colOff>466725</xdr:colOff>
      <xdr:row>38</xdr:row>
      <xdr:rowOff>123825</xdr:rowOff>
    </xdr:to>
    <xdr:sp macro="" textlink="">
      <xdr:nvSpPr>
        <xdr:cNvPr id="4099" name="AutoShape 3" descr="Thrombectomy Devices Market Share, By Application, 2024 (%)">
          <a:extLst>
            <a:ext uri="{FF2B5EF4-FFF2-40B4-BE49-F238E27FC236}">
              <a16:creationId xmlns:a16="http://schemas.microsoft.com/office/drawing/2014/main" id="{107D04EA-28C8-DFD8-8918-E86CB3AB81B7}"/>
            </a:ext>
          </a:extLst>
        </xdr:cNvPr>
        <xdr:cNvSpPr>
          <a:spLocks noChangeAspect="1" noChangeArrowheads="1"/>
        </xdr:cNvSpPr>
      </xdr:nvSpPr>
      <xdr:spPr bwMode="auto">
        <a:xfrm>
          <a:off x="23964900" y="4210050"/>
          <a:ext cx="5953125" cy="2857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50</xdr:col>
      <xdr:colOff>593912</xdr:colOff>
      <xdr:row>23</xdr:row>
      <xdr:rowOff>13608</xdr:rowOff>
    </xdr:from>
    <xdr:to>
      <xdr:col>63</xdr:col>
      <xdr:colOff>0</xdr:colOff>
      <xdr:row>47</xdr:row>
      <xdr:rowOff>13607</xdr:rowOff>
    </xdr:to>
    <xdr:pic>
      <xdr:nvPicPr>
        <xdr:cNvPr id="30" name="Picture 29">
          <a:extLst>
            <a:ext uri="{FF2B5EF4-FFF2-40B4-BE49-F238E27FC236}">
              <a16:creationId xmlns:a16="http://schemas.microsoft.com/office/drawing/2014/main" id="{8A318BE1-36F3-B864-F911-EDF2951C682A}"/>
            </a:ext>
          </a:extLst>
        </xdr:cNvPr>
        <xdr:cNvPicPr>
          <a:picLocks noChangeAspect="1"/>
        </xdr:cNvPicPr>
      </xdr:nvPicPr>
      <xdr:blipFill>
        <a:blip xmlns:r="http://schemas.openxmlformats.org/officeDocument/2006/relationships" r:embed="rId11"/>
        <a:stretch>
          <a:fillRect/>
        </a:stretch>
      </xdr:blipFill>
      <xdr:spPr>
        <a:xfrm>
          <a:off x="24052626" y="4150179"/>
          <a:ext cx="7366267" cy="4286249"/>
        </a:xfrm>
        <a:prstGeom prst="rect">
          <a:avLst/>
        </a:prstGeom>
      </xdr:spPr>
    </xdr:pic>
    <xdr:clientData/>
  </xdr:twoCellAnchor>
  <xdr:twoCellAnchor>
    <xdr:from>
      <xdr:col>8</xdr:col>
      <xdr:colOff>0</xdr:colOff>
      <xdr:row>66</xdr:row>
      <xdr:rowOff>0</xdr:rowOff>
    </xdr:from>
    <xdr:to>
      <xdr:col>26</xdr:col>
      <xdr:colOff>0</xdr:colOff>
      <xdr:row>96</xdr:row>
      <xdr:rowOff>0</xdr:rowOff>
    </xdr:to>
    <xdr:graphicFrame macro="">
      <xdr:nvGraphicFramePr>
        <xdr:cNvPr id="16" name="Chart 15">
          <a:extLst>
            <a:ext uri="{FF2B5EF4-FFF2-40B4-BE49-F238E27FC236}">
              <a16:creationId xmlns:a16="http://schemas.microsoft.com/office/drawing/2014/main" id="{13F27BEA-7A5E-467F-9A29-0FEF7152B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acob H" id="{598EBCF7-6202-498B-B8DD-217B370E0E02}" userId="6fdd6cd1f6a5d55a" providerId="Windows Live"/>
</personList>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BB41" dT="2025-04-20T23:34:23.68" personId="{598EBCF7-6202-498B-B8DD-217B370E0E02}" id="{DB091BD2-E92B-4C65-84CF-37435A1596A1}">
    <text>Low: 3.37 High: 3.88 Avg: 3.66 (3/30/25)
Excluded one-time write-down of immersive (non-operating)</text>
  </threadedComment>
  <threadedComment ref="BC41" dT="2025-04-16T09:17:41.02" personId="{598EBCF7-6202-498B-B8DD-217B370E0E02}" id="{92B3D3CD-DC2C-48F4-A1D7-C377F3162060}">
    <text>Low: 4.29 High: 5.60 Avg: 4.94 (3/30/25)</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ppubs.uspto.gov/pubwebapp/static/pages/ppubsbasic.html" TargetMode="External"/><Relationship Id="rId13" Type="http://schemas.openxmlformats.org/officeDocument/2006/relationships/drawing" Target="../drawings/drawing1.xml"/><Relationship Id="rId3" Type="http://schemas.openxmlformats.org/officeDocument/2006/relationships/hyperlink" Target="000%20Med-Devices%20Master%20List%20000.xlsx" TargetMode="External"/><Relationship Id="rId7" Type="http://schemas.openxmlformats.org/officeDocument/2006/relationships/hyperlink" Target="https://www.penumbrainc.com/patents/" TargetMode="External"/><Relationship Id="rId12" Type="http://schemas.openxmlformats.org/officeDocument/2006/relationships/hyperlink" Target="EW_Model.xlsx" TargetMode="External"/><Relationship Id="rId2" Type="http://schemas.openxmlformats.org/officeDocument/2006/relationships/hyperlink" Target="NARI_Model.xlsx" TargetMode="External"/><Relationship Id="rId1" Type="http://schemas.openxmlformats.org/officeDocument/2006/relationships/hyperlink" Target="SYK_Model.xlsx" TargetMode="External"/><Relationship Id="rId6" Type="http://schemas.openxmlformats.org/officeDocument/2006/relationships/hyperlink" Target="https://ppubs.uspto.gov/pubwebapp/static/pages/ppubsbasic.html" TargetMode="External"/><Relationship Id="rId11" Type="http://schemas.openxmlformats.org/officeDocument/2006/relationships/hyperlink" Target="ABT_Model.xlsx" TargetMode="External"/><Relationship Id="rId5" Type="http://schemas.openxmlformats.org/officeDocument/2006/relationships/hyperlink" Target="BSX_Model.xlsx" TargetMode="External"/><Relationship Id="rId10" Type="http://schemas.openxmlformats.org/officeDocument/2006/relationships/hyperlink" Target="MDT_Model.xlsx" TargetMode="External"/><Relationship Id="rId4" Type="http://schemas.openxmlformats.org/officeDocument/2006/relationships/hyperlink" Target="JNJ.xlsx" TargetMode="External"/><Relationship Id="rId9" Type="http://schemas.openxmlformats.org/officeDocument/2006/relationships/hyperlink" Target="https://www.sec.gov/edgar/browse/?CIK=1321732&amp;owner=exclude"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hyperlink" Target="https://pubmed.ncbi.nlm.nih.gov/34706845/" TargetMode="External"/><Relationship Id="rId2" Type="http://schemas.openxmlformats.org/officeDocument/2006/relationships/hyperlink" Target="https://pubmed.ncbi.nlm.nih.gov/37084878/" TargetMode="External"/><Relationship Id="rId1" Type="http://schemas.openxmlformats.org/officeDocument/2006/relationships/hyperlink" Target="https://pubmed.ncbi.nlm.nih.gov/?term=Penumbra+Inc"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hyperlink" Target="https://www.sec.gov/Archives/edgar/data/1321732/000114036125014193/ef20047412_ars.pdf" TargetMode="External"/><Relationship Id="rId1" Type="http://schemas.openxmlformats.org/officeDocument/2006/relationships/hyperlink" Target="https://www.penumbrainc.com/about-us/leadership/"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penumbrainc.com/penumbra-announces-fda-clearance-of-indigo-aspiration-system-for-treatment-of-pulmonary-emboli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CB274"/>
  <sheetViews>
    <sheetView tabSelected="1" topLeftCell="A256" zoomScale="85" zoomScaleNormal="85" workbookViewId="0">
      <selection activeCell="N130" sqref="N130"/>
    </sheetView>
  </sheetViews>
  <sheetFormatPr defaultColWidth="9.140625" defaultRowHeight="14.25"/>
  <cols>
    <col min="1" max="1" width="2.85546875" style="2" customWidth="1"/>
    <col min="2" max="2" width="27.85546875" style="2" customWidth="1"/>
    <col min="3" max="3" width="11.7109375" style="2" customWidth="1"/>
    <col min="4" max="4" width="10.28515625" style="2" customWidth="1"/>
    <col min="5" max="5" width="10.140625" style="2" customWidth="1"/>
    <col min="6" max="6" width="10.5703125" style="2" customWidth="1"/>
    <col min="7" max="10" width="9.140625" style="2"/>
    <col min="11" max="11" width="9" style="2" customWidth="1"/>
    <col min="12" max="12" width="9.140625" style="2"/>
    <col min="13" max="13" width="9.140625" style="2" customWidth="1"/>
    <col min="14" max="14" width="9" style="2" customWidth="1"/>
    <col min="15" max="29" width="9.140625" style="2"/>
    <col min="30" max="30" width="8.5703125" style="2" customWidth="1"/>
    <col min="31" max="31" width="9.140625" style="2" customWidth="1"/>
    <col min="32" max="16384" width="9.140625" style="2"/>
  </cols>
  <sheetData>
    <row r="1" spans="1:80">
      <c r="A1" s="61" t="s">
        <v>560</v>
      </c>
      <c r="CB1" s="2" t="s">
        <v>358</v>
      </c>
    </row>
    <row r="2" spans="1:80" ht="15">
      <c r="A2" s="1" t="s">
        <v>350</v>
      </c>
      <c r="AK2" s="1" t="s">
        <v>376</v>
      </c>
      <c r="BU2" s="2" t="s">
        <v>377</v>
      </c>
    </row>
    <row r="4" spans="1:80" ht="15">
      <c r="B4" s="1" t="s">
        <v>4</v>
      </c>
      <c r="AK4" s="2" t="s">
        <v>388</v>
      </c>
    </row>
    <row r="5" spans="1:80">
      <c r="B5" s="2" t="s">
        <v>1</v>
      </c>
      <c r="C5" s="4">
        <v>297.91000000000003</v>
      </c>
      <c r="D5" s="3">
        <v>45771</v>
      </c>
    </row>
    <row r="6" spans="1:80">
      <c r="B6" s="2" t="s">
        <v>509</v>
      </c>
      <c r="C6" s="2">
        <v>38.561999999999998</v>
      </c>
      <c r="D6" s="2" t="s">
        <v>294</v>
      </c>
      <c r="AK6" s="2" t="s">
        <v>359</v>
      </c>
    </row>
    <row r="7" spans="1:80" ht="15">
      <c r="B7" s="2" t="s">
        <v>0</v>
      </c>
      <c r="C7" s="4">
        <f>C5*C6</f>
        <v>11488.00542</v>
      </c>
      <c r="AL7" s="2" t="s">
        <v>360</v>
      </c>
    </row>
    <row r="8" spans="1:80">
      <c r="B8" s="2" t="s">
        <v>1</v>
      </c>
      <c r="C8" s="4">
        <f>376.054+2.794</f>
        <v>378.84799999999996</v>
      </c>
      <c r="D8" s="2" t="s">
        <v>294</v>
      </c>
    </row>
    <row r="9" spans="1:80">
      <c r="B9" s="2" t="s">
        <v>2</v>
      </c>
      <c r="C9" s="4">
        <v>0</v>
      </c>
      <c r="D9" s="2" t="s">
        <v>294</v>
      </c>
      <c r="AK9" s="2" t="s">
        <v>669</v>
      </c>
    </row>
    <row r="10" spans="1:80">
      <c r="B10" s="2" t="s">
        <v>3</v>
      </c>
      <c r="C10" s="4">
        <f>C7-C8+C9</f>
        <v>11109.15742</v>
      </c>
    </row>
    <row r="11" spans="1:80">
      <c r="AK11" s="2" t="s">
        <v>439</v>
      </c>
    </row>
    <row r="12" spans="1:80" ht="15">
      <c r="B12" s="1" t="s">
        <v>543</v>
      </c>
    </row>
    <row r="13" spans="1:80">
      <c r="AK13" s="2" t="s">
        <v>387</v>
      </c>
    </row>
    <row r="14" spans="1:80" ht="15">
      <c r="A14" s="1" t="s">
        <v>5</v>
      </c>
    </row>
    <row r="15" spans="1:80">
      <c r="B15" s="2" t="s">
        <v>6</v>
      </c>
      <c r="F15" s="2" t="s">
        <v>590</v>
      </c>
      <c r="L15" s="2" t="s">
        <v>614</v>
      </c>
      <c r="N15" s="60"/>
    </row>
    <row r="16" spans="1:80">
      <c r="B16" s="2" t="s">
        <v>7</v>
      </c>
      <c r="F16" s="2" t="s">
        <v>588</v>
      </c>
      <c r="L16" s="2" t="s">
        <v>615</v>
      </c>
      <c r="N16" s="61" t="s">
        <v>660</v>
      </c>
      <c r="Q16" s="2" t="s">
        <v>663</v>
      </c>
    </row>
    <row r="17" spans="2:17">
      <c r="B17" s="2" t="s">
        <v>880</v>
      </c>
      <c r="L17" s="2" t="s">
        <v>623</v>
      </c>
      <c r="N17" s="60"/>
      <c r="Q17" s="2" t="s">
        <v>658</v>
      </c>
    </row>
    <row r="18" spans="2:17">
      <c r="B18" s="2" t="s">
        <v>8</v>
      </c>
      <c r="L18" s="2" t="s">
        <v>661</v>
      </c>
      <c r="Q18" s="2" t="s">
        <v>664</v>
      </c>
    </row>
    <row r="19" spans="2:17" ht="15">
      <c r="B19" s="1"/>
    </row>
    <row r="20" spans="2:17" ht="15">
      <c r="B20" s="2" t="s">
        <v>351</v>
      </c>
    </row>
    <row r="21" spans="2:17">
      <c r="C21" s="2" t="s">
        <v>349</v>
      </c>
    </row>
    <row r="22" spans="2:17" ht="15">
      <c r="B22" s="2" t="s">
        <v>375</v>
      </c>
    </row>
    <row r="23" spans="2:17" ht="15">
      <c r="C23" s="2" t="s">
        <v>352</v>
      </c>
    </row>
    <row r="24" spans="2:17" ht="15">
      <c r="C24" s="2" t="s">
        <v>353</v>
      </c>
    </row>
    <row r="25" spans="2:17" ht="15">
      <c r="C25" s="2" t="s">
        <v>354</v>
      </c>
    </row>
    <row r="26" spans="2:17" ht="15">
      <c r="C26" s="2" t="s">
        <v>355</v>
      </c>
    </row>
    <row r="27" spans="2:17" ht="15">
      <c r="C27" s="2" t="s">
        <v>356</v>
      </c>
    </row>
    <row r="28" spans="2:17">
      <c r="D28" s="2" t="s">
        <v>365</v>
      </c>
    </row>
    <row r="29" spans="2:17">
      <c r="D29" s="2" t="s">
        <v>348</v>
      </c>
    </row>
    <row r="30" spans="2:17">
      <c r="B30" s="2" t="s">
        <v>357</v>
      </c>
    </row>
    <row r="31" spans="2:17" ht="15">
      <c r="C31" s="2" t="s">
        <v>362</v>
      </c>
    </row>
    <row r="32" spans="2:17">
      <c r="B32" s="2" t="s">
        <v>361</v>
      </c>
    </row>
    <row r="33" spans="1:4">
      <c r="C33" s="2" t="s">
        <v>368</v>
      </c>
    </row>
    <row r="34" spans="1:4" ht="15">
      <c r="C34" s="2" t="s">
        <v>366</v>
      </c>
    </row>
    <row r="35" spans="1:4" ht="15">
      <c r="D35" s="2" t="s">
        <v>367</v>
      </c>
    </row>
    <row r="36" spans="1:4">
      <c r="B36" s="2" t="s">
        <v>369</v>
      </c>
    </row>
    <row r="37" spans="1:4">
      <c r="C37" s="2" t="s">
        <v>370</v>
      </c>
    </row>
    <row r="38" spans="1:4">
      <c r="C38" s="2" t="s">
        <v>371</v>
      </c>
    </row>
    <row r="40" spans="1:4" ht="15">
      <c r="A40" s="1" t="s">
        <v>372</v>
      </c>
    </row>
    <row r="41" spans="1:4">
      <c r="B41" s="2" t="s">
        <v>373</v>
      </c>
    </row>
    <row r="42" spans="1:4">
      <c r="C42" s="2" t="s">
        <v>374</v>
      </c>
    </row>
    <row r="43" spans="1:4" ht="15">
      <c r="B43" s="2" t="s">
        <v>412</v>
      </c>
    </row>
    <row r="44" spans="1:4" ht="15">
      <c r="C44" s="2" t="s">
        <v>413</v>
      </c>
    </row>
    <row r="45" spans="1:4" ht="15">
      <c r="C45" s="2" t="s">
        <v>414</v>
      </c>
    </row>
    <row r="46" spans="1:4" ht="15">
      <c r="B46" s="2" t="s">
        <v>415</v>
      </c>
    </row>
    <row r="47" spans="1:4" ht="15">
      <c r="C47" s="2" t="s">
        <v>416</v>
      </c>
    </row>
    <row r="48" spans="1:4" ht="15">
      <c r="C48" s="2" t="s">
        <v>417</v>
      </c>
    </row>
    <row r="50" spans="1:36" ht="15">
      <c r="A50" s="1" t="s">
        <v>379</v>
      </c>
    </row>
    <row r="51" spans="1:36" ht="15">
      <c r="B51" s="2" t="s">
        <v>844</v>
      </c>
    </row>
    <row r="52" spans="1:36">
      <c r="C52" s="2" t="s">
        <v>378</v>
      </c>
    </row>
    <row r="53" spans="1:36">
      <c r="C53" s="2" t="s">
        <v>381</v>
      </c>
    </row>
    <row r="54" spans="1:36">
      <c r="C54" s="2" t="s">
        <v>380</v>
      </c>
    </row>
    <row r="55" spans="1:36">
      <c r="B55" s="2" t="s">
        <v>635</v>
      </c>
    </row>
    <row r="57" spans="1:36" ht="15">
      <c r="B57" s="22"/>
      <c r="C57" s="86" t="s">
        <v>550</v>
      </c>
      <c r="E57" s="1" t="s">
        <v>440</v>
      </c>
      <c r="I57" s="2" t="s">
        <v>385</v>
      </c>
    </row>
    <row r="58" spans="1:36" ht="15">
      <c r="B58" s="85" t="s">
        <v>396</v>
      </c>
      <c r="C58" s="82" t="s">
        <v>815</v>
      </c>
      <c r="J58" s="2" t="s">
        <v>386</v>
      </c>
    </row>
    <row r="59" spans="1:36" ht="15">
      <c r="B59" s="85" t="s">
        <v>492</v>
      </c>
      <c r="C59" s="79" t="s">
        <v>816</v>
      </c>
      <c r="J59" s="2" t="s">
        <v>422</v>
      </c>
    </row>
    <row r="60" spans="1:36" ht="15">
      <c r="B60" s="85" t="s">
        <v>824</v>
      </c>
      <c r="C60" s="81" t="s">
        <v>398</v>
      </c>
      <c r="J60" s="2" t="s">
        <v>395</v>
      </c>
    </row>
    <row r="61" spans="1:36">
      <c r="AI61" s="9"/>
      <c r="AJ61" s="9"/>
    </row>
    <row r="62" spans="1:36" ht="15">
      <c r="B62" s="22"/>
      <c r="C62" s="86" t="s">
        <v>550</v>
      </c>
      <c r="E62" s="11" t="s">
        <v>382</v>
      </c>
      <c r="I62" s="2" t="s">
        <v>399</v>
      </c>
    </row>
    <row r="63" spans="1:36" ht="15">
      <c r="B63" s="85" t="s">
        <v>483</v>
      </c>
      <c r="C63" s="82" t="s">
        <v>815</v>
      </c>
      <c r="E63" s="10"/>
      <c r="J63" s="2" t="s">
        <v>421</v>
      </c>
    </row>
    <row r="64" spans="1:36" ht="15">
      <c r="B64" s="85" t="s">
        <v>491</v>
      </c>
      <c r="C64" s="79" t="s">
        <v>481</v>
      </c>
      <c r="E64" s="10"/>
      <c r="J64" s="2" t="s">
        <v>418</v>
      </c>
    </row>
    <row r="65" spans="2:12" ht="15">
      <c r="B65" s="85" t="s">
        <v>823</v>
      </c>
      <c r="C65" s="81" t="s">
        <v>482</v>
      </c>
      <c r="E65" s="10"/>
      <c r="L65" s="2" t="s">
        <v>420</v>
      </c>
    </row>
    <row r="66" spans="2:12">
      <c r="E66" s="10"/>
      <c r="J66" s="2" t="s">
        <v>419</v>
      </c>
    </row>
    <row r="67" spans="2:12">
      <c r="E67" s="10"/>
    </row>
    <row r="68" spans="2:12" ht="15">
      <c r="B68" s="22"/>
      <c r="C68" s="86" t="s">
        <v>550</v>
      </c>
      <c r="E68" s="11" t="s">
        <v>383</v>
      </c>
      <c r="I68" s="2" t="s">
        <v>400</v>
      </c>
    </row>
    <row r="69" spans="2:12" ht="15">
      <c r="B69" s="85" t="s">
        <v>487</v>
      </c>
      <c r="C69" s="82" t="s">
        <v>817</v>
      </c>
      <c r="E69" s="11"/>
      <c r="J69" s="2" t="s">
        <v>401</v>
      </c>
    </row>
    <row r="70" spans="2:12" ht="15">
      <c r="B70" s="85" t="s">
        <v>490</v>
      </c>
      <c r="C70" s="79" t="s">
        <v>485</v>
      </c>
      <c r="E70" s="11"/>
      <c r="J70" s="2" t="s">
        <v>484</v>
      </c>
    </row>
    <row r="71" spans="2:12" ht="15">
      <c r="B71" s="85" t="s">
        <v>822</v>
      </c>
      <c r="C71" s="81" t="s">
        <v>486</v>
      </c>
      <c r="E71" s="11"/>
      <c r="I71" s="23"/>
      <c r="J71" s="2" t="s">
        <v>402</v>
      </c>
    </row>
    <row r="72" spans="2:12" ht="15">
      <c r="E72" s="11"/>
      <c r="I72" s="23"/>
      <c r="J72" s="23"/>
    </row>
    <row r="73" spans="2:12" ht="15">
      <c r="B73" s="22"/>
      <c r="C73" s="86" t="s">
        <v>550</v>
      </c>
      <c r="E73" s="11" t="s">
        <v>384</v>
      </c>
      <c r="I73" s="2" t="s">
        <v>403</v>
      </c>
    </row>
    <row r="74" spans="2:12" ht="15">
      <c r="B74" s="85" t="s">
        <v>488</v>
      </c>
      <c r="C74" s="82" t="s">
        <v>818</v>
      </c>
      <c r="E74" s="11"/>
      <c r="J74" s="2" t="s">
        <v>404</v>
      </c>
    </row>
    <row r="75" spans="2:12" ht="15">
      <c r="B75" s="85" t="s">
        <v>489</v>
      </c>
      <c r="C75" s="79" t="s">
        <v>544</v>
      </c>
      <c r="E75" s="11"/>
      <c r="J75" s="2" t="s">
        <v>407</v>
      </c>
    </row>
    <row r="76" spans="2:12" ht="15">
      <c r="B76" s="85" t="s">
        <v>821</v>
      </c>
      <c r="C76" s="81" t="s">
        <v>545</v>
      </c>
      <c r="E76" s="11"/>
      <c r="J76" s="2" t="s">
        <v>405</v>
      </c>
    </row>
    <row r="77" spans="2:12" ht="15">
      <c r="E77" s="11"/>
      <c r="L77" s="2" t="s">
        <v>423</v>
      </c>
    </row>
    <row r="78" spans="2:12" ht="15">
      <c r="E78" s="11"/>
      <c r="J78" s="2" t="s">
        <v>406</v>
      </c>
    </row>
    <row r="79" spans="2:12" ht="15">
      <c r="E79" s="11"/>
    </row>
    <row r="80" spans="2:12" ht="15">
      <c r="B80" s="22"/>
      <c r="C80" s="86" t="s">
        <v>550</v>
      </c>
      <c r="E80" s="11" t="s">
        <v>556</v>
      </c>
      <c r="I80" s="2" t="s">
        <v>408</v>
      </c>
    </row>
    <row r="81" spans="1:12" ht="15">
      <c r="B81" s="83" t="s">
        <v>548</v>
      </c>
      <c r="C81" s="82" t="s">
        <v>819</v>
      </c>
      <c r="E81" s="11"/>
      <c r="J81" s="2" t="s">
        <v>424</v>
      </c>
    </row>
    <row r="82" spans="1:12" ht="15">
      <c r="B82" s="83" t="s">
        <v>549</v>
      </c>
      <c r="C82" s="79" t="s">
        <v>546</v>
      </c>
      <c r="E82" s="11"/>
      <c r="I82" s="2" t="s">
        <v>425</v>
      </c>
    </row>
    <row r="83" spans="1:12" ht="15">
      <c r="B83" s="84" t="s">
        <v>820</v>
      </c>
      <c r="C83" s="81" t="s">
        <v>547</v>
      </c>
      <c r="E83" s="11"/>
      <c r="I83" s="2" t="s">
        <v>426</v>
      </c>
    </row>
    <row r="84" spans="1:12" ht="15">
      <c r="E84" s="11"/>
      <c r="J84" s="2" t="s">
        <v>427</v>
      </c>
    </row>
    <row r="85" spans="1:12" ht="15">
      <c r="E85" s="11"/>
      <c r="I85" s="2" t="s">
        <v>409</v>
      </c>
    </row>
    <row r="86" spans="1:12" ht="15">
      <c r="E86" s="11"/>
      <c r="J86" s="23"/>
      <c r="L86" s="23"/>
    </row>
    <row r="87" spans="1:12" ht="15">
      <c r="E87" s="11" t="s">
        <v>397</v>
      </c>
      <c r="I87" s="2" t="s">
        <v>410</v>
      </c>
    </row>
    <row r="88" spans="1:12">
      <c r="J88" s="2" t="s">
        <v>411</v>
      </c>
    </row>
    <row r="89" spans="1:12" ht="15">
      <c r="A89" s="1" t="s">
        <v>389</v>
      </c>
    </row>
    <row r="90" spans="1:12">
      <c r="B90" s="2" t="s">
        <v>636</v>
      </c>
    </row>
    <row r="92" spans="1:12" ht="15">
      <c r="C92" s="1" t="s">
        <v>390</v>
      </c>
      <c r="G92" s="2" t="s">
        <v>428</v>
      </c>
    </row>
    <row r="93" spans="1:12">
      <c r="G93" s="2" t="s">
        <v>429</v>
      </c>
    </row>
    <row r="94" spans="1:12">
      <c r="H94" s="2" t="s">
        <v>430</v>
      </c>
    </row>
    <row r="95" spans="1:12">
      <c r="G95" s="2" t="s">
        <v>431</v>
      </c>
    </row>
    <row r="97" spans="1:11" ht="15">
      <c r="C97" s="1" t="s">
        <v>391</v>
      </c>
      <c r="G97" s="2" t="s">
        <v>433</v>
      </c>
    </row>
    <row r="98" spans="1:11" ht="15">
      <c r="C98" s="1"/>
      <c r="H98" s="2" t="s">
        <v>432</v>
      </c>
    </row>
    <row r="99" spans="1:11" ht="15">
      <c r="C99" s="1"/>
      <c r="H99" s="2" t="s">
        <v>434</v>
      </c>
    </row>
    <row r="100" spans="1:11" ht="15">
      <c r="C100" s="1"/>
      <c r="H100" s="2" t="s">
        <v>435</v>
      </c>
    </row>
    <row r="101" spans="1:11" ht="15">
      <c r="C101" s="1"/>
      <c r="H101" s="2" t="s">
        <v>436</v>
      </c>
    </row>
    <row r="102" spans="1:11" ht="15">
      <c r="C102" s="1"/>
      <c r="G102" s="23"/>
      <c r="H102" s="23"/>
    </row>
    <row r="103" spans="1:11" ht="15">
      <c r="B103" s="2" t="s">
        <v>671</v>
      </c>
    </row>
    <row r="104" spans="1:11">
      <c r="C104" s="2" t="s">
        <v>392</v>
      </c>
    </row>
    <row r="105" spans="1:11">
      <c r="C105" s="2" t="s">
        <v>393</v>
      </c>
    </row>
    <row r="106" spans="1:11">
      <c r="D106" s="2" t="s">
        <v>672</v>
      </c>
    </row>
    <row r="107" spans="1:11">
      <c r="C107" s="2" t="s">
        <v>394</v>
      </c>
    </row>
    <row r="109" spans="1:11" ht="15">
      <c r="B109" s="2" t="s">
        <v>673</v>
      </c>
    </row>
    <row r="111" spans="1:11" ht="15">
      <c r="A111" s="1" t="s">
        <v>437</v>
      </c>
    </row>
    <row r="112" spans="1:11" ht="15">
      <c r="B112" s="87"/>
      <c r="C112" s="88" t="s">
        <v>438</v>
      </c>
      <c r="D112" s="19"/>
      <c r="E112" s="20"/>
      <c r="F112" s="87"/>
      <c r="G112" s="19"/>
      <c r="H112" s="22" t="s">
        <v>441</v>
      </c>
      <c r="I112" s="19"/>
      <c r="J112" s="19"/>
      <c r="K112" s="89"/>
    </row>
    <row r="113" spans="2:11">
      <c r="B113" s="46"/>
      <c r="C113" s="139"/>
      <c r="D113" s="140"/>
      <c r="E113" s="141"/>
      <c r="F113" s="142" t="s">
        <v>442</v>
      </c>
      <c r="G113" s="143"/>
      <c r="H113" s="143"/>
      <c r="I113" s="143"/>
      <c r="J113" s="143"/>
      <c r="K113" s="144"/>
    </row>
    <row r="114" spans="2:11" ht="15">
      <c r="B114" s="46"/>
      <c r="C114" s="145"/>
      <c r="D114" s="146" t="s">
        <v>469</v>
      </c>
      <c r="E114" s="141"/>
      <c r="F114" s="139" t="s">
        <v>443</v>
      </c>
      <c r="G114" s="140"/>
      <c r="H114" s="140"/>
      <c r="I114" s="140"/>
      <c r="J114" s="140"/>
      <c r="K114" s="141"/>
    </row>
    <row r="115" spans="2:11">
      <c r="B115" s="46"/>
      <c r="C115" s="139"/>
      <c r="D115" s="147"/>
      <c r="E115" s="141"/>
      <c r="F115" s="139" t="s">
        <v>444</v>
      </c>
      <c r="G115" s="140"/>
      <c r="H115" s="140"/>
      <c r="I115" s="140"/>
      <c r="J115" s="140"/>
      <c r="K115" s="141"/>
    </row>
    <row r="116" spans="2:11" ht="15">
      <c r="B116" s="47" t="s">
        <v>304</v>
      </c>
      <c r="C116" s="148"/>
      <c r="D116" s="149"/>
      <c r="E116" s="150"/>
      <c r="F116" s="148" t="s">
        <v>445</v>
      </c>
      <c r="G116" s="151"/>
      <c r="H116" s="151"/>
      <c r="I116" s="151"/>
      <c r="J116" s="151"/>
      <c r="K116" s="150"/>
    </row>
    <row r="117" spans="2:11">
      <c r="B117" s="46"/>
      <c r="C117" s="142"/>
      <c r="D117" s="152"/>
      <c r="E117" s="144"/>
      <c r="F117" s="142" t="s">
        <v>446</v>
      </c>
      <c r="G117" s="143"/>
      <c r="H117" s="143"/>
      <c r="I117" s="143"/>
      <c r="J117" s="143"/>
      <c r="K117" s="144"/>
    </row>
    <row r="118" spans="2:11" ht="15">
      <c r="B118" s="46"/>
      <c r="C118" s="145"/>
      <c r="D118" s="146" t="s">
        <v>470</v>
      </c>
      <c r="E118" s="141"/>
      <c r="F118" s="139" t="s">
        <v>447</v>
      </c>
      <c r="G118" s="140"/>
      <c r="H118" s="140"/>
      <c r="I118" s="140"/>
      <c r="J118" s="140"/>
      <c r="K118" s="141"/>
    </row>
    <row r="119" spans="2:11">
      <c r="B119" s="46"/>
      <c r="C119" s="139"/>
      <c r="D119" s="147"/>
      <c r="E119" s="141"/>
      <c r="F119" s="139" t="s">
        <v>448</v>
      </c>
      <c r="G119" s="140"/>
      <c r="H119" s="140"/>
      <c r="I119" s="140"/>
      <c r="J119" s="140"/>
      <c r="K119" s="141"/>
    </row>
    <row r="120" spans="2:11">
      <c r="B120" s="46"/>
      <c r="C120" s="148"/>
      <c r="D120" s="149"/>
      <c r="E120" s="150"/>
      <c r="F120" s="148" t="s">
        <v>449</v>
      </c>
      <c r="G120" s="151"/>
      <c r="H120" s="151"/>
      <c r="I120" s="151"/>
      <c r="J120" s="151"/>
      <c r="K120" s="150"/>
    </row>
    <row r="121" spans="2:11">
      <c r="B121" s="102"/>
      <c r="C121" s="142"/>
      <c r="D121" s="152"/>
      <c r="E121" s="144"/>
      <c r="F121" s="142" t="s">
        <v>450</v>
      </c>
      <c r="G121" s="143"/>
      <c r="H121" s="143"/>
      <c r="I121" s="143"/>
      <c r="J121" s="143"/>
      <c r="K121" s="144"/>
    </row>
    <row r="122" spans="2:11">
      <c r="B122" s="103"/>
      <c r="C122" s="139"/>
      <c r="D122" s="147"/>
      <c r="E122" s="141"/>
      <c r="F122" s="139" t="s">
        <v>451</v>
      </c>
      <c r="G122" s="140"/>
      <c r="H122" s="140"/>
      <c r="I122" s="140"/>
      <c r="J122" s="140"/>
      <c r="K122" s="141"/>
    </row>
    <row r="123" spans="2:11" ht="15">
      <c r="B123" s="103"/>
      <c r="C123" s="153"/>
      <c r="D123" s="146" t="s">
        <v>471</v>
      </c>
      <c r="E123" s="154"/>
      <c r="F123" s="139" t="s">
        <v>452</v>
      </c>
      <c r="G123" s="140"/>
      <c r="H123" s="140"/>
      <c r="I123" s="140"/>
      <c r="J123" s="140"/>
      <c r="K123" s="141"/>
    </row>
    <row r="124" spans="2:11" ht="15">
      <c r="B124" s="103"/>
      <c r="C124" s="153"/>
      <c r="D124" s="146" t="s">
        <v>472</v>
      </c>
      <c r="E124" s="154"/>
      <c r="F124" s="139" t="s">
        <v>453</v>
      </c>
      <c r="G124" s="140"/>
      <c r="H124" s="140"/>
      <c r="I124" s="140"/>
      <c r="J124" s="140"/>
      <c r="K124" s="141"/>
    </row>
    <row r="125" spans="2:11">
      <c r="B125" s="103"/>
      <c r="C125" s="139"/>
      <c r="D125" s="147"/>
      <c r="E125" s="155"/>
      <c r="F125" s="139" t="s">
        <v>454</v>
      </c>
      <c r="G125" s="140"/>
      <c r="H125" s="140"/>
      <c r="I125" s="140"/>
      <c r="J125" s="140"/>
      <c r="K125" s="141"/>
    </row>
    <row r="126" spans="2:11">
      <c r="B126" s="103"/>
      <c r="C126" s="148"/>
      <c r="D126" s="149"/>
      <c r="E126" s="150"/>
      <c r="F126" s="148" t="s">
        <v>455</v>
      </c>
      <c r="G126" s="151"/>
      <c r="H126" s="151"/>
      <c r="I126" s="151"/>
      <c r="J126" s="151"/>
      <c r="K126" s="150"/>
    </row>
    <row r="127" spans="2:11">
      <c r="B127" s="103"/>
      <c r="C127" s="142"/>
      <c r="D127" s="152"/>
      <c r="E127" s="144"/>
      <c r="F127" s="142" t="s">
        <v>456</v>
      </c>
      <c r="G127" s="143"/>
      <c r="H127" s="143"/>
      <c r="I127" s="143"/>
      <c r="J127" s="143"/>
      <c r="K127" s="144"/>
    </row>
    <row r="128" spans="2:11" ht="15">
      <c r="B128" s="103"/>
      <c r="C128" s="145"/>
      <c r="D128" s="146" t="s">
        <v>470</v>
      </c>
      <c r="E128" s="141"/>
      <c r="F128" s="139" t="s">
        <v>457</v>
      </c>
      <c r="G128" s="140"/>
      <c r="H128" s="140"/>
      <c r="I128" s="140"/>
      <c r="J128" s="140"/>
      <c r="K128" s="141"/>
    </row>
    <row r="129" spans="1:11" ht="15">
      <c r="B129" s="104" t="s">
        <v>510</v>
      </c>
      <c r="C129" s="145"/>
      <c r="D129" s="146" t="s">
        <v>472</v>
      </c>
      <c r="E129" s="141"/>
      <c r="F129" s="139" t="s">
        <v>458</v>
      </c>
      <c r="G129" s="140"/>
      <c r="H129" s="140"/>
      <c r="I129" s="140"/>
      <c r="J129" s="140"/>
      <c r="K129" s="141"/>
    </row>
    <row r="130" spans="1:11" ht="15">
      <c r="B130" s="104" t="s">
        <v>511</v>
      </c>
      <c r="C130" s="139"/>
      <c r="D130" s="147"/>
      <c r="E130" s="141"/>
      <c r="F130" s="139" t="s">
        <v>459</v>
      </c>
      <c r="G130" s="140"/>
      <c r="H130" s="140"/>
      <c r="I130" s="140"/>
      <c r="J130" s="140"/>
      <c r="K130" s="141"/>
    </row>
    <row r="131" spans="1:11">
      <c r="B131" s="103"/>
      <c r="C131" s="148"/>
      <c r="D131" s="149"/>
      <c r="E131" s="150"/>
      <c r="F131" s="148" t="s">
        <v>460</v>
      </c>
      <c r="G131" s="151"/>
      <c r="H131" s="151"/>
      <c r="I131" s="151"/>
      <c r="J131" s="151"/>
      <c r="K131" s="150"/>
    </row>
    <row r="132" spans="1:11">
      <c r="B132" s="103"/>
      <c r="C132" s="142"/>
      <c r="D132" s="152"/>
      <c r="E132" s="144"/>
      <c r="F132" s="142" t="s">
        <v>461</v>
      </c>
      <c r="G132" s="143"/>
      <c r="H132" s="143"/>
      <c r="I132" s="143"/>
      <c r="J132" s="143"/>
      <c r="K132" s="144"/>
    </row>
    <row r="133" spans="1:11">
      <c r="B133" s="103"/>
      <c r="C133" s="139"/>
      <c r="D133" s="147"/>
      <c r="E133" s="141"/>
      <c r="F133" s="139" t="s">
        <v>462</v>
      </c>
      <c r="G133" s="140"/>
      <c r="H133" s="140"/>
      <c r="I133" s="140"/>
      <c r="J133" s="140"/>
      <c r="K133" s="141"/>
    </row>
    <row r="134" spans="1:11">
      <c r="B134" s="103"/>
      <c r="C134" s="139"/>
      <c r="D134" s="147"/>
      <c r="E134" s="141"/>
      <c r="F134" s="139" t="s">
        <v>463</v>
      </c>
      <c r="G134" s="140"/>
      <c r="H134" s="140"/>
      <c r="I134" s="140"/>
      <c r="J134" s="140"/>
      <c r="K134" s="141"/>
    </row>
    <row r="135" spans="1:11" ht="15">
      <c r="B135" s="103"/>
      <c r="C135" s="145"/>
      <c r="D135" s="146" t="s">
        <v>473</v>
      </c>
      <c r="E135" s="141"/>
      <c r="F135" s="139" t="s">
        <v>464</v>
      </c>
      <c r="G135" s="140"/>
      <c r="H135" s="140"/>
      <c r="I135" s="140"/>
      <c r="J135" s="140"/>
      <c r="K135" s="141"/>
    </row>
    <row r="136" spans="1:11">
      <c r="B136" s="103"/>
      <c r="C136" s="139"/>
      <c r="D136" s="147"/>
      <c r="E136" s="141"/>
      <c r="F136" s="139" t="s">
        <v>465</v>
      </c>
      <c r="G136" s="140"/>
      <c r="H136" s="140"/>
      <c r="I136" s="140"/>
      <c r="J136" s="140"/>
      <c r="K136" s="141"/>
    </row>
    <row r="137" spans="1:11">
      <c r="B137" s="103"/>
      <c r="C137" s="139"/>
      <c r="D137" s="147"/>
      <c r="E137" s="141"/>
      <c r="F137" s="139" t="s">
        <v>466</v>
      </c>
      <c r="G137" s="140"/>
      <c r="H137" s="140"/>
      <c r="I137" s="140"/>
      <c r="J137" s="140"/>
      <c r="K137" s="141"/>
    </row>
    <row r="138" spans="1:11">
      <c r="B138" s="103"/>
      <c r="C138" s="148"/>
      <c r="D138" s="149"/>
      <c r="E138" s="150"/>
      <c r="F138" s="148" t="s">
        <v>467</v>
      </c>
      <c r="G138" s="151"/>
      <c r="H138" s="151"/>
      <c r="I138" s="151"/>
      <c r="J138" s="151"/>
      <c r="K138" s="150"/>
    </row>
    <row r="139" spans="1:11" ht="15">
      <c r="B139" s="105"/>
      <c r="C139" s="156"/>
      <c r="D139" s="157" t="s">
        <v>474</v>
      </c>
      <c r="E139" s="158"/>
      <c r="F139" s="159" t="s">
        <v>468</v>
      </c>
      <c r="G139" s="160"/>
      <c r="H139" s="160"/>
      <c r="I139" s="160"/>
      <c r="J139" s="160"/>
      <c r="K139" s="158"/>
    </row>
    <row r="140" spans="1:11">
      <c r="B140" s="2" t="s">
        <v>475</v>
      </c>
    </row>
    <row r="141" spans="1:11">
      <c r="C141" s="61" t="s">
        <v>589</v>
      </c>
    </row>
    <row r="142" spans="1:11">
      <c r="C142" s="60"/>
    </row>
    <row r="143" spans="1:11" ht="15">
      <c r="A143" s="1" t="s">
        <v>476</v>
      </c>
      <c r="C143" s="60"/>
    </row>
    <row r="144" spans="1:11">
      <c r="B144" s="2" t="s">
        <v>674</v>
      </c>
    </row>
    <row r="145" spans="1:3">
      <c r="C145" s="2" t="s">
        <v>637</v>
      </c>
    </row>
    <row r="146" spans="1:3">
      <c r="B146" s="2" t="s">
        <v>624</v>
      </c>
    </row>
    <row r="147" spans="1:3">
      <c r="C147" s="2" t="s">
        <v>638</v>
      </c>
    </row>
    <row r="148" spans="1:3" ht="15">
      <c r="B148" s="1" t="s">
        <v>591</v>
      </c>
    </row>
    <row r="150" spans="1:3" ht="15">
      <c r="A150" s="1" t="s">
        <v>477</v>
      </c>
    </row>
    <row r="151" spans="1:3" ht="15">
      <c r="B151" s="1" t="s">
        <v>625</v>
      </c>
    </row>
    <row r="152" spans="1:3">
      <c r="B152" s="2" t="s">
        <v>639</v>
      </c>
    </row>
    <row r="153" spans="1:3">
      <c r="C153" s="2" t="s">
        <v>640</v>
      </c>
    </row>
    <row r="154" spans="1:3">
      <c r="C154" s="2" t="s">
        <v>641</v>
      </c>
    </row>
    <row r="155" spans="1:3">
      <c r="C155" s="2" t="s">
        <v>642</v>
      </c>
    </row>
    <row r="156" spans="1:3">
      <c r="C156" s="2" t="s">
        <v>643</v>
      </c>
    </row>
    <row r="157" spans="1:3">
      <c r="B157" s="2" t="s">
        <v>665</v>
      </c>
    </row>
    <row r="159" spans="1:3" ht="15">
      <c r="A159" s="1" t="s">
        <v>478</v>
      </c>
    </row>
    <row r="160" spans="1:3" ht="15">
      <c r="B160" s="1" t="s">
        <v>525</v>
      </c>
    </row>
    <row r="161" spans="1:3">
      <c r="C161" s="2" t="s">
        <v>644</v>
      </c>
    </row>
    <row r="162" spans="1:3" ht="15">
      <c r="B162" s="1" t="s">
        <v>524</v>
      </c>
    </row>
    <row r="163" spans="1:3">
      <c r="C163" s="2" t="s">
        <v>493</v>
      </c>
    </row>
    <row r="164" spans="1:3">
      <c r="B164" s="24"/>
      <c r="C164" s="2" t="s">
        <v>494</v>
      </c>
    </row>
    <row r="165" spans="1:3">
      <c r="B165" s="2" t="s">
        <v>523</v>
      </c>
    </row>
    <row r="166" spans="1:3" ht="15">
      <c r="C166" s="2" t="s">
        <v>495</v>
      </c>
    </row>
    <row r="167" spans="1:3" ht="15">
      <c r="C167" s="1" t="s">
        <v>662</v>
      </c>
    </row>
    <row r="168" spans="1:3">
      <c r="B168" s="2" t="s">
        <v>521</v>
      </c>
    </row>
    <row r="169" spans="1:3">
      <c r="C169" s="2" t="s">
        <v>866</v>
      </c>
    </row>
    <row r="170" spans="1:3">
      <c r="B170" s="2" t="s">
        <v>522</v>
      </c>
    </row>
    <row r="171" spans="1:3">
      <c r="C171" s="2" t="s">
        <v>826</v>
      </c>
    </row>
    <row r="172" spans="1:3">
      <c r="B172" s="2" t="s">
        <v>520</v>
      </c>
    </row>
    <row r="173" spans="1:3">
      <c r="C173" s="2" t="s">
        <v>496</v>
      </c>
    </row>
    <row r="174" spans="1:3" ht="15">
      <c r="B174" s="2" t="s">
        <v>645</v>
      </c>
    </row>
    <row r="176" spans="1:3" ht="15">
      <c r="A176" s="1" t="s">
        <v>497</v>
      </c>
    </row>
    <row r="177" spans="2:19" ht="15">
      <c r="B177" s="1" t="s">
        <v>498</v>
      </c>
    </row>
    <row r="178" spans="2:19">
      <c r="C178" s="2" t="s">
        <v>646</v>
      </c>
    </row>
    <row r="179" spans="2:19">
      <c r="B179" s="2" t="s">
        <v>626</v>
      </c>
    </row>
    <row r="180" spans="2:19">
      <c r="C180" s="23"/>
    </row>
    <row r="181" spans="2:19" ht="15">
      <c r="B181" s="74" t="s">
        <v>505</v>
      </c>
      <c r="C181" s="80" t="s">
        <v>504</v>
      </c>
      <c r="D181" s="80" t="s">
        <v>810</v>
      </c>
      <c r="E181" s="80"/>
      <c r="F181" s="78"/>
      <c r="G181" s="78"/>
      <c r="H181" s="74"/>
      <c r="I181" s="78"/>
      <c r="J181" s="78"/>
      <c r="K181" s="78"/>
      <c r="L181" s="78"/>
      <c r="M181" s="78"/>
      <c r="N181" s="74"/>
      <c r="O181" s="74"/>
      <c r="P181" s="74"/>
      <c r="R181" s="2" t="s">
        <v>647</v>
      </c>
    </row>
    <row r="182" spans="2:19" ht="15">
      <c r="B182" s="52" t="s">
        <v>792</v>
      </c>
      <c r="C182" s="135" t="s">
        <v>793</v>
      </c>
      <c r="D182" s="135"/>
      <c r="E182" s="135"/>
      <c r="F182" s="135"/>
      <c r="G182" s="135"/>
      <c r="H182" s="135"/>
      <c r="I182" s="135"/>
      <c r="J182" s="135"/>
      <c r="K182" s="135"/>
      <c r="L182" s="135"/>
      <c r="M182" s="135"/>
      <c r="N182" s="135"/>
      <c r="O182" s="135"/>
      <c r="P182" s="135"/>
      <c r="S182" s="2" t="s">
        <v>666</v>
      </c>
    </row>
    <row r="183" spans="2:19" ht="15">
      <c r="B183" s="55" t="s">
        <v>794</v>
      </c>
      <c r="C183" s="136" t="s">
        <v>795</v>
      </c>
      <c r="D183" s="136"/>
      <c r="E183" s="136"/>
      <c r="F183" s="136"/>
      <c r="G183" s="136"/>
      <c r="H183" s="136"/>
      <c r="I183" s="136"/>
      <c r="J183" s="136"/>
      <c r="K183" s="136"/>
      <c r="L183" s="136"/>
      <c r="M183" s="136"/>
      <c r="N183" s="136"/>
      <c r="O183" s="136"/>
      <c r="P183" s="136"/>
      <c r="R183" s="2" t="s">
        <v>648</v>
      </c>
    </row>
    <row r="184" spans="2:19" ht="15">
      <c r="B184" s="55" t="s">
        <v>499</v>
      </c>
      <c r="C184" s="135" t="s">
        <v>506</v>
      </c>
      <c r="D184" s="135"/>
      <c r="E184" s="135"/>
      <c r="F184" s="135"/>
      <c r="G184" s="135"/>
      <c r="H184" s="135"/>
      <c r="I184" s="135"/>
      <c r="J184" s="135"/>
      <c r="K184" s="135"/>
      <c r="L184" s="135"/>
      <c r="M184" s="135"/>
      <c r="N184" s="135"/>
      <c r="O184" s="135"/>
      <c r="P184" s="135"/>
    </row>
    <row r="185" spans="2:19" ht="15" customHeight="1">
      <c r="B185" s="55" t="s">
        <v>517</v>
      </c>
      <c r="C185" s="136" t="s">
        <v>516</v>
      </c>
      <c r="D185" s="136" t="s">
        <v>578</v>
      </c>
      <c r="E185" s="136"/>
      <c r="F185" s="136"/>
      <c r="G185" s="136"/>
      <c r="H185" s="136"/>
      <c r="I185" s="136"/>
      <c r="J185" s="136"/>
      <c r="K185" s="136"/>
      <c r="L185" s="136"/>
      <c r="M185" s="136"/>
      <c r="N185" s="136"/>
      <c r="O185" s="136"/>
      <c r="P185" s="136"/>
      <c r="R185" s="2" t="s">
        <v>526</v>
      </c>
    </row>
    <row r="186" spans="2:19" ht="15">
      <c r="B186" s="55" t="s">
        <v>797</v>
      </c>
      <c r="C186" s="135" t="s">
        <v>798</v>
      </c>
      <c r="D186" s="135"/>
      <c r="E186" s="135"/>
      <c r="F186" s="135"/>
      <c r="G186" s="135"/>
      <c r="H186" s="135"/>
      <c r="I186" s="135"/>
      <c r="J186" s="135"/>
      <c r="K186" s="135"/>
      <c r="L186" s="135"/>
      <c r="M186" s="135"/>
      <c r="N186" s="135"/>
      <c r="O186" s="135"/>
      <c r="P186" s="135"/>
      <c r="R186" s="9" t="s">
        <v>358</v>
      </c>
      <c r="S186" s="2" t="s">
        <v>527</v>
      </c>
    </row>
    <row r="187" spans="2:19" ht="15">
      <c r="B187" s="55" t="s">
        <v>503</v>
      </c>
      <c r="C187" s="136" t="s">
        <v>514</v>
      </c>
      <c r="D187" s="136"/>
      <c r="E187" s="136"/>
      <c r="F187" s="136"/>
      <c r="G187" s="136"/>
      <c r="H187" s="136"/>
      <c r="I187" s="136"/>
      <c r="J187" s="136"/>
      <c r="K187" s="136"/>
      <c r="L187" s="136"/>
      <c r="M187" s="136"/>
      <c r="N187" s="136"/>
      <c r="O187" s="136"/>
      <c r="P187" s="136"/>
      <c r="R187" s="9" t="s">
        <v>358</v>
      </c>
      <c r="S187" s="2" t="s">
        <v>528</v>
      </c>
    </row>
    <row r="188" spans="2:19" ht="15" customHeight="1">
      <c r="B188" s="55" t="s">
        <v>799</v>
      </c>
      <c r="C188" s="135" t="s">
        <v>1673</v>
      </c>
      <c r="D188" s="135" t="s">
        <v>811</v>
      </c>
      <c r="E188" s="135"/>
      <c r="F188" s="135"/>
      <c r="G188" s="135"/>
      <c r="H188" s="135"/>
      <c r="I188" s="135"/>
      <c r="J188" s="135"/>
      <c r="K188" s="135"/>
      <c r="L188" s="135"/>
      <c r="M188" s="135"/>
      <c r="N188" s="135"/>
      <c r="O188" s="135"/>
      <c r="P188" s="135"/>
      <c r="R188" s="9" t="s">
        <v>358</v>
      </c>
      <c r="S188" s="2" t="s">
        <v>529</v>
      </c>
    </row>
    <row r="189" spans="2:19" ht="15">
      <c r="B189" s="55" t="s">
        <v>800</v>
      </c>
      <c r="C189" s="136" t="s">
        <v>801</v>
      </c>
      <c r="D189" s="136"/>
      <c r="E189" s="136"/>
      <c r="F189" s="136"/>
      <c r="G189" s="136"/>
      <c r="H189" s="136"/>
      <c r="I189" s="136"/>
      <c r="J189" s="136"/>
      <c r="K189" s="136"/>
      <c r="L189" s="136"/>
      <c r="M189" s="136"/>
      <c r="N189" s="136"/>
      <c r="O189" s="136"/>
      <c r="P189" s="136"/>
      <c r="R189" s="9" t="s">
        <v>358</v>
      </c>
      <c r="S189" s="2" t="s">
        <v>530</v>
      </c>
    </row>
    <row r="190" spans="2:19" ht="15">
      <c r="B190" s="55" t="s">
        <v>501</v>
      </c>
      <c r="C190" s="135" t="s">
        <v>513</v>
      </c>
      <c r="D190" s="135"/>
      <c r="E190" s="135"/>
      <c r="F190" s="135"/>
      <c r="G190" s="135"/>
      <c r="H190" s="135"/>
      <c r="I190" s="135"/>
      <c r="J190" s="135"/>
      <c r="K190" s="135"/>
      <c r="L190" s="135"/>
      <c r="M190" s="135"/>
      <c r="N190" s="135"/>
      <c r="O190" s="135"/>
      <c r="P190" s="135"/>
      <c r="R190" s="9" t="s">
        <v>358</v>
      </c>
      <c r="S190" s="2" t="s">
        <v>531</v>
      </c>
    </row>
    <row r="191" spans="2:19" ht="15">
      <c r="B191" s="55" t="s">
        <v>502</v>
      </c>
      <c r="C191" s="136" t="s">
        <v>542</v>
      </c>
      <c r="D191" s="136"/>
      <c r="E191" s="136"/>
      <c r="F191" s="136"/>
      <c r="G191" s="136"/>
      <c r="H191" s="136"/>
      <c r="I191" s="136"/>
      <c r="J191" s="136"/>
      <c r="K191" s="136"/>
      <c r="L191" s="136"/>
      <c r="M191" s="136"/>
      <c r="N191" s="136"/>
      <c r="O191" s="136"/>
      <c r="P191" s="136"/>
      <c r="R191" s="9" t="s">
        <v>358</v>
      </c>
      <c r="S191" s="2" t="s">
        <v>532</v>
      </c>
    </row>
    <row r="192" spans="2:19" ht="15" customHeight="1">
      <c r="B192" s="55" t="s">
        <v>500</v>
      </c>
      <c r="C192" s="137" t="s">
        <v>507</v>
      </c>
      <c r="D192" s="138" t="s">
        <v>809</v>
      </c>
      <c r="E192" s="138"/>
      <c r="F192" s="138"/>
      <c r="G192" s="138"/>
      <c r="H192" s="138"/>
      <c r="I192" s="138"/>
      <c r="J192" s="138"/>
      <c r="K192" s="138"/>
      <c r="L192" s="138"/>
      <c r="M192" s="138"/>
      <c r="N192" s="138"/>
      <c r="O192" s="138"/>
      <c r="P192" s="138"/>
    </row>
    <row r="193" spans="2:19" ht="15" customHeight="1">
      <c r="B193" s="55" t="s">
        <v>804</v>
      </c>
      <c r="C193" s="136" t="s">
        <v>1672</v>
      </c>
      <c r="D193" s="136" t="s">
        <v>811</v>
      </c>
      <c r="E193" s="136"/>
      <c r="F193" s="136"/>
      <c r="G193" s="136"/>
      <c r="H193" s="136"/>
      <c r="I193" s="136"/>
      <c r="J193" s="136"/>
      <c r="K193" s="136"/>
      <c r="L193" s="136"/>
      <c r="M193" s="136"/>
      <c r="N193" s="136"/>
      <c r="O193" s="136"/>
      <c r="P193" s="136"/>
      <c r="R193" s="2" t="s">
        <v>649</v>
      </c>
    </row>
    <row r="194" spans="2:19" ht="15">
      <c r="B194" s="57" t="s">
        <v>802</v>
      </c>
      <c r="C194" s="135" t="s">
        <v>803</v>
      </c>
      <c r="D194" s="135"/>
      <c r="E194" s="135"/>
      <c r="F194" s="135"/>
      <c r="G194" s="135"/>
      <c r="H194" s="135"/>
      <c r="I194" s="135"/>
      <c r="J194" s="135"/>
      <c r="K194" s="135"/>
      <c r="L194" s="135"/>
      <c r="M194" s="135"/>
      <c r="N194" s="135"/>
      <c r="O194" s="135"/>
      <c r="P194" s="135"/>
    </row>
    <row r="195" spans="2:19" ht="15">
      <c r="C195" s="1" t="s">
        <v>812</v>
      </c>
      <c r="R195" s="2" t="s">
        <v>533</v>
      </c>
    </row>
    <row r="196" spans="2:19" ht="15">
      <c r="B196" s="74" t="s">
        <v>512</v>
      </c>
      <c r="C196" s="21" t="s">
        <v>810</v>
      </c>
      <c r="D196" s="22"/>
      <c r="E196" s="19"/>
      <c r="F196" s="19"/>
      <c r="G196" s="22"/>
      <c r="H196" s="19"/>
      <c r="I196" s="19"/>
      <c r="J196" s="19"/>
      <c r="K196" s="19"/>
      <c r="L196" s="19"/>
      <c r="M196" s="22"/>
      <c r="N196" s="22"/>
      <c r="O196" s="22"/>
      <c r="P196" s="20"/>
      <c r="R196" s="9" t="s">
        <v>358</v>
      </c>
      <c r="S196" s="2" t="s">
        <v>534</v>
      </c>
    </row>
    <row r="197" spans="2:19" ht="15">
      <c r="B197" s="75" t="s">
        <v>813</v>
      </c>
      <c r="C197" s="135" t="s">
        <v>814</v>
      </c>
      <c r="D197" s="135"/>
      <c r="E197" s="135"/>
      <c r="F197" s="135"/>
      <c r="G197" s="135"/>
      <c r="H197" s="135"/>
      <c r="I197" s="135"/>
      <c r="J197" s="135"/>
      <c r="K197" s="135"/>
      <c r="L197" s="135"/>
      <c r="M197" s="135"/>
      <c r="N197" s="135"/>
      <c r="O197" s="135"/>
      <c r="P197" s="135"/>
      <c r="R197" s="9" t="s">
        <v>358</v>
      </c>
      <c r="S197" s="2" t="s">
        <v>535</v>
      </c>
    </row>
    <row r="198" spans="2:19" ht="15">
      <c r="B198" s="76" t="s">
        <v>805</v>
      </c>
      <c r="C198" s="136"/>
      <c r="D198" s="136"/>
      <c r="E198" s="136"/>
      <c r="F198" s="136"/>
      <c r="G198" s="136"/>
      <c r="H198" s="136"/>
      <c r="I198" s="136"/>
      <c r="J198" s="136"/>
      <c r="K198" s="136"/>
      <c r="L198" s="136"/>
      <c r="M198" s="136"/>
      <c r="N198" s="136"/>
      <c r="O198" s="136"/>
      <c r="P198" s="136"/>
      <c r="R198" s="9" t="s">
        <v>358</v>
      </c>
      <c r="S198" s="2" t="s">
        <v>536</v>
      </c>
    </row>
    <row r="199" spans="2:19" ht="15">
      <c r="B199" s="76" t="s">
        <v>796</v>
      </c>
      <c r="C199" s="135"/>
      <c r="D199" s="135"/>
      <c r="E199" s="135"/>
      <c r="F199" s="135"/>
      <c r="G199" s="135"/>
      <c r="H199" s="135"/>
      <c r="I199" s="135"/>
      <c r="J199" s="135"/>
      <c r="K199" s="135"/>
      <c r="L199" s="135"/>
      <c r="M199" s="135"/>
      <c r="N199" s="135"/>
      <c r="O199" s="135"/>
      <c r="P199" s="135"/>
      <c r="R199" s="9" t="s">
        <v>358</v>
      </c>
      <c r="S199" s="2" t="s">
        <v>537</v>
      </c>
    </row>
    <row r="200" spans="2:19" ht="15">
      <c r="B200" s="76" t="s">
        <v>515</v>
      </c>
      <c r="C200" s="136"/>
      <c r="D200" s="136"/>
      <c r="E200" s="136"/>
      <c r="F200" s="136"/>
      <c r="G200" s="136"/>
      <c r="H200" s="136"/>
      <c r="I200" s="136"/>
      <c r="J200" s="136"/>
      <c r="K200" s="136"/>
      <c r="L200" s="136"/>
      <c r="M200" s="136"/>
      <c r="N200" s="136"/>
      <c r="O200" s="136"/>
      <c r="P200" s="136"/>
      <c r="R200" s="9" t="s">
        <v>358</v>
      </c>
      <c r="S200" s="2" t="s">
        <v>538</v>
      </c>
    </row>
    <row r="201" spans="2:19" ht="15">
      <c r="B201" s="76" t="s">
        <v>518</v>
      </c>
      <c r="C201" s="135"/>
      <c r="D201" s="135"/>
      <c r="E201" s="135"/>
      <c r="F201" s="135"/>
      <c r="G201" s="135"/>
      <c r="H201" s="135"/>
      <c r="I201" s="135"/>
      <c r="J201" s="135"/>
      <c r="K201" s="135"/>
      <c r="L201" s="135"/>
      <c r="M201" s="135"/>
      <c r="N201" s="135"/>
      <c r="O201" s="135"/>
      <c r="P201" s="135"/>
      <c r="R201" s="9" t="s">
        <v>358</v>
      </c>
      <c r="S201" s="2" t="s">
        <v>539</v>
      </c>
    </row>
    <row r="202" spans="2:19" ht="15">
      <c r="B202" s="77" t="s">
        <v>519</v>
      </c>
      <c r="C202" s="136"/>
      <c r="D202" s="136"/>
      <c r="E202" s="136"/>
      <c r="F202" s="136"/>
      <c r="G202" s="136"/>
      <c r="H202" s="136"/>
      <c r="I202" s="136"/>
      <c r="J202" s="136"/>
      <c r="K202" s="136"/>
      <c r="L202" s="136"/>
      <c r="M202" s="136"/>
      <c r="N202" s="136"/>
      <c r="O202" s="136"/>
      <c r="P202" s="136"/>
      <c r="R202" s="9" t="s">
        <v>358</v>
      </c>
      <c r="S202" s="2" t="s">
        <v>540</v>
      </c>
    </row>
    <row r="204" spans="2:19" ht="15">
      <c r="B204" s="9" t="s">
        <v>679</v>
      </c>
      <c r="H204"/>
    </row>
    <row r="205" spans="2:19">
      <c r="B205" s="9"/>
    </row>
    <row r="206" spans="2:19">
      <c r="B206" s="9"/>
    </row>
    <row r="207" spans="2:19">
      <c r="B207" s="9"/>
    </row>
    <row r="208" spans="2:19">
      <c r="B208" s="9"/>
    </row>
    <row r="209" spans="1:3">
      <c r="B209" s="9"/>
    </row>
    <row r="210" spans="1:3">
      <c r="B210" s="9"/>
    </row>
    <row r="211" spans="1:3">
      <c r="B211" s="9"/>
    </row>
    <row r="212" spans="1:3">
      <c r="B212" s="9"/>
    </row>
    <row r="213" spans="1:3">
      <c r="B213" s="9"/>
    </row>
    <row r="215" spans="1:3" ht="15">
      <c r="A215" s="1"/>
    </row>
    <row r="219" spans="1:3" ht="15">
      <c r="A219" s="1" t="s">
        <v>541</v>
      </c>
    </row>
    <row r="220" spans="1:3">
      <c r="B220" s="2" t="s">
        <v>760</v>
      </c>
    </row>
    <row r="221" spans="1:3" ht="15">
      <c r="C221" s="2" t="s">
        <v>765</v>
      </c>
    </row>
    <row r="222" spans="1:3">
      <c r="C222" s="2" t="s">
        <v>761</v>
      </c>
    </row>
    <row r="223" spans="1:3">
      <c r="C223" s="2" t="s">
        <v>762</v>
      </c>
    </row>
    <row r="224" spans="1:3">
      <c r="B224" s="2" t="s">
        <v>763</v>
      </c>
    </row>
    <row r="225" spans="1:30" ht="15">
      <c r="B225" s="2" t="s">
        <v>764</v>
      </c>
    </row>
    <row r="226" spans="1:30" ht="15">
      <c r="C226" s="1" t="s">
        <v>650</v>
      </c>
      <c r="F226" s="61" t="s">
        <v>651</v>
      </c>
      <c r="R226" s="21" t="s">
        <v>771</v>
      </c>
      <c r="S226" s="19"/>
      <c r="T226" s="19"/>
      <c r="U226" s="19"/>
      <c r="V226" s="19"/>
      <c r="W226" s="19"/>
      <c r="Y226" s="21" t="s">
        <v>772</v>
      </c>
      <c r="Z226" s="19"/>
      <c r="AA226" s="19"/>
      <c r="AB226" s="19"/>
      <c r="AC226" s="19"/>
      <c r="AD226" s="19"/>
    </row>
    <row r="227" spans="1:30" ht="15">
      <c r="C227" s="1" t="s">
        <v>652</v>
      </c>
      <c r="F227" s="61" t="s">
        <v>589</v>
      </c>
      <c r="R227" s="52" t="s">
        <v>766</v>
      </c>
      <c r="S227" s="53"/>
      <c r="T227" s="52" t="s">
        <v>768</v>
      </c>
      <c r="U227" s="53"/>
      <c r="V227" s="52" t="s">
        <v>767</v>
      </c>
      <c r="W227" s="53"/>
      <c r="Y227" s="52" t="s">
        <v>766</v>
      </c>
      <c r="Z227" s="53"/>
      <c r="AA227" s="52" t="s">
        <v>768</v>
      </c>
      <c r="AB227" s="53"/>
      <c r="AC227" s="52" t="s">
        <v>773</v>
      </c>
      <c r="AD227" s="53"/>
    </row>
    <row r="228" spans="1:30">
      <c r="R228" s="66">
        <v>58</v>
      </c>
      <c r="S228" s="67" t="s">
        <v>769</v>
      </c>
      <c r="T228" s="66">
        <v>62</v>
      </c>
      <c r="U228" s="67" t="s">
        <v>769</v>
      </c>
      <c r="V228" s="66">
        <f>SUM(R228+T228)</f>
        <v>120</v>
      </c>
      <c r="W228" s="67" t="s">
        <v>769</v>
      </c>
      <c r="Y228" s="66">
        <v>29</v>
      </c>
      <c r="Z228" s="67" t="s">
        <v>769</v>
      </c>
      <c r="AA228" s="66">
        <v>26</v>
      </c>
      <c r="AB228" s="67" t="s">
        <v>769</v>
      </c>
      <c r="AC228" s="66">
        <f>SUM(Y228+AA228)</f>
        <v>55</v>
      </c>
      <c r="AD228" s="67" t="s">
        <v>769</v>
      </c>
    </row>
    <row r="229" spans="1:30" ht="15">
      <c r="B229" s="1" t="s">
        <v>770</v>
      </c>
    </row>
    <row r="230" spans="1:30" ht="15">
      <c r="C230" s="1" t="s">
        <v>778</v>
      </c>
      <c r="R230" s="68" t="s">
        <v>777</v>
      </c>
      <c r="S230" s="69"/>
      <c r="T230" s="69"/>
    </row>
    <row r="231" spans="1:30" ht="15">
      <c r="B231" s="2" t="s">
        <v>551</v>
      </c>
      <c r="R231" s="70" t="s">
        <v>779</v>
      </c>
      <c r="S231" s="71"/>
      <c r="T231" s="72"/>
    </row>
    <row r="232" spans="1:30" ht="15">
      <c r="B232" s="1" t="s">
        <v>552</v>
      </c>
      <c r="R232" s="90" t="s">
        <v>825</v>
      </c>
      <c r="S232" s="91"/>
      <c r="T232" s="92"/>
    </row>
    <row r="233" spans="1:30" ht="15">
      <c r="B233" s="1"/>
    </row>
    <row r="234" spans="1:30">
      <c r="B234" s="2" t="s">
        <v>656</v>
      </c>
    </row>
    <row r="235" spans="1:30">
      <c r="B235" s="2" t="s">
        <v>667</v>
      </c>
    </row>
    <row r="236" spans="1:30">
      <c r="C236" s="2" t="s">
        <v>657</v>
      </c>
    </row>
    <row r="238" spans="1:30" ht="15">
      <c r="A238" s="1" t="s">
        <v>553</v>
      </c>
    </row>
    <row r="239" spans="1:30">
      <c r="B239" s="2" t="s">
        <v>554</v>
      </c>
    </row>
    <row r="241" spans="1:16">
      <c r="C241" s="2" t="s">
        <v>555</v>
      </c>
      <c r="E241" s="2" t="s">
        <v>557</v>
      </c>
    </row>
    <row r="243" spans="1:16">
      <c r="C243" s="2" t="s">
        <v>565</v>
      </c>
    </row>
    <row r="245" spans="1:16">
      <c r="C245" s="2" t="s">
        <v>566</v>
      </c>
    </row>
    <row r="247" spans="1:16" ht="15">
      <c r="A247" s="1" t="s">
        <v>567</v>
      </c>
      <c r="E247" s="2" t="s">
        <v>653</v>
      </c>
    </row>
    <row r="249" spans="1:16" ht="15">
      <c r="A249" s="1" t="s">
        <v>568</v>
      </c>
    </row>
    <row r="250" spans="1:16">
      <c r="B250" s="2" t="s">
        <v>569</v>
      </c>
    </row>
    <row r="252" spans="1:16" ht="15">
      <c r="B252" s="21" t="s">
        <v>654</v>
      </c>
      <c r="C252" s="19"/>
      <c r="D252" s="19"/>
      <c r="E252" s="22" t="s">
        <v>655</v>
      </c>
      <c r="F252" s="19"/>
      <c r="G252" s="19"/>
      <c r="H252" s="19"/>
      <c r="I252" s="19"/>
      <c r="J252" s="19"/>
      <c r="K252" s="19"/>
      <c r="L252" s="19"/>
      <c r="M252" s="19"/>
      <c r="N252" s="19"/>
      <c r="O252" s="19"/>
      <c r="P252" s="20"/>
    </row>
    <row r="253" spans="1:16" ht="15">
      <c r="B253" s="52" t="s">
        <v>577</v>
      </c>
      <c r="C253" s="53"/>
      <c r="D253" s="54"/>
      <c r="E253" s="135" t="s">
        <v>573</v>
      </c>
      <c r="F253" s="135"/>
      <c r="G253" s="135"/>
      <c r="H253" s="135"/>
      <c r="I253" s="135"/>
      <c r="J253" s="135"/>
      <c r="K253" s="135"/>
      <c r="L253" s="135"/>
      <c r="M253" s="135"/>
      <c r="N253" s="135"/>
      <c r="O253" s="135"/>
      <c r="P253" s="135"/>
    </row>
    <row r="254" spans="1:16" ht="15">
      <c r="B254" s="55" t="s">
        <v>570</v>
      </c>
      <c r="C254" s="46"/>
      <c r="D254" s="56"/>
      <c r="E254" s="136" t="s">
        <v>574</v>
      </c>
      <c r="F254" s="136"/>
      <c r="G254" s="136"/>
      <c r="H254" s="136"/>
      <c r="I254" s="136"/>
      <c r="J254" s="136"/>
      <c r="K254" s="136"/>
      <c r="L254" s="136"/>
      <c r="M254" s="136"/>
      <c r="N254" s="136"/>
      <c r="O254" s="136"/>
      <c r="P254" s="136"/>
    </row>
    <row r="255" spans="1:16" ht="15">
      <c r="B255" s="55" t="s">
        <v>571</v>
      </c>
      <c r="C255" s="46"/>
      <c r="D255" s="56"/>
      <c r="E255" s="135" t="s">
        <v>575</v>
      </c>
      <c r="F255" s="135"/>
      <c r="G255" s="135"/>
      <c r="H255" s="135"/>
      <c r="I255" s="135"/>
      <c r="J255" s="135"/>
      <c r="K255" s="135"/>
      <c r="L255" s="135"/>
      <c r="M255" s="135"/>
      <c r="N255" s="135"/>
      <c r="O255" s="135"/>
      <c r="P255" s="135"/>
    </row>
    <row r="256" spans="1:16" ht="15">
      <c r="B256" s="57" t="s">
        <v>572</v>
      </c>
      <c r="C256" s="58"/>
      <c r="D256" s="59"/>
      <c r="E256" s="136" t="s">
        <v>576</v>
      </c>
      <c r="F256" s="136"/>
      <c r="G256" s="136"/>
      <c r="H256" s="136"/>
      <c r="I256" s="136"/>
      <c r="J256" s="136"/>
      <c r="K256" s="136"/>
      <c r="L256" s="136"/>
      <c r="M256" s="136"/>
      <c r="N256" s="136"/>
      <c r="O256" s="136"/>
      <c r="P256" s="136"/>
    </row>
    <row r="258" spans="1:4">
      <c r="B258" s="2" t="s">
        <v>668</v>
      </c>
    </row>
    <row r="259" spans="1:4" ht="15">
      <c r="B259" s="1" t="s">
        <v>670</v>
      </c>
    </row>
    <row r="261" spans="1:4" ht="15">
      <c r="A261" s="1" t="s">
        <v>867</v>
      </c>
    </row>
    <row r="263" spans="1:4">
      <c r="B263" s="2" t="s">
        <v>868</v>
      </c>
    </row>
    <row r="264" spans="1:4">
      <c r="C264" s="2" t="s">
        <v>869</v>
      </c>
    </row>
    <row r="265" spans="1:4" ht="15">
      <c r="D265" s="2" t="s">
        <v>875</v>
      </c>
    </row>
    <row r="266" spans="1:4">
      <c r="D266" s="2" t="s">
        <v>876</v>
      </c>
    </row>
    <row r="267" spans="1:4">
      <c r="C267" s="2" t="s">
        <v>870</v>
      </c>
    </row>
    <row r="268" spans="1:4">
      <c r="C268" s="2" t="s">
        <v>871</v>
      </c>
    </row>
    <row r="269" spans="1:4" ht="15">
      <c r="D269" s="1" t="s">
        <v>872</v>
      </c>
    </row>
    <row r="270" spans="1:4">
      <c r="C270" s="2" t="s">
        <v>873</v>
      </c>
    </row>
    <row r="271" spans="1:4" ht="15">
      <c r="D271" s="2" t="s">
        <v>874</v>
      </c>
    </row>
    <row r="272" spans="1:4">
      <c r="C272" s="2" t="s">
        <v>877</v>
      </c>
    </row>
    <row r="273" spans="4:4">
      <c r="D273" s="2" t="s">
        <v>878</v>
      </c>
    </row>
    <row r="274" spans="4:4">
      <c r="D274" s="2" t="s">
        <v>879</v>
      </c>
    </row>
  </sheetData>
  <mergeCells count="1">
    <mergeCell ref="D192:P192"/>
  </mergeCells>
  <hyperlinks>
    <hyperlink ref="C191" r:id="rId1" xr:uid="{2B61F1B9-6BCB-4C40-A12D-45F75BC73872}"/>
    <hyperlink ref="C192" r:id="rId2" xr:uid="{CF1E1441-ECBB-4D65-9CD0-6BB8E929929E}"/>
    <hyperlink ref="A1" r:id="rId3" xr:uid="{BC1C6A08-4388-4BD0-AAE8-E5ACAF15E89E}"/>
    <hyperlink ref="C187" r:id="rId4" xr:uid="{74B948AA-FC91-4FC0-958B-F40D0DB78BC3}"/>
    <hyperlink ref="C184" r:id="rId5" xr:uid="{77EA6C23-9DFF-40C3-B5ED-EE4F4A389016}"/>
    <hyperlink ref="C141" r:id="rId6" xr:uid="{AA46E780-E291-4159-A138-19C3E1AC761F}"/>
    <hyperlink ref="F226" r:id="rId7" xr:uid="{CED68A2F-9E92-4804-87D7-CBF761610ECF}"/>
    <hyperlink ref="F227" r:id="rId8" xr:uid="{02F22DF9-1E5F-49CE-A5C7-5625EB993A2B}"/>
    <hyperlink ref="N16" r:id="rId9" xr:uid="{5E7FAC50-D41D-4D67-B454-DDCC9CB837C3}"/>
    <hyperlink ref="C190" r:id="rId10" xr:uid="{B8F8763B-5F62-4DA0-A505-A5B81CCBB4BE}"/>
    <hyperlink ref="C182" r:id="rId11" xr:uid="{462D2EC2-649A-4647-AF5F-63CBDB8DE394}"/>
    <hyperlink ref="C186" r:id="rId12" xr:uid="{7006DA10-781B-457F-B640-71A9579146D1}"/>
  </hyperlinks>
  <pageMargins left="0.7" right="0.7" top="0.75" bottom="0.75" header="0.3" footer="0.3"/>
  <drawing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02EB4-8E8F-4F2C-96F6-208D5A819335}">
  <dimension ref="A1"/>
  <sheetViews>
    <sheetView workbookViewId="0"/>
  </sheetViews>
  <sheetFormatPr defaultColWidth="9.140625" defaultRowHeight="14.25"/>
  <cols>
    <col min="1" max="1" width="3.140625" style="2" customWidth="1"/>
    <col min="2" max="16384" width="9.140625" style="2"/>
  </cols>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7306D-092A-42B9-9419-F102F004AF63}">
  <dimension ref="A1"/>
  <sheetViews>
    <sheetView workbookViewId="0"/>
  </sheetViews>
  <sheetFormatPr defaultColWidth="9.140625" defaultRowHeight="14.25"/>
  <cols>
    <col min="1" max="1" width="3.42578125" style="2" customWidth="1"/>
    <col min="2" max="16384" width="9.140625" style="2"/>
  </cols>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E2DA4-3892-4222-9903-C65BCAADBBDB}">
  <dimension ref="A1"/>
  <sheetViews>
    <sheetView workbookViewId="0"/>
  </sheetViews>
  <sheetFormatPr defaultColWidth="9.140625" defaultRowHeight="14.25"/>
  <cols>
    <col min="1" max="1" width="3.28515625" style="2" customWidth="1"/>
    <col min="2" max="16384" width="9.140625" style="2"/>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4BAB9-DE4D-4C7A-9063-1F5A1C1DB289}">
  <sheetPr>
    <tabColor rgb="FFFFFF00"/>
  </sheetPr>
  <dimension ref="B1:CS91"/>
  <sheetViews>
    <sheetView zoomScale="85" zoomScaleNormal="85" workbookViewId="0">
      <pane xSplit="2" ySplit="2" topLeftCell="AX14" activePane="bottomRight" state="frozen"/>
      <selection pane="topRight" activeCell="C1" sqref="C1"/>
      <selection pane="bottomLeft" activeCell="A3" sqref="A3"/>
      <selection pane="bottomRight" activeCell="AB1" sqref="AB1:AL1048576"/>
    </sheetView>
  </sheetViews>
  <sheetFormatPr defaultColWidth="9.140625" defaultRowHeight="15"/>
  <cols>
    <col min="1" max="1" width="3.140625" style="2" customWidth="1"/>
    <col min="2" max="2" width="36.7109375" style="2" customWidth="1"/>
    <col min="3" max="6" width="9.28515625" style="2" bestFit="1" customWidth="1"/>
    <col min="7" max="7" width="10" style="2" bestFit="1" customWidth="1"/>
    <col min="8" max="14" width="9.42578125" style="2" bestFit="1" customWidth="1"/>
    <col min="15" max="15" width="9.42578125" style="2" customWidth="1"/>
    <col min="16" max="26" width="9.42578125" style="2" bestFit="1" customWidth="1"/>
    <col min="27" max="27" width="9.140625" style="1"/>
    <col min="28" max="38" width="9.140625" style="123"/>
    <col min="39" max="47" width="9.140625" style="2"/>
    <col min="48" max="53" width="9.28515625" style="2" bestFit="1" customWidth="1"/>
    <col min="54" max="55" width="9.140625" style="122"/>
    <col min="56" max="57" width="9.140625" style="122" customWidth="1"/>
    <col min="58" max="93" width="9.140625" style="122"/>
    <col min="94" max="94" width="9.140625" style="64"/>
    <col min="95" max="16384" width="9.140625" style="2"/>
  </cols>
  <sheetData>
    <row r="1" spans="2:97">
      <c r="B1" s="2" t="s">
        <v>302</v>
      </c>
      <c r="C1" s="2" t="s">
        <v>270</v>
      </c>
      <c r="D1" s="2" t="s">
        <v>271</v>
      </c>
      <c r="E1" s="2" t="s">
        <v>272</v>
      </c>
      <c r="F1" s="2" t="s">
        <v>273</v>
      </c>
      <c r="G1" s="2" t="s">
        <v>270</v>
      </c>
      <c r="H1" s="2" t="s">
        <v>271</v>
      </c>
      <c r="I1" s="2" t="s">
        <v>272</v>
      </c>
      <c r="J1" s="2" t="s">
        <v>273</v>
      </c>
      <c r="K1" s="2" t="s">
        <v>270</v>
      </c>
      <c r="L1" s="2" t="s">
        <v>271</v>
      </c>
      <c r="M1" s="2" t="s">
        <v>272</v>
      </c>
      <c r="N1" s="2" t="s">
        <v>273</v>
      </c>
      <c r="O1" s="2" t="s">
        <v>270</v>
      </c>
      <c r="P1" s="2" t="s">
        <v>271</v>
      </c>
      <c r="Q1" s="2" t="s">
        <v>272</v>
      </c>
      <c r="R1" s="2" t="s">
        <v>273</v>
      </c>
      <c r="S1" s="2" t="s">
        <v>270</v>
      </c>
      <c r="T1" s="2" t="s">
        <v>271</v>
      </c>
      <c r="U1" s="2" t="s">
        <v>272</v>
      </c>
      <c r="V1" s="2" t="s">
        <v>273</v>
      </c>
      <c r="W1" s="2" t="s">
        <v>270</v>
      </c>
      <c r="X1" s="2" t="s">
        <v>271</v>
      </c>
      <c r="Y1" s="2" t="s">
        <v>272</v>
      </c>
      <c r="Z1" s="2" t="s">
        <v>273</v>
      </c>
      <c r="AA1" s="1" t="s">
        <v>270</v>
      </c>
      <c r="AB1" s="123" t="s">
        <v>271</v>
      </c>
      <c r="AC1" s="123" t="s">
        <v>272</v>
      </c>
      <c r="AD1" s="123" t="s">
        <v>273</v>
      </c>
      <c r="AE1" s="123" t="s">
        <v>270</v>
      </c>
      <c r="AF1" s="123" t="s">
        <v>271</v>
      </c>
      <c r="AG1" s="123" t="s">
        <v>272</v>
      </c>
      <c r="AH1" s="123" t="s">
        <v>273</v>
      </c>
      <c r="AI1" s="123" t="s">
        <v>270</v>
      </c>
      <c r="AJ1" s="123" t="s">
        <v>271</v>
      </c>
      <c r="AK1" s="123" t="s">
        <v>272</v>
      </c>
      <c r="AL1" s="123" t="s">
        <v>273</v>
      </c>
    </row>
    <row r="2" spans="2:97">
      <c r="B2" s="1" t="s">
        <v>303</v>
      </c>
      <c r="C2" s="1" t="s">
        <v>596</v>
      </c>
      <c r="D2" s="1" t="s">
        <v>597</v>
      </c>
      <c r="E2" s="1" t="s">
        <v>598</v>
      </c>
      <c r="F2" s="1" t="s">
        <v>599</v>
      </c>
      <c r="G2" s="1" t="s">
        <v>274</v>
      </c>
      <c r="H2" s="1" t="s">
        <v>275</v>
      </c>
      <c r="I2" s="1" t="s">
        <v>276</v>
      </c>
      <c r="J2" s="1" t="s">
        <v>277</v>
      </c>
      <c r="K2" s="1" t="s">
        <v>278</v>
      </c>
      <c r="L2" s="1" t="s">
        <v>279</v>
      </c>
      <c r="M2" s="1" t="s">
        <v>280</v>
      </c>
      <c r="N2" s="1" t="s">
        <v>281</v>
      </c>
      <c r="O2" s="1" t="s">
        <v>282</v>
      </c>
      <c r="P2" s="1" t="s">
        <v>283</v>
      </c>
      <c r="Q2" s="1" t="s">
        <v>284</v>
      </c>
      <c r="R2" s="1" t="s">
        <v>285</v>
      </c>
      <c r="S2" s="1" t="s">
        <v>286</v>
      </c>
      <c r="T2" s="1" t="s">
        <v>287</v>
      </c>
      <c r="U2" s="1" t="s">
        <v>288</v>
      </c>
      <c r="V2" s="1" t="s">
        <v>289</v>
      </c>
      <c r="W2" s="1" t="s">
        <v>290</v>
      </c>
      <c r="X2" s="1" t="s">
        <v>291</v>
      </c>
      <c r="Y2" s="1" t="s">
        <v>292</v>
      </c>
      <c r="Z2" s="1" t="s">
        <v>293</v>
      </c>
      <c r="AA2" s="1" t="s">
        <v>294</v>
      </c>
      <c r="AB2" s="123" t="s">
        <v>295</v>
      </c>
      <c r="AC2" s="123" t="s">
        <v>296</v>
      </c>
      <c r="AD2" s="123" t="s">
        <v>297</v>
      </c>
      <c r="AE2" s="123" t="s">
        <v>298</v>
      </c>
      <c r="AF2" s="123" t="s">
        <v>299</v>
      </c>
      <c r="AG2" s="123" t="s">
        <v>300</v>
      </c>
      <c r="AH2" s="123" t="s">
        <v>301</v>
      </c>
      <c r="AI2" s="123" t="s">
        <v>561</v>
      </c>
      <c r="AJ2" s="123" t="s">
        <v>562</v>
      </c>
      <c r="AK2" s="123" t="s">
        <v>563</v>
      </c>
      <c r="AL2" s="123" t="s">
        <v>564</v>
      </c>
      <c r="AV2" s="1">
        <v>2019</v>
      </c>
      <c r="AW2" s="1">
        <v>2020</v>
      </c>
      <c r="AX2" s="1">
        <v>2021</v>
      </c>
      <c r="AY2" s="1">
        <v>2022</v>
      </c>
      <c r="AZ2" s="1">
        <f t="shared" ref="AZ2:BB2" si="0">AY2+1</f>
        <v>2023</v>
      </c>
      <c r="BA2" s="1">
        <f t="shared" si="0"/>
        <v>2024</v>
      </c>
      <c r="BB2" s="123">
        <f t="shared" si="0"/>
        <v>2025</v>
      </c>
      <c r="BC2" s="123">
        <f t="shared" ref="BC2" si="1">BB2+1</f>
        <v>2026</v>
      </c>
      <c r="BD2" s="123">
        <f t="shared" ref="BD2" si="2">BC2+1</f>
        <v>2027</v>
      </c>
      <c r="BE2" s="123">
        <f t="shared" ref="BE2" si="3">BD2+1</f>
        <v>2028</v>
      </c>
      <c r="BF2" s="123">
        <f t="shared" ref="BF2" si="4">BE2+1</f>
        <v>2029</v>
      </c>
      <c r="BG2" s="123">
        <f t="shared" ref="BG2" si="5">BF2+1</f>
        <v>2030</v>
      </c>
      <c r="BH2" s="123">
        <f t="shared" ref="BH2" si="6">BG2+1</f>
        <v>2031</v>
      </c>
      <c r="BI2" s="123">
        <f t="shared" ref="BI2" si="7">BH2+1</f>
        <v>2032</v>
      </c>
      <c r="BJ2" s="123">
        <f t="shared" ref="BJ2" si="8">BI2+1</f>
        <v>2033</v>
      </c>
      <c r="BK2" s="123">
        <f t="shared" ref="BK2" si="9">BJ2+1</f>
        <v>2034</v>
      </c>
      <c r="BL2" s="123">
        <f t="shared" ref="BL2" si="10">BK2+1</f>
        <v>2035</v>
      </c>
      <c r="BM2" s="123">
        <f t="shared" ref="BM2" si="11">BL2+1</f>
        <v>2036</v>
      </c>
      <c r="BN2" s="123">
        <f t="shared" ref="BN2" si="12">BM2+1</f>
        <v>2037</v>
      </c>
      <c r="BO2" s="123">
        <f t="shared" ref="BO2" si="13">BN2+1</f>
        <v>2038</v>
      </c>
      <c r="BP2" s="123">
        <f t="shared" ref="BP2" si="14">BO2+1</f>
        <v>2039</v>
      </c>
      <c r="BQ2" s="123">
        <f t="shared" ref="BQ2" si="15">BP2+1</f>
        <v>2040</v>
      </c>
      <c r="BR2" s="123">
        <f t="shared" ref="BR2" si="16">BQ2+1</f>
        <v>2041</v>
      </c>
      <c r="BS2" s="123">
        <f t="shared" ref="BS2" si="17">BR2+1</f>
        <v>2042</v>
      </c>
      <c r="BT2" s="123">
        <f t="shared" ref="BT2" si="18">BS2+1</f>
        <v>2043</v>
      </c>
      <c r="BU2" s="123">
        <f t="shared" ref="BU2" si="19">BT2+1</f>
        <v>2044</v>
      </c>
      <c r="BV2" s="123">
        <f t="shared" ref="BV2" si="20">BU2+1</f>
        <v>2045</v>
      </c>
      <c r="BW2" s="123">
        <f t="shared" ref="BW2" si="21">BV2+1</f>
        <v>2046</v>
      </c>
      <c r="BX2" s="123">
        <f t="shared" ref="BX2" si="22">BW2+1</f>
        <v>2047</v>
      </c>
      <c r="BY2" s="123">
        <f t="shared" ref="BY2" si="23">BX2+1</f>
        <v>2048</v>
      </c>
      <c r="BZ2" s="123">
        <f t="shared" ref="BZ2" si="24">BY2+1</f>
        <v>2049</v>
      </c>
      <c r="CA2" s="123">
        <f t="shared" ref="CA2" si="25">BZ2+1</f>
        <v>2050</v>
      </c>
      <c r="CB2" s="123">
        <f t="shared" ref="CB2" si="26">CA2+1</f>
        <v>2051</v>
      </c>
      <c r="CC2" s="123">
        <f t="shared" ref="CC2" si="27">CB2+1</f>
        <v>2052</v>
      </c>
      <c r="CD2" s="123">
        <f t="shared" ref="CD2" si="28">CC2+1</f>
        <v>2053</v>
      </c>
      <c r="CE2" s="123">
        <f t="shared" ref="CE2" si="29">CD2+1</f>
        <v>2054</v>
      </c>
      <c r="CF2" s="123">
        <f t="shared" ref="CF2" si="30">CE2+1</f>
        <v>2055</v>
      </c>
      <c r="CG2" s="123">
        <f t="shared" ref="CG2" si="31">CF2+1</f>
        <v>2056</v>
      </c>
      <c r="CH2" s="123">
        <f t="shared" ref="CH2" si="32">CG2+1</f>
        <v>2057</v>
      </c>
      <c r="CI2" s="123">
        <f t="shared" ref="CI2" si="33">CH2+1</f>
        <v>2058</v>
      </c>
      <c r="CJ2" s="123">
        <f t="shared" ref="CJ2" si="34">CI2+1</f>
        <v>2059</v>
      </c>
      <c r="CK2" s="123">
        <f t="shared" ref="CK2" si="35">CJ2+1</f>
        <v>2060</v>
      </c>
      <c r="CL2" s="123">
        <f t="shared" ref="CL2" si="36">CK2+1</f>
        <v>2061</v>
      </c>
      <c r="CM2" s="123">
        <f t="shared" ref="CM2" si="37">CL2+1</f>
        <v>2062</v>
      </c>
      <c r="CN2" s="123">
        <f t="shared" ref="CN2" si="38">CM2+1</f>
        <v>2063</v>
      </c>
      <c r="CO2" s="123">
        <f t="shared" ref="CO2" si="39">CN2+1</f>
        <v>2064</v>
      </c>
      <c r="CP2" s="62"/>
      <c r="CQ2" s="8"/>
      <c r="CR2" s="8"/>
      <c r="CS2" s="8"/>
    </row>
    <row r="3" spans="2:97" ht="15" customHeight="1">
      <c r="B3" s="73" t="s">
        <v>780</v>
      </c>
      <c r="S3" s="2">
        <v>145</v>
      </c>
      <c r="T3" s="2">
        <v>162</v>
      </c>
      <c r="U3" s="2">
        <v>179</v>
      </c>
      <c r="V3" s="13">
        <f>677-SUM(S3:U3)</f>
        <v>191</v>
      </c>
      <c r="W3" s="2">
        <v>188</v>
      </c>
      <c r="X3" s="2">
        <v>203</v>
      </c>
      <c r="Y3" s="2">
        <v>204</v>
      </c>
      <c r="Z3" s="13">
        <f>815-SUM(W3:Y3)</f>
        <v>220</v>
      </c>
      <c r="AA3" s="13">
        <v>226.54400000000001</v>
      </c>
      <c r="AZ3" s="2">
        <f>SUM(S3:V3)</f>
        <v>677</v>
      </c>
      <c r="BA3" s="2">
        <f t="shared" ref="BA3:BA4" si="40">SUM(W3:Z3)</f>
        <v>815</v>
      </c>
      <c r="BB3" s="124">
        <f t="shared" ref="BB3:BG4" si="41">BA3*(1+BB10)</f>
        <v>982.07500000000005</v>
      </c>
      <c r="BC3" s="124">
        <f t="shared" si="41"/>
        <v>1177.5079250000001</v>
      </c>
      <c r="BD3" s="124">
        <f t="shared" si="41"/>
        <v>1389.4593515000001</v>
      </c>
      <c r="BE3" s="124">
        <f t="shared" si="41"/>
        <v>1632.6147380125003</v>
      </c>
      <c r="BF3" s="124">
        <f t="shared" si="41"/>
        <v>1893.8330960945002</v>
      </c>
      <c r="BG3" s="124">
        <f t="shared" si="41"/>
        <v>2177.9080605086751</v>
      </c>
      <c r="BH3" s="124">
        <f t="shared" ref="BH3:BH4" si="42">BG3*(1+BH10)</f>
        <v>2482.8151889798901</v>
      </c>
      <c r="BI3" s="124">
        <f t="shared" ref="BI3:BI4" si="43">BH3*(1+BI10)</f>
        <v>2780.7530116574771</v>
      </c>
      <c r="BJ3" s="124">
        <f t="shared" ref="BJ3:BJ4" si="44">BI3*(1+BJ10)</f>
        <v>3058.8283128232251</v>
      </c>
      <c r="BK3" s="124">
        <f t="shared" ref="BK3:BK4" si="45">BJ3*(1+BK10)</f>
        <v>3303.5345778490832</v>
      </c>
    </row>
    <row r="4" spans="2:97" ht="15.75" customHeight="1">
      <c r="B4" s="73" t="s">
        <v>782</v>
      </c>
      <c r="S4" s="2">
        <v>96</v>
      </c>
      <c r="T4" s="2">
        <v>99</v>
      </c>
      <c r="U4" s="2">
        <v>92</v>
      </c>
      <c r="V4" s="13">
        <f>381-SUM(S4:U4)</f>
        <v>94</v>
      </c>
      <c r="W4" s="2">
        <v>91</v>
      </c>
      <c r="X4" s="2">
        <v>96</v>
      </c>
      <c r="Y4" s="13">
        <v>96.89</v>
      </c>
      <c r="Z4" s="13">
        <f>379-SUM(W4:Y4)</f>
        <v>95.110000000000014</v>
      </c>
      <c r="AA4" s="13">
        <v>97.596000000000004</v>
      </c>
      <c r="AZ4" s="2">
        <f t="shared" ref="AZ4:AZ41" si="46">SUM(S4:V4)</f>
        <v>381</v>
      </c>
      <c r="BA4" s="2">
        <f t="shared" si="40"/>
        <v>379</v>
      </c>
      <c r="BB4" s="124">
        <f t="shared" si="41"/>
        <v>388.47499999999997</v>
      </c>
      <c r="BC4" s="124">
        <f t="shared" si="41"/>
        <v>389.25194999999997</v>
      </c>
      <c r="BD4" s="124">
        <f t="shared" si="41"/>
        <v>391.19820974999993</v>
      </c>
      <c r="BE4" s="124">
        <f t="shared" si="41"/>
        <v>395.11019184749995</v>
      </c>
      <c r="BF4" s="124">
        <f t="shared" si="41"/>
        <v>399.06129376597494</v>
      </c>
      <c r="BG4" s="124">
        <f t="shared" si="41"/>
        <v>401.05660023480476</v>
      </c>
      <c r="BH4" s="124">
        <f t="shared" si="42"/>
        <v>403.06188323597877</v>
      </c>
      <c r="BI4" s="124">
        <f t="shared" si="43"/>
        <v>405.0771926521586</v>
      </c>
      <c r="BJ4" s="124">
        <f t="shared" si="44"/>
        <v>407.10257861541936</v>
      </c>
      <c r="BK4" s="124">
        <f t="shared" si="45"/>
        <v>409.13809150849642</v>
      </c>
    </row>
    <row r="5" spans="2:97">
      <c r="B5" s="1" t="s">
        <v>305</v>
      </c>
      <c r="O5" s="13"/>
      <c r="P5" s="13"/>
      <c r="Q5" s="13"/>
      <c r="R5" s="13"/>
      <c r="S5" s="2">
        <f t="shared" ref="S5:X5" si="47">SUM(S3:S4)</f>
        <v>241</v>
      </c>
      <c r="T5" s="2">
        <f t="shared" si="47"/>
        <v>261</v>
      </c>
      <c r="U5" s="2">
        <f t="shared" si="47"/>
        <v>271</v>
      </c>
      <c r="V5" s="2">
        <f t="shared" si="47"/>
        <v>285</v>
      </c>
      <c r="W5" s="2">
        <f t="shared" si="47"/>
        <v>279</v>
      </c>
      <c r="X5" s="2">
        <f t="shared" si="47"/>
        <v>299</v>
      </c>
      <c r="Y5" s="13">
        <f>SUM(Y3:Y4)</f>
        <v>300.89</v>
      </c>
      <c r="Z5" s="13">
        <f>SUM(Z3:Z4)</f>
        <v>315.11</v>
      </c>
      <c r="AA5" s="13">
        <f>SUM(AA3:AA4)</f>
        <v>324.14</v>
      </c>
      <c r="AZ5" s="2">
        <f t="shared" si="46"/>
        <v>1058</v>
      </c>
      <c r="BA5" s="2">
        <f>SUM(W5:Z5)</f>
        <v>1194</v>
      </c>
      <c r="BB5" s="124">
        <f t="shared" ref="BB5:BG5" si="48">BB3+BB4</f>
        <v>1370.55</v>
      </c>
      <c r="BC5" s="124">
        <f t="shared" si="48"/>
        <v>1566.7598750000002</v>
      </c>
      <c r="BD5" s="124">
        <f t="shared" si="48"/>
        <v>1780.6575612500001</v>
      </c>
      <c r="BE5" s="124">
        <f t="shared" si="48"/>
        <v>2027.7249298600002</v>
      </c>
      <c r="BF5" s="124">
        <f t="shared" si="48"/>
        <v>2292.8943898604753</v>
      </c>
      <c r="BG5" s="124">
        <f t="shared" si="48"/>
        <v>2578.9646607434797</v>
      </c>
      <c r="BH5" s="124">
        <f t="shared" ref="BH5:BK5" si="49">BH3+BH4</f>
        <v>2885.8770722158688</v>
      </c>
      <c r="BI5" s="124">
        <f t="shared" si="49"/>
        <v>3185.8302043096355</v>
      </c>
      <c r="BJ5" s="124">
        <f t="shared" si="49"/>
        <v>3465.9308914386447</v>
      </c>
      <c r="BK5" s="124">
        <f t="shared" si="49"/>
        <v>3712.6726693575797</v>
      </c>
    </row>
    <row r="6" spans="2:97">
      <c r="AA6" s="2"/>
    </row>
    <row r="7" spans="2:97">
      <c r="B7" s="2" t="s">
        <v>309</v>
      </c>
      <c r="G7" s="14"/>
      <c r="H7" s="14"/>
      <c r="I7" s="14"/>
      <c r="J7" s="14"/>
      <c r="K7" s="14"/>
      <c r="L7" s="14"/>
      <c r="M7" s="14"/>
      <c r="N7" s="14"/>
      <c r="O7" s="14"/>
      <c r="P7" s="14"/>
      <c r="Q7" s="14"/>
      <c r="R7" s="14"/>
      <c r="S7" s="14">
        <f t="shared" ref="S7:X7" si="50">S3/S5</f>
        <v>0.60165975103734437</v>
      </c>
      <c r="T7" s="14">
        <f t="shared" si="50"/>
        <v>0.62068965517241381</v>
      </c>
      <c r="U7" s="14">
        <f t="shared" si="50"/>
        <v>0.66051660516605171</v>
      </c>
      <c r="V7" s="14">
        <f t="shared" si="50"/>
        <v>0.6701754385964912</v>
      </c>
      <c r="W7" s="14">
        <f t="shared" si="50"/>
        <v>0.6738351254480287</v>
      </c>
      <c r="X7" s="14">
        <f t="shared" si="50"/>
        <v>0.67892976588628762</v>
      </c>
      <c r="Y7" s="14">
        <f>Y3/Y5</f>
        <v>0.6779886337199641</v>
      </c>
      <c r="Z7" s="14">
        <f>Z3/Z5</f>
        <v>0.69816889340230393</v>
      </c>
      <c r="AA7" s="14">
        <f>AA3/AA5</f>
        <v>0.69890787931140874</v>
      </c>
      <c r="AW7" s="14"/>
      <c r="AX7" s="14"/>
      <c r="AY7" s="14"/>
      <c r="AZ7" s="14">
        <f>AVERAGE(S7:V7)</f>
        <v>0.63826036249307527</v>
      </c>
      <c r="BA7" s="14">
        <f>AVERAGE(W7:Z7)</f>
        <v>0.68223060461414609</v>
      </c>
      <c r="BB7" s="125">
        <f>BB3/BB5</f>
        <v>0.71655539746816976</v>
      </c>
      <c r="BC7" s="125">
        <f t="shared" ref="BC7:BE7" si="51">BC3/BC5</f>
        <v>0.75155608960179676</v>
      </c>
      <c r="BD7" s="125">
        <f t="shared" si="51"/>
        <v>0.78030688310705654</v>
      </c>
      <c r="BE7" s="125">
        <f t="shared" si="51"/>
        <v>0.80514605998616418</v>
      </c>
      <c r="BF7" s="125">
        <f t="shared" ref="BF7:BG7" si="52">BF3/BF5</f>
        <v>0.82595740321460753</v>
      </c>
      <c r="BG7" s="125">
        <f t="shared" si="52"/>
        <v>0.84448929978001885</v>
      </c>
      <c r="BH7" s="125">
        <f t="shared" ref="BH7:BK7" si="53">BH3/BH5</f>
        <v>0.86033296874752363</v>
      </c>
      <c r="BI7" s="125">
        <f t="shared" si="53"/>
        <v>0.87285035087425888</v>
      </c>
      <c r="BJ7" s="125">
        <f t="shared" si="53"/>
        <v>0.88254163416211717</v>
      </c>
      <c r="BK7" s="125">
        <f t="shared" si="53"/>
        <v>0.88979957891647599</v>
      </c>
    </row>
    <row r="8" spans="2:97">
      <c r="B8" s="2" t="s">
        <v>310</v>
      </c>
      <c r="G8" s="14"/>
      <c r="H8" s="14"/>
      <c r="I8" s="14"/>
      <c r="J8" s="14"/>
      <c r="K8" s="14"/>
      <c r="L8" s="14"/>
      <c r="M8" s="14"/>
      <c r="N8" s="14"/>
      <c r="O8" s="14"/>
      <c r="P8" s="14"/>
      <c r="Q8" s="14"/>
      <c r="R8" s="14"/>
      <c r="S8" s="14">
        <f t="shared" ref="S8:X8" si="54">S4/S5</f>
        <v>0.39834024896265557</v>
      </c>
      <c r="T8" s="14">
        <f t="shared" si="54"/>
        <v>0.37931034482758619</v>
      </c>
      <c r="U8" s="14">
        <f t="shared" si="54"/>
        <v>0.33948339483394835</v>
      </c>
      <c r="V8" s="14">
        <f t="shared" si="54"/>
        <v>0.3298245614035088</v>
      </c>
      <c r="W8" s="14">
        <f t="shared" si="54"/>
        <v>0.32616487455197135</v>
      </c>
      <c r="X8" s="14">
        <f t="shared" si="54"/>
        <v>0.32107023411371238</v>
      </c>
      <c r="Y8" s="14">
        <f>Y4/Y5</f>
        <v>0.3220113662800359</v>
      </c>
      <c r="Z8" s="14">
        <f>Z4/Z5</f>
        <v>0.30183110659769607</v>
      </c>
      <c r="AA8" s="14">
        <f>AA4/AA5</f>
        <v>0.30109212068859137</v>
      </c>
      <c r="AW8" s="14"/>
      <c r="AX8" s="14"/>
      <c r="AY8" s="14"/>
      <c r="AZ8" s="14">
        <f t="shared" ref="AZ8" si="55">AVERAGE(S8:V8)</f>
        <v>0.36173963750692473</v>
      </c>
      <c r="BA8" s="14">
        <f>AVERAGE(W8:Z8)</f>
        <v>0.31776939538585391</v>
      </c>
      <c r="BB8" s="125">
        <f>BB4/BB5</f>
        <v>0.28344460253183029</v>
      </c>
      <c r="BC8" s="125">
        <f t="shared" ref="BC8:BE8" si="56">BC4/BC5</f>
        <v>0.24844391039820313</v>
      </c>
      <c r="BD8" s="125">
        <f t="shared" si="56"/>
        <v>0.21969311689294349</v>
      </c>
      <c r="BE8" s="125">
        <f t="shared" si="56"/>
        <v>0.19485394001383582</v>
      </c>
      <c r="BF8" s="125">
        <f t="shared" ref="BF8:BG8" si="57">BF4/BF5</f>
        <v>0.17404259678539236</v>
      </c>
      <c r="BG8" s="125">
        <f t="shared" si="57"/>
        <v>0.15551070021998117</v>
      </c>
      <c r="BH8" s="125">
        <f t="shared" ref="BH8:BK8" si="58">BH4/BH5</f>
        <v>0.13966703125247637</v>
      </c>
      <c r="BI8" s="125">
        <f t="shared" si="58"/>
        <v>0.12714964912574123</v>
      </c>
      <c r="BJ8" s="125">
        <f t="shared" si="58"/>
        <v>0.11745836583788273</v>
      </c>
      <c r="BK8" s="125">
        <f t="shared" si="58"/>
        <v>0.11020042108352401</v>
      </c>
    </row>
    <row r="9" spans="2:97">
      <c r="G9" s="14"/>
      <c r="H9" s="14"/>
      <c r="I9" s="14"/>
      <c r="J9" s="14"/>
      <c r="K9" s="14"/>
      <c r="L9" s="14"/>
      <c r="M9" s="14"/>
      <c r="N9" s="14"/>
      <c r="O9" s="14"/>
      <c r="P9" s="14"/>
      <c r="Q9" s="14"/>
      <c r="R9" s="14"/>
      <c r="S9" s="14"/>
      <c r="T9" s="14"/>
      <c r="U9" s="14"/>
      <c r="V9" s="14"/>
      <c r="W9" s="14"/>
      <c r="X9" s="14"/>
      <c r="Y9" s="14"/>
      <c r="Z9" s="14"/>
      <c r="AA9" s="14"/>
      <c r="AW9" s="14"/>
      <c r="AX9" s="14"/>
      <c r="AY9" s="14"/>
      <c r="AZ9" s="14"/>
      <c r="BA9" s="14"/>
    </row>
    <row r="10" spans="2:97">
      <c r="B10" s="2" t="s">
        <v>311</v>
      </c>
      <c r="G10" s="14"/>
      <c r="H10" s="14"/>
      <c r="I10" s="14"/>
      <c r="J10" s="14"/>
      <c r="K10" s="14"/>
      <c r="L10" s="14"/>
      <c r="M10" s="14"/>
      <c r="N10" s="14"/>
      <c r="O10" s="14"/>
      <c r="P10" s="14"/>
      <c r="Q10" s="14"/>
      <c r="R10" s="14"/>
      <c r="S10" s="14"/>
      <c r="T10" s="14"/>
      <c r="U10" s="14"/>
      <c r="V10" s="14"/>
      <c r="W10" s="14">
        <f t="shared" ref="W10:X10" si="59">W3/S3-1</f>
        <v>0.29655172413793096</v>
      </c>
      <c r="X10" s="14">
        <f t="shared" si="59"/>
        <v>0.25308641975308643</v>
      </c>
      <c r="Y10" s="14">
        <f>Y3/U3-1</f>
        <v>0.13966480446927365</v>
      </c>
      <c r="Z10" s="14">
        <f>Z3/V3-1</f>
        <v>0.1518324607329844</v>
      </c>
      <c r="AA10" s="14">
        <f>AA3/W3-1</f>
        <v>0.20502127659574465</v>
      </c>
      <c r="AW10" s="14"/>
      <c r="AX10" s="14"/>
      <c r="AY10" s="14"/>
      <c r="AZ10" s="14"/>
      <c r="BA10" s="14">
        <f>BA3/AZ3-1</f>
        <v>0.20384047267355987</v>
      </c>
      <c r="BB10" s="125">
        <v>0.20499999999999999</v>
      </c>
      <c r="BC10" s="125">
        <v>0.19900000000000001</v>
      </c>
      <c r="BD10" s="125">
        <v>0.18</v>
      </c>
      <c r="BE10" s="125">
        <v>0.17499999999999999</v>
      </c>
      <c r="BF10" s="125">
        <v>0.16</v>
      </c>
      <c r="BG10" s="125">
        <v>0.15</v>
      </c>
      <c r="BH10" s="125">
        <v>0.14000000000000001</v>
      </c>
      <c r="BI10" s="125">
        <v>0.12</v>
      </c>
      <c r="BJ10" s="125">
        <v>0.1</v>
      </c>
      <c r="BK10" s="125">
        <v>0.08</v>
      </c>
    </row>
    <row r="11" spans="2:97">
      <c r="B11" s="2" t="s">
        <v>312</v>
      </c>
      <c r="G11" s="14"/>
      <c r="H11" s="14"/>
      <c r="I11" s="14"/>
      <c r="J11" s="14"/>
      <c r="K11" s="14"/>
      <c r="L11" s="14"/>
      <c r="M11" s="14"/>
      <c r="N11" s="14"/>
      <c r="O11" s="14"/>
      <c r="P11" s="14"/>
      <c r="Q11" s="14"/>
      <c r="R11" s="14"/>
      <c r="S11" s="14"/>
      <c r="T11" s="14"/>
      <c r="U11" s="14"/>
      <c r="V11" s="14"/>
      <c r="W11" s="14">
        <f t="shared" ref="W11:AA11" si="60">W4/S4-1</f>
        <v>-5.208333333333337E-2</v>
      </c>
      <c r="X11" s="14">
        <f t="shared" si="60"/>
        <v>-3.0303030303030276E-2</v>
      </c>
      <c r="Y11" s="14">
        <f t="shared" si="60"/>
        <v>5.3152173913043388E-2</v>
      </c>
      <c r="Z11" s="14">
        <f>Z4/V4-1</f>
        <v>1.1808510638297909E-2</v>
      </c>
      <c r="AA11" s="14">
        <f t="shared" si="60"/>
        <v>7.2483516483516475E-2</v>
      </c>
      <c r="AW11" s="14"/>
      <c r="AX11" s="14"/>
      <c r="AY11" s="14"/>
      <c r="AZ11" s="14"/>
      <c r="BA11" s="14">
        <f>BA4/AZ4-1</f>
        <v>-5.2493438320210251E-3</v>
      </c>
      <c r="BB11" s="125">
        <v>2.5000000000000001E-2</v>
      </c>
      <c r="BC11" s="125">
        <v>2E-3</v>
      </c>
      <c r="BD11" s="125">
        <v>5.0000000000000001E-3</v>
      </c>
      <c r="BE11" s="125">
        <v>0.01</v>
      </c>
      <c r="BF11" s="125">
        <v>0.01</v>
      </c>
      <c r="BG11" s="125">
        <v>5.0000000000000001E-3</v>
      </c>
      <c r="BH11" s="125">
        <v>5.0000000000000001E-3</v>
      </c>
      <c r="BI11" s="125">
        <v>5.0000000000000001E-3</v>
      </c>
      <c r="BJ11" s="125">
        <v>5.0000000000000001E-3</v>
      </c>
      <c r="BK11" s="125">
        <v>5.0000000000000001E-3</v>
      </c>
    </row>
    <row r="12" spans="2:97">
      <c r="B12" s="2" t="s">
        <v>308</v>
      </c>
      <c r="G12" s="14"/>
      <c r="H12" s="14"/>
      <c r="I12" s="14"/>
      <c r="J12" s="14"/>
      <c r="K12" s="14"/>
      <c r="L12" s="14"/>
      <c r="M12" s="14"/>
      <c r="N12" s="14"/>
      <c r="O12" s="14"/>
      <c r="P12" s="14"/>
      <c r="Q12" s="14"/>
      <c r="R12" s="14"/>
      <c r="S12" s="14"/>
      <c r="T12" s="14"/>
      <c r="U12" s="14"/>
      <c r="V12" s="14"/>
      <c r="W12" s="14">
        <f t="shared" ref="W12:X12" si="61">W5/S5-1</f>
        <v>0.15767634854771795</v>
      </c>
      <c r="X12" s="14">
        <f t="shared" si="61"/>
        <v>0.14559386973180066</v>
      </c>
      <c r="Y12" s="14">
        <f>Y5/U5-1</f>
        <v>0.11029520295202944</v>
      </c>
      <c r="Z12" s="14">
        <f>Z5/V5-1</f>
        <v>0.10564912280701755</v>
      </c>
      <c r="AA12" s="14">
        <f>AA5/W5-1</f>
        <v>0.16179211469534049</v>
      </c>
      <c r="AW12" s="14"/>
      <c r="AX12" s="14"/>
      <c r="AY12" s="14"/>
      <c r="AZ12" s="14"/>
      <c r="BA12" s="14">
        <f>BA5/AZ5-1</f>
        <v>0.12854442344045358</v>
      </c>
      <c r="BB12" s="125">
        <f t="shared" ref="BB12:BG12" si="62">BB5/BA5-1</f>
        <v>0.14786432160804019</v>
      </c>
      <c r="BC12" s="125">
        <f t="shared" si="62"/>
        <v>0.14316141330122956</v>
      </c>
      <c r="BD12" s="125">
        <f t="shared" si="62"/>
        <v>0.13652231568031437</v>
      </c>
      <c r="BE12" s="125">
        <f t="shared" si="62"/>
        <v>0.13875063571266444</v>
      </c>
      <c r="BF12" s="125">
        <f t="shared" si="62"/>
        <v>0.13077190899792468</v>
      </c>
      <c r="BG12" s="125">
        <f t="shared" si="62"/>
        <v>0.12476382346611792</v>
      </c>
      <c r="BH12" s="125">
        <f t="shared" ref="BH12" si="63">BH5/BG5-1</f>
        <v>0.11900605547030274</v>
      </c>
      <c r="BI12" s="125">
        <f t="shared" ref="BI12" si="64">BI5/BH5-1</f>
        <v>0.10393829140596522</v>
      </c>
      <c r="BJ12" s="125">
        <f t="shared" ref="BJ12" si="65">BJ5/BI5-1</f>
        <v>8.7920783333054864E-2</v>
      </c>
      <c r="BK12" s="125">
        <f t="shared" ref="BK12" si="66">BK5/BJ5-1</f>
        <v>7.1190622562158801E-2</v>
      </c>
    </row>
    <row r="13" spans="2:97">
      <c r="B13" s="1"/>
      <c r="AA13" s="2"/>
    </row>
    <row r="14" spans="2:97">
      <c r="B14" s="2" t="s">
        <v>306</v>
      </c>
      <c r="C14" s="13">
        <v>82.510999999999996</v>
      </c>
      <c r="D14" s="13">
        <v>86.373999999999995</v>
      </c>
      <c r="E14" s="13">
        <v>90.272000000000006</v>
      </c>
      <c r="F14" s="13">
        <f>355.22-SUM(C14:E14)</f>
        <v>96.063000000000045</v>
      </c>
      <c r="G14" s="2">
        <v>96</v>
      </c>
      <c r="H14" s="2">
        <v>78</v>
      </c>
      <c r="I14" s="2">
        <v>110</v>
      </c>
      <c r="J14" s="13">
        <f>400-SUM(G14:I14)</f>
        <v>116</v>
      </c>
      <c r="K14" s="2">
        <v>120</v>
      </c>
      <c r="L14" s="2">
        <v>128</v>
      </c>
      <c r="M14" s="2">
        <v>135</v>
      </c>
      <c r="N14" s="13">
        <f>528-SUM(K14:M14)</f>
        <v>145</v>
      </c>
      <c r="O14" s="2">
        <v>144</v>
      </c>
      <c r="P14" s="2">
        <v>141</v>
      </c>
      <c r="Q14" s="2">
        <v>149</v>
      </c>
      <c r="R14" s="13">
        <f>592-SUM(O14:Q14)</f>
        <v>158</v>
      </c>
      <c r="S14" s="2">
        <v>172</v>
      </c>
      <c r="T14" s="2">
        <v>186</v>
      </c>
      <c r="U14" s="2">
        <v>195</v>
      </c>
      <c r="V14" s="13">
        <f>757-SUM(S14:U14)</f>
        <v>204</v>
      </c>
      <c r="W14" s="2">
        <v>210</v>
      </c>
      <c r="X14" s="2">
        <v>218</v>
      </c>
      <c r="Y14" s="2">
        <v>226</v>
      </c>
      <c r="Z14" s="13">
        <f>902-SUM(W14:Y14)</f>
        <v>248</v>
      </c>
      <c r="AA14" s="13">
        <v>256.86</v>
      </c>
      <c r="AV14" s="12">
        <f>SUM(C14:F14)</f>
        <v>355.22</v>
      </c>
      <c r="AW14" s="2">
        <f t="shared" ref="AW14:AW41" si="67">SUM(G14:J14)</f>
        <v>400</v>
      </c>
      <c r="AX14" s="2">
        <f>SUM(K14:M14)</f>
        <v>383</v>
      </c>
      <c r="AY14" s="2">
        <f>SUM(O14:Q14)</f>
        <v>434</v>
      </c>
      <c r="AZ14" s="2">
        <f t="shared" si="46"/>
        <v>757</v>
      </c>
      <c r="BA14" s="2">
        <f t="shared" ref="BA14:BA41" si="68">SUM(W14:Z14)</f>
        <v>902</v>
      </c>
    </row>
    <row r="15" spans="2:97">
      <c r="B15" s="2" t="s">
        <v>307</v>
      </c>
      <c r="C15" s="13">
        <f>9.522+36.406</f>
        <v>45.927999999999997</v>
      </c>
      <c r="D15" s="13">
        <f>12.231+35.596</f>
        <v>47.826999999999998</v>
      </c>
      <c r="E15" s="13">
        <f>11.214+38.016</f>
        <v>49.23</v>
      </c>
      <c r="F15" s="13">
        <f>42.52+149.663-SUM(C15:E15)</f>
        <v>49.198000000000036</v>
      </c>
      <c r="G15" s="2">
        <v>41</v>
      </c>
      <c r="H15" s="2">
        <v>27</v>
      </c>
      <c r="I15" s="2">
        <v>41</v>
      </c>
      <c r="J15" s="13">
        <f>160-SUM(G15:I15)</f>
        <v>51</v>
      </c>
      <c r="K15" s="2">
        <v>49</v>
      </c>
      <c r="L15" s="2">
        <v>56</v>
      </c>
      <c r="M15" s="2">
        <v>55</v>
      </c>
      <c r="N15" s="13">
        <f>220-SUM(K15:M15)</f>
        <v>60</v>
      </c>
      <c r="O15" s="2">
        <v>60</v>
      </c>
      <c r="P15" s="2">
        <v>67</v>
      </c>
      <c r="Q15" s="2">
        <v>65</v>
      </c>
      <c r="R15" s="13">
        <f>255-SUM(O15:Q15)</f>
        <v>63</v>
      </c>
      <c r="S15" s="2">
        <v>69</v>
      </c>
      <c r="T15" s="2">
        <v>75</v>
      </c>
      <c r="U15" s="2">
        <v>76</v>
      </c>
      <c r="V15" s="13">
        <f>301-SUM(S15:U15)</f>
        <v>81</v>
      </c>
      <c r="W15" s="2">
        <v>69</v>
      </c>
      <c r="X15" s="2">
        <v>81</v>
      </c>
      <c r="Y15" s="2">
        <v>75</v>
      </c>
      <c r="Z15" s="13">
        <f>292-SUM(W15:Y15)</f>
        <v>67</v>
      </c>
      <c r="AA15" s="13">
        <v>67.28</v>
      </c>
      <c r="AV15" s="12">
        <f>SUM(C15:F15)</f>
        <v>192.18300000000002</v>
      </c>
      <c r="AW15" s="2">
        <f t="shared" si="67"/>
        <v>160</v>
      </c>
      <c r="AX15" s="2">
        <f>SUM(K15:M15)</f>
        <v>160</v>
      </c>
      <c r="AY15" s="2">
        <f>SUM(O15:Q15)</f>
        <v>192</v>
      </c>
      <c r="AZ15" s="2">
        <f t="shared" si="46"/>
        <v>301</v>
      </c>
      <c r="BA15" s="2">
        <f t="shared" si="68"/>
        <v>292</v>
      </c>
    </row>
    <row r="16" spans="2:97">
      <c r="B16" s="1" t="s">
        <v>305</v>
      </c>
      <c r="C16" s="13">
        <f t="shared" ref="C16:F16" si="69">SUM(C14:C15)</f>
        <v>128.43899999999999</v>
      </c>
      <c r="D16" s="13">
        <f t="shared" si="69"/>
        <v>134.20099999999999</v>
      </c>
      <c r="E16" s="13">
        <f t="shared" si="69"/>
        <v>139.50200000000001</v>
      </c>
      <c r="F16" s="13">
        <f t="shared" si="69"/>
        <v>145.26100000000008</v>
      </c>
      <c r="G16" s="2">
        <f t="shared" ref="G16:X16" si="70">SUM(G14:G15)</f>
        <v>137</v>
      </c>
      <c r="H16" s="2">
        <f t="shared" si="70"/>
        <v>105</v>
      </c>
      <c r="I16" s="2">
        <f t="shared" si="70"/>
        <v>151</v>
      </c>
      <c r="J16" s="2">
        <f t="shared" si="70"/>
        <v>167</v>
      </c>
      <c r="K16" s="2">
        <f t="shared" si="70"/>
        <v>169</v>
      </c>
      <c r="L16" s="2">
        <f t="shared" si="70"/>
        <v>184</v>
      </c>
      <c r="M16" s="2">
        <f t="shared" ref="M16" si="71">SUM(M14:M15)</f>
        <v>190</v>
      </c>
      <c r="N16" s="2">
        <f t="shared" ref="N16" si="72">SUM(N14:N15)</f>
        <v>205</v>
      </c>
      <c r="O16" s="2">
        <f t="shared" si="70"/>
        <v>204</v>
      </c>
      <c r="P16" s="2">
        <f t="shared" si="70"/>
        <v>208</v>
      </c>
      <c r="Q16" s="2">
        <f t="shared" ref="Q16" si="73">SUM(Q14:Q15)</f>
        <v>214</v>
      </c>
      <c r="R16" s="2">
        <f t="shared" ref="R16" si="74">SUM(R14:R15)</f>
        <v>221</v>
      </c>
      <c r="S16" s="2">
        <f t="shared" si="70"/>
        <v>241</v>
      </c>
      <c r="T16" s="2">
        <f t="shared" si="70"/>
        <v>261</v>
      </c>
      <c r="U16" s="2">
        <f t="shared" si="70"/>
        <v>271</v>
      </c>
      <c r="V16" s="2">
        <f t="shared" si="70"/>
        <v>285</v>
      </c>
      <c r="W16" s="2">
        <f t="shared" si="70"/>
        <v>279</v>
      </c>
      <c r="X16" s="2">
        <f t="shared" si="70"/>
        <v>299</v>
      </c>
      <c r="Y16" s="2">
        <f>SUM(Y14:Y15)</f>
        <v>301</v>
      </c>
      <c r="Z16" s="2">
        <f>SUM(Z14:Z15)</f>
        <v>315</v>
      </c>
      <c r="AA16" s="13">
        <f>SUM(AA14:AA15)</f>
        <v>324.14</v>
      </c>
      <c r="AV16" s="12">
        <f>SUM(C16:F16)</f>
        <v>547.40300000000002</v>
      </c>
      <c r="AW16" s="2">
        <f t="shared" si="67"/>
        <v>560</v>
      </c>
      <c r="AX16" s="2">
        <f t="shared" ref="AX16:AX41" si="75">SUM(K16:N16)</f>
        <v>748</v>
      </c>
      <c r="AY16" s="2">
        <f t="shared" ref="AY16:AY41" si="76">SUM(O16:R16)</f>
        <v>847</v>
      </c>
      <c r="AZ16" s="2">
        <f t="shared" si="46"/>
        <v>1058</v>
      </c>
      <c r="BA16" s="2">
        <f t="shared" si="68"/>
        <v>1194</v>
      </c>
    </row>
    <row r="17" spans="2:94">
      <c r="AA17" s="2"/>
    </row>
    <row r="18" spans="2:94">
      <c r="B18" s="2" t="s">
        <v>313</v>
      </c>
      <c r="C18" s="14">
        <f t="shared" ref="C18:F18" si="77">C14/C16</f>
        <v>0.64241390854802671</v>
      </c>
      <c r="D18" s="14">
        <f t="shared" si="77"/>
        <v>0.64361666455540567</v>
      </c>
      <c r="E18" s="14">
        <f t="shared" si="77"/>
        <v>0.64710183366546714</v>
      </c>
      <c r="F18" s="14">
        <f t="shared" si="77"/>
        <v>0.66131308472335992</v>
      </c>
      <c r="G18" s="14">
        <f t="shared" ref="G18:J18" si="78">G14/G16</f>
        <v>0.7007299270072993</v>
      </c>
      <c r="H18" s="14">
        <f t="shared" si="78"/>
        <v>0.74285714285714288</v>
      </c>
      <c r="I18" s="14">
        <f t="shared" si="78"/>
        <v>0.72847682119205293</v>
      </c>
      <c r="J18" s="14">
        <f t="shared" si="78"/>
        <v>0.69461077844311381</v>
      </c>
      <c r="K18" s="14">
        <f t="shared" ref="K18:Y18" si="79">K14/K16</f>
        <v>0.7100591715976331</v>
      </c>
      <c r="L18" s="14">
        <f t="shared" si="79"/>
        <v>0.69565217391304346</v>
      </c>
      <c r="M18" s="14">
        <f t="shared" si="79"/>
        <v>0.71052631578947367</v>
      </c>
      <c r="N18" s="14">
        <f t="shared" si="79"/>
        <v>0.70731707317073167</v>
      </c>
      <c r="O18" s="14">
        <f t="shared" si="79"/>
        <v>0.70588235294117652</v>
      </c>
      <c r="P18" s="14">
        <f t="shared" si="79"/>
        <v>0.67788461538461542</v>
      </c>
      <c r="Q18" s="14">
        <f t="shared" si="79"/>
        <v>0.69626168224299068</v>
      </c>
      <c r="R18" s="14">
        <f t="shared" si="79"/>
        <v>0.71493212669683259</v>
      </c>
      <c r="S18" s="14">
        <f t="shared" si="79"/>
        <v>0.7136929460580913</v>
      </c>
      <c r="T18" s="14">
        <f t="shared" si="79"/>
        <v>0.71264367816091956</v>
      </c>
      <c r="U18" s="14">
        <f t="shared" si="79"/>
        <v>0.71955719557195574</v>
      </c>
      <c r="V18" s="14">
        <f t="shared" si="79"/>
        <v>0.71578947368421053</v>
      </c>
      <c r="W18" s="14">
        <f t="shared" si="79"/>
        <v>0.75268817204301075</v>
      </c>
      <c r="X18" s="14">
        <f t="shared" si="79"/>
        <v>0.72909698996655514</v>
      </c>
      <c r="Y18" s="14">
        <f t="shared" si="79"/>
        <v>0.75083056478405319</v>
      </c>
      <c r="Z18" s="14">
        <f>Z14/Z16</f>
        <v>0.78730158730158728</v>
      </c>
      <c r="AA18" s="14">
        <f t="shared" ref="AA18" si="80">AA14/AA16</f>
        <v>0.79243536743382492</v>
      </c>
      <c r="AV18" s="14">
        <f t="shared" ref="AV18:BA18" si="81">AV14/AV16</f>
        <v>0.64891862119864163</v>
      </c>
      <c r="AW18" s="14">
        <f t="shared" si="81"/>
        <v>0.7142857142857143</v>
      </c>
      <c r="AX18" s="14">
        <f t="shared" si="81"/>
        <v>0.51203208556149737</v>
      </c>
      <c r="AY18" s="14">
        <f t="shared" si="81"/>
        <v>0.51239669421487599</v>
      </c>
      <c r="AZ18" s="14">
        <f t="shared" si="81"/>
        <v>0.71550094517958407</v>
      </c>
      <c r="BA18" s="14">
        <f t="shared" si="81"/>
        <v>0.75544388609715241</v>
      </c>
    </row>
    <row r="19" spans="2:94">
      <c r="B19" s="2" t="s">
        <v>314</v>
      </c>
      <c r="C19" s="14">
        <f t="shared" ref="C19:Z19" si="82">C15/C16</f>
        <v>0.35758609145197329</v>
      </c>
      <c r="D19" s="14">
        <f t="shared" si="82"/>
        <v>0.35638333544459433</v>
      </c>
      <c r="E19" s="14">
        <f t="shared" si="82"/>
        <v>0.3528981663345328</v>
      </c>
      <c r="F19" s="14">
        <f t="shared" si="82"/>
        <v>0.33868691527664002</v>
      </c>
      <c r="G19" s="14">
        <f t="shared" si="82"/>
        <v>0.29927007299270075</v>
      </c>
      <c r="H19" s="14">
        <f t="shared" si="82"/>
        <v>0.25714285714285712</v>
      </c>
      <c r="I19" s="14">
        <f t="shared" si="82"/>
        <v>0.27152317880794702</v>
      </c>
      <c r="J19" s="14">
        <f t="shared" si="82"/>
        <v>0.30538922155688625</v>
      </c>
      <c r="K19" s="14">
        <f t="shared" si="82"/>
        <v>0.28994082840236685</v>
      </c>
      <c r="L19" s="14">
        <f t="shared" si="82"/>
        <v>0.30434782608695654</v>
      </c>
      <c r="M19" s="14">
        <f t="shared" si="82"/>
        <v>0.28947368421052633</v>
      </c>
      <c r="N19" s="14">
        <f t="shared" si="82"/>
        <v>0.29268292682926828</v>
      </c>
      <c r="O19" s="14">
        <f t="shared" si="82"/>
        <v>0.29411764705882354</v>
      </c>
      <c r="P19" s="14">
        <f t="shared" si="82"/>
        <v>0.32211538461538464</v>
      </c>
      <c r="Q19" s="14">
        <f t="shared" si="82"/>
        <v>0.30373831775700932</v>
      </c>
      <c r="R19" s="14">
        <f t="shared" si="82"/>
        <v>0.28506787330316741</v>
      </c>
      <c r="S19" s="14">
        <f t="shared" si="82"/>
        <v>0.2863070539419087</v>
      </c>
      <c r="T19" s="14">
        <f t="shared" si="82"/>
        <v>0.28735632183908044</v>
      </c>
      <c r="U19" s="14">
        <f t="shared" si="82"/>
        <v>0.28044280442804426</v>
      </c>
      <c r="V19" s="14">
        <f t="shared" si="82"/>
        <v>0.28421052631578947</v>
      </c>
      <c r="W19" s="14">
        <f t="shared" si="82"/>
        <v>0.24731182795698925</v>
      </c>
      <c r="X19" s="14">
        <f t="shared" si="82"/>
        <v>0.2709030100334448</v>
      </c>
      <c r="Y19" s="14">
        <f t="shared" si="82"/>
        <v>0.24916943521594684</v>
      </c>
      <c r="Z19" s="14">
        <f t="shared" si="82"/>
        <v>0.21269841269841269</v>
      </c>
      <c r="AA19" s="14">
        <f t="shared" ref="AA19" si="83">AA15/AA16</f>
        <v>0.20756463256617513</v>
      </c>
      <c r="AV19" s="14">
        <f t="shared" ref="AV19:BA19" si="84">AV15/AV16</f>
        <v>0.35108137880135842</v>
      </c>
      <c r="AW19" s="14">
        <f t="shared" si="84"/>
        <v>0.2857142857142857</v>
      </c>
      <c r="AX19" s="14">
        <f t="shared" si="84"/>
        <v>0.21390374331550802</v>
      </c>
      <c r="AY19" s="14">
        <f t="shared" si="84"/>
        <v>0.22668240850059032</v>
      </c>
      <c r="AZ19" s="14">
        <f t="shared" si="84"/>
        <v>0.28449905482041588</v>
      </c>
      <c r="BA19" s="14">
        <f t="shared" si="84"/>
        <v>0.24455611390284757</v>
      </c>
    </row>
    <row r="20" spans="2:9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V20" s="14"/>
      <c r="AW20" s="14"/>
      <c r="AX20" s="14"/>
      <c r="AY20" s="14"/>
      <c r="AZ20" s="14"/>
      <c r="BA20" s="14"/>
    </row>
    <row r="21" spans="2:94">
      <c r="B21" s="2" t="s">
        <v>315</v>
      </c>
      <c r="C21" s="14"/>
      <c r="D21" s="14"/>
      <c r="E21" s="14"/>
      <c r="F21" s="14"/>
      <c r="G21" s="14">
        <f t="shared" ref="G21:P23" si="85">G14/C14-1</f>
        <v>0.16348123280532301</v>
      </c>
      <c r="H21" s="14">
        <f t="shared" si="85"/>
        <v>-9.6950471206613043E-2</v>
      </c>
      <c r="I21" s="14">
        <f t="shared" si="85"/>
        <v>0.21853952499113771</v>
      </c>
      <c r="J21" s="14">
        <f t="shared" si="85"/>
        <v>0.20754088462779574</v>
      </c>
      <c r="K21" s="14">
        <f t="shared" si="85"/>
        <v>0.25</v>
      </c>
      <c r="L21" s="14">
        <f t="shared" si="85"/>
        <v>0.64102564102564097</v>
      </c>
      <c r="M21" s="14">
        <f t="shared" si="85"/>
        <v>0.22727272727272729</v>
      </c>
      <c r="N21" s="14">
        <f t="shared" si="85"/>
        <v>0.25</v>
      </c>
      <c r="O21" s="14">
        <f t="shared" si="85"/>
        <v>0.19999999999999996</v>
      </c>
      <c r="P21" s="14">
        <f t="shared" si="85"/>
        <v>0.1015625</v>
      </c>
      <c r="Q21" s="14">
        <f t="shared" ref="Q21:AA23" si="86">Q14/M14-1</f>
        <v>0.10370370370370363</v>
      </c>
      <c r="R21" s="14">
        <f t="shared" si="86"/>
        <v>8.9655172413793061E-2</v>
      </c>
      <c r="S21" s="14">
        <f t="shared" si="86"/>
        <v>0.19444444444444442</v>
      </c>
      <c r="T21" s="14">
        <f t="shared" si="86"/>
        <v>0.31914893617021267</v>
      </c>
      <c r="U21" s="14">
        <f t="shared" si="86"/>
        <v>0.3087248322147651</v>
      </c>
      <c r="V21" s="14">
        <f t="shared" si="86"/>
        <v>0.29113924050632911</v>
      </c>
      <c r="W21" s="14">
        <f t="shared" si="86"/>
        <v>0.22093023255813948</v>
      </c>
      <c r="X21" s="14">
        <f t="shared" si="86"/>
        <v>0.17204301075268824</v>
      </c>
      <c r="Y21" s="14">
        <f t="shared" si="86"/>
        <v>0.15897435897435908</v>
      </c>
      <c r="Z21" s="14">
        <f t="shared" si="86"/>
        <v>0.21568627450980382</v>
      </c>
      <c r="AA21" s="14">
        <f t="shared" si="86"/>
        <v>0.22314285714285731</v>
      </c>
      <c r="AV21" s="14"/>
      <c r="AW21" s="14">
        <f t="shared" ref="AW21:BA23" si="87">AW14/AV14-1</f>
        <v>0.12606272169359833</v>
      </c>
      <c r="AX21" s="14">
        <f t="shared" si="87"/>
        <v>-4.2499999999999982E-2</v>
      </c>
      <c r="AY21" s="14">
        <f t="shared" si="87"/>
        <v>0.13315926892950403</v>
      </c>
      <c r="AZ21" s="14">
        <f t="shared" si="87"/>
        <v>0.74423963133640547</v>
      </c>
      <c r="BA21" s="14">
        <f t="shared" si="87"/>
        <v>0.19154557463672384</v>
      </c>
    </row>
    <row r="22" spans="2:94">
      <c r="B22" s="2" t="s">
        <v>316</v>
      </c>
      <c r="C22" s="14"/>
      <c r="D22" s="14"/>
      <c r="E22" s="14"/>
      <c r="F22" s="14"/>
      <c r="G22" s="14">
        <f t="shared" si="85"/>
        <v>-0.10729838007315795</v>
      </c>
      <c r="H22" s="14">
        <f t="shared" si="85"/>
        <v>-0.43546532293474394</v>
      </c>
      <c r="I22" s="14">
        <f t="shared" si="85"/>
        <v>-0.16717448710136096</v>
      </c>
      <c r="J22" s="14">
        <f t="shared" si="85"/>
        <v>3.6627505183136844E-2</v>
      </c>
      <c r="K22" s="14">
        <f t="shared" si="85"/>
        <v>0.19512195121951215</v>
      </c>
      <c r="L22" s="14">
        <f t="shared" si="85"/>
        <v>1.074074074074074</v>
      </c>
      <c r="M22" s="14">
        <f t="shared" si="85"/>
        <v>0.34146341463414642</v>
      </c>
      <c r="N22" s="14">
        <f t="shared" si="85"/>
        <v>0.17647058823529416</v>
      </c>
      <c r="O22" s="14">
        <f t="shared" si="85"/>
        <v>0.22448979591836737</v>
      </c>
      <c r="P22" s="14">
        <f t="shared" si="85"/>
        <v>0.1964285714285714</v>
      </c>
      <c r="Q22" s="14">
        <f t="shared" si="86"/>
        <v>0.18181818181818188</v>
      </c>
      <c r="R22" s="14">
        <f t="shared" si="86"/>
        <v>5.0000000000000044E-2</v>
      </c>
      <c r="S22" s="14">
        <f t="shared" si="86"/>
        <v>0.14999999999999991</v>
      </c>
      <c r="T22" s="14">
        <f t="shared" si="86"/>
        <v>0.11940298507462677</v>
      </c>
      <c r="U22" s="14">
        <f t="shared" si="86"/>
        <v>0.1692307692307693</v>
      </c>
      <c r="V22" s="14">
        <f t="shared" si="86"/>
        <v>0.28571428571428581</v>
      </c>
      <c r="W22" s="14">
        <f t="shared" si="86"/>
        <v>0</v>
      </c>
      <c r="X22" s="14">
        <f t="shared" si="86"/>
        <v>8.0000000000000071E-2</v>
      </c>
      <c r="Y22" s="14">
        <f t="shared" si="86"/>
        <v>-1.3157894736842146E-2</v>
      </c>
      <c r="Z22" s="14">
        <f t="shared" si="86"/>
        <v>-0.1728395061728395</v>
      </c>
      <c r="AA22" s="14">
        <f t="shared" si="86"/>
        <v>-2.492753623188404E-2</v>
      </c>
      <c r="AV22" s="14"/>
      <c r="AW22" s="14">
        <f t="shared" si="87"/>
        <v>-0.16746018118147821</v>
      </c>
      <c r="AX22" s="14">
        <f t="shared" si="87"/>
        <v>0</v>
      </c>
      <c r="AY22" s="14">
        <f t="shared" si="87"/>
        <v>0.19999999999999996</v>
      </c>
      <c r="AZ22" s="14">
        <f t="shared" si="87"/>
        <v>0.56770833333333326</v>
      </c>
      <c r="BA22" s="14">
        <f t="shared" si="87"/>
        <v>-2.9900332225913595E-2</v>
      </c>
    </row>
    <row r="23" spans="2:94">
      <c r="B23" s="2" t="s">
        <v>308</v>
      </c>
      <c r="C23" s="14"/>
      <c r="D23" s="14"/>
      <c r="E23" s="14"/>
      <c r="F23" s="14"/>
      <c r="G23" s="14">
        <f t="shared" si="85"/>
        <v>6.6654209391228569E-2</v>
      </c>
      <c r="H23" s="14">
        <f t="shared" si="85"/>
        <v>-0.21759152316301666</v>
      </c>
      <c r="I23" s="14">
        <f t="shared" si="85"/>
        <v>8.2421757394159245E-2</v>
      </c>
      <c r="J23" s="14">
        <f t="shared" si="85"/>
        <v>0.14965475936417838</v>
      </c>
      <c r="K23" s="14">
        <f t="shared" si="85"/>
        <v>0.23357664233576636</v>
      </c>
      <c r="L23" s="14">
        <f t="shared" si="85"/>
        <v>0.75238095238095237</v>
      </c>
      <c r="M23" s="14">
        <f t="shared" si="85"/>
        <v>0.25827814569536423</v>
      </c>
      <c r="N23" s="14">
        <f t="shared" si="85"/>
        <v>0.22754491017964074</v>
      </c>
      <c r="O23" s="14">
        <f t="shared" si="85"/>
        <v>0.20710059171597628</v>
      </c>
      <c r="P23" s="14">
        <f t="shared" si="85"/>
        <v>0.13043478260869557</v>
      </c>
      <c r="Q23" s="14">
        <f t="shared" si="86"/>
        <v>0.12631578947368416</v>
      </c>
      <c r="R23" s="14">
        <f t="shared" si="86"/>
        <v>7.8048780487804947E-2</v>
      </c>
      <c r="S23" s="14">
        <f t="shared" si="86"/>
        <v>0.18137254901960786</v>
      </c>
      <c r="T23" s="14">
        <f t="shared" si="86"/>
        <v>0.25480769230769229</v>
      </c>
      <c r="U23" s="14">
        <f t="shared" si="86"/>
        <v>0.26635514018691597</v>
      </c>
      <c r="V23" s="14">
        <f t="shared" si="86"/>
        <v>0.28959276018099556</v>
      </c>
      <c r="W23" s="14">
        <f t="shared" si="86"/>
        <v>0.15767634854771795</v>
      </c>
      <c r="X23" s="14">
        <f t="shared" si="86"/>
        <v>0.14559386973180066</v>
      </c>
      <c r="Y23" s="14">
        <f t="shared" si="86"/>
        <v>0.11070110701107017</v>
      </c>
      <c r="Z23" s="14">
        <f t="shared" si="86"/>
        <v>0.10526315789473695</v>
      </c>
      <c r="AA23" s="14">
        <f t="shared" si="86"/>
        <v>0.16179211469534049</v>
      </c>
      <c r="AV23" s="14"/>
      <c r="AW23" s="14">
        <f t="shared" si="87"/>
        <v>2.3012296242439279E-2</v>
      </c>
      <c r="AX23" s="14">
        <f t="shared" si="87"/>
        <v>0.33571428571428563</v>
      </c>
      <c r="AY23" s="14">
        <f t="shared" si="87"/>
        <v>0.13235294117647056</v>
      </c>
      <c r="AZ23" s="14">
        <f t="shared" si="87"/>
        <v>0.2491145218417945</v>
      </c>
      <c r="BA23" s="14">
        <f t="shared" si="87"/>
        <v>0.12854442344045358</v>
      </c>
    </row>
    <row r="24" spans="2:94">
      <c r="AA24" s="2"/>
    </row>
    <row r="25" spans="2:94">
      <c r="AA25" s="2"/>
    </row>
    <row r="26" spans="2:94" s="1" customFormat="1">
      <c r="B26" s="1" t="s">
        <v>303</v>
      </c>
      <c r="C26" s="16">
        <f>C16</f>
        <v>128.43899999999999</v>
      </c>
      <c r="D26" s="16">
        <f>D16</f>
        <v>134.20099999999999</v>
      </c>
      <c r="E26" s="16">
        <f>E16</f>
        <v>139.50200000000001</v>
      </c>
      <c r="F26" s="16">
        <f>F16</f>
        <v>145.26100000000008</v>
      </c>
      <c r="G26" s="16">
        <v>137.30000000000001</v>
      </c>
      <c r="H26" s="16">
        <v>105.1</v>
      </c>
      <c r="I26" s="16">
        <v>151.1</v>
      </c>
      <c r="J26" s="16">
        <f>560.412-SUM(G26:I26)</f>
        <v>166.91200000000003</v>
      </c>
      <c r="K26" s="16">
        <v>169.2</v>
      </c>
      <c r="L26" s="16">
        <v>184.3</v>
      </c>
      <c r="M26" s="16">
        <v>190.1</v>
      </c>
      <c r="N26" s="16">
        <f>747.59-SUM(K26:M26)</f>
        <v>203.99</v>
      </c>
      <c r="O26" s="16">
        <v>203.9</v>
      </c>
      <c r="P26" s="16">
        <v>208.3</v>
      </c>
      <c r="Q26" s="16">
        <v>213.7</v>
      </c>
      <c r="R26" s="16">
        <f>847.133-SUM(O26:Q26)</f>
        <v>221.23299999999995</v>
      </c>
      <c r="S26" s="16">
        <v>241.4</v>
      </c>
      <c r="T26" s="16">
        <v>261.5</v>
      </c>
      <c r="U26" s="16">
        <v>270.89999999999998</v>
      </c>
      <c r="V26" s="16">
        <f>1058.52-SUM(S26:U26)</f>
        <v>284.72000000000003</v>
      </c>
      <c r="W26" s="16">
        <v>278.7</v>
      </c>
      <c r="X26" s="16">
        <v>299.39999999999998</v>
      </c>
      <c r="Y26" s="16">
        <v>301</v>
      </c>
      <c r="Z26" s="16">
        <f>1194.6-SUM(W26:Y26)</f>
        <v>315.5</v>
      </c>
      <c r="AA26" s="16">
        <f>AA16</f>
        <v>324.14</v>
      </c>
      <c r="AB26" s="123"/>
      <c r="AC26" s="123"/>
      <c r="AD26" s="123"/>
      <c r="AE26" s="123"/>
      <c r="AF26" s="123"/>
      <c r="AG26" s="123"/>
      <c r="AH26" s="123"/>
      <c r="AI26" s="123"/>
      <c r="AJ26" s="123"/>
      <c r="AK26" s="123"/>
      <c r="AL26" s="123"/>
      <c r="AV26" s="17">
        <f t="shared" ref="AV26:AV41" si="88">SUM(C26:F26)</f>
        <v>547.40300000000002</v>
      </c>
      <c r="AW26" s="17">
        <f t="shared" si="67"/>
        <v>560.41200000000003</v>
      </c>
      <c r="AX26" s="17">
        <f t="shared" si="75"/>
        <v>747.59</v>
      </c>
      <c r="AY26" s="17">
        <f t="shared" si="76"/>
        <v>847.13300000000004</v>
      </c>
      <c r="AZ26" s="17">
        <f t="shared" si="46"/>
        <v>1058.52</v>
      </c>
      <c r="BA26" s="17">
        <f t="shared" si="68"/>
        <v>1194.5999999999999</v>
      </c>
      <c r="BB26" s="126">
        <f t="shared" ref="BB26:BG26" si="89">BB5</f>
        <v>1370.55</v>
      </c>
      <c r="BC26" s="126">
        <f t="shared" si="89"/>
        <v>1566.7598750000002</v>
      </c>
      <c r="BD26" s="126">
        <f t="shared" si="89"/>
        <v>1780.6575612500001</v>
      </c>
      <c r="BE26" s="126">
        <f t="shared" si="89"/>
        <v>2027.7249298600002</v>
      </c>
      <c r="BF26" s="126">
        <f t="shared" si="89"/>
        <v>2292.8943898604753</v>
      </c>
      <c r="BG26" s="126">
        <f t="shared" si="89"/>
        <v>2578.9646607434797</v>
      </c>
      <c r="BH26" s="126">
        <f t="shared" ref="BH26:BK26" si="90">BH5</f>
        <v>2885.8770722158688</v>
      </c>
      <c r="BI26" s="126">
        <f t="shared" si="90"/>
        <v>3185.8302043096355</v>
      </c>
      <c r="BJ26" s="126">
        <f t="shared" si="90"/>
        <v>3465.9308914386447</v>
      </c>
      <c r="BK26" s="126">
        <f t="shared" si="90"/>
        <v>3712.6726693575797</v>
      </c>
      <c r="BL26" s="123"/>
      <c r="BM26" s="123"/>
      <c r="BN26" s="123"/>
      <c r="BO26" s="123"/>
      <c r="BP26" s="123"/>
      <c r="BQ26" s="123"/>
      <c r="BR26" s="123"/>
      <c r="BS26" s="123"/>
      <c r="BT26" s="123"/>
      <c r="BU26" s="123"/>
      <c r="BV26" s="123"/>
      <c r="BW26" s="123"/>
      <c r="BX26" s="123"/>
      <c r="BY26" s="123"/>
      <c r="BZ26" s="123"/>
      <c r="CA26" s="123"/>
      <c r="CB26" s="123"/>
      <c r="CC26" s="123"/>
      <c r="CD26" s="123"/>
      <c r="CE26" s="123"/>
      <c r="CF26" s="123"/>
      <c r="CG26" s="123"/>
      <c r="CH26" s="123"/>
      <c r="CI26" s="123"/>
      <c r="CJ26" s="123"/>
      <c r="CK26" s="123"/>
      <c r="CL26" s="123"/>
      <c r="CM26" s="123"/>
      <c r="CN26" s="123"/>
      <c r="CO26" s="123"/>
      <c r="CP26" s="62"/>
    </row>
    <row r="27" spans="2:94">
      <c r="B27" s="2" t="s">
        <v>659</v>
      </c>
      <c r="C27" s="12">
        <v>44.529000000000003</v>
      </c>
      <c r="D27" s="12">
        <v>40.273000000000003</v>
      </c>
      <c r="E27" s="12">
        <v>49.3</v>
      </c>
      <c r="F27" s="12">
        <f>175-SUM(C27:E27)</f>
        <v>40.897999999999996</v>
      </c>
      <c r="G27" s="12">
        <v>49.3</v>
      </c>
      <c r="H27" s="12">
        <v>40.200000000000003</v>
      </c>
      <c r="I27" s="12">
        <v>60.152999999999999</v>
      </c>
      <c r="J27" s="12">
        <f>222.237-SUM(G27:I27)</f>
        <v>72.584000000000003</v>
      </c>
      <c r="K27" s="12">
        <v>57.866999999999997</v>
      </c>
      <c r="L27" s="12">
        <v>65.599999999999994</v>
      </c>
      <c r="M27" s="12">
        <v>70.2</v>
      </c>
      <c r="N27" s="12">
        <f>272.208-SUM(K27:M27)</f>
        <v>78.541000000000054</v>
      </c>
      <c r="O27" s="12">
        <v>76.5</v>
      </c>
      <c r="P27" s="12">
        <v>74.3</v>
      </c>
      <c r="Q27" s="12">
        <v>78.400000000000006</v>
      </c>
      <c r="R27" s="12">
        <f>311.926-SUM(O27:Q27)</f>
        <v>82.725999999999971</v>
      </c>
      <c r="S27" s="12">
        <v>90.3</v>
      </c>
      <c r="T27" s="12">
        <v>94.6</v>
      </c>
      <c r="U27" s="12">
        <v>93.2</v>
      </c>
      <c r="V27" s="12">
        <f>375.9-SUM(S27:U27)</f>
        <v>97.800000000000011</v>
      </c>
      <c r="W27" s="12">
        <v>97.5</v>
      </c>
      <c r="X27" s="12">
        <v>136.6</v>
      </c>
      <c r="Y27" s="12">
        <v>100.7</v>
      </c>
      <c r="Z27" s="12">
        <f>439.6-SUM(W27:Y27)</f>
        <v>104.80000000000001</v>
      </c>
      <c r="AA27" s="12">
        <v>108.25700000000001</v>
      </c>
      <c r="AV27" s="12">
        <f t="shared" si="88"/>
        <v>175</v>
      </c>
      <c r="AW27" s="12">
        <f t="shared" si="67"/>
        <v>222.23699999999999</v>
      </c>
      <c r="AX27" s="12">
        <f t="shared" si="75"/>
        <v>272.20800000000003</v>
      </c>
      <c r="AY27" s="12">
        <f t="shared" si="76"/>
        <v>311.92599999999999</v>
      </c>
      <c r="AZ27" s="12">
        <f t="shared" si="46"/>
        <v>375.9</v>
      </c>
      <c r="BA27" s="12">
        <f t="shared" si="68"/>
        <v>439.6</v>
      </c>
      <c r="BB27" s="127">
        <f t="shared" ref="BB27:BG27" si="91">BB26*(1-BB43)</f>
        <v>452.28149999999994</v>
      </c>
      <c r="BC27" s="127">
        <f t="shared" si="91"/>
        <v>493.52936062499998</v>
      </c>
      <c r="BD27" s="127">
        <f t="shared" si="91"/>
        <v>534.19726837500014</v>
      </c>
      <c r="BE27" s="127">
        <f t="shared" si="91"/>
        <v>594.12340444898018</v>
      </c>
      <c r="BF27" s="127">
        <f t="shared" si="91"/>
        <v>664.93937305953796</v>
      </c>
      <c r="BG27" s="127">
        <f t="shared" si="91"/>
        <v>740.16285763337874</v>
      </c>
      <c r="BH27" s="127">
        <f t="shared" ref="BH27:BK27" si="92">BH26*(1-BH43)</f>
        <v>819.58908850930686</v>
      </c>
      <c r="BI27" s="127">
        <f t="shared" si="92"/>
        <v>895.21828741100762</v>
      </c>
      <c r="BJ27" s="127">
        <f t="shared" si="92"/>
        <v>963.52878781994332</v>
      </c>
      <c r="BK27" s="127">
        <f t="shared" si="92"/>
        <v>1020.9849840733345</v>
      </c>
      <c r="BL27" s="127"/>
      <c r="BM27" s="127"/>
      <c r="BN27" s="127"/>
      <c r="BO27" s="127"/>
      <c r="BP27" s="127"/>
      <c r="BQ27" s="127"/>
      <c r="BR27" s="127"/>
      <c r="BS27" s="127"/>
      <c r="BT27" s="127"/>
      <c r="BU27" s="127"/>
      <c r="BV27" s="127"/>
      <c r="BW27" s="127"/>
      <c r="BX27" s="127"/>
      <c r="BY27" s="127"/>
      <c r="BZ27" s="127"/>
      <c r="CA27" s="127"/>
      <c r="CB27" s="127"/>
      <c r="CC27" s="127"/>
      <c r="CD27" s="127"/>
      <c r="CE27" s="127"/>
      <c r="CF27" s="127"/>
      <c r="CG27" s="127"/>
      <c r="CH27" s="127"/>
      <c r="CI27" s="127"/>
      <c r="CJ27" s="127"/>
      <c r="CK27" s="127"/>
      <c r="CL27" s="127"/>
      <c r="CM27" s="127"/>
      <c r="CN27" s="127"/>
      <c r="CO27" s="127"/>
      <c r="CP27" s="65"/>
    </row>
    <row r="28" spans="2:94">
      <c r="B28" s="2" t="s">
        <v>317</v>
      </c>
      <c r="C28" s="12">
        <f t="shared" ref="C28" si="93">C26-C27</f>
        <v>83.91</v>
      </c>
      <c r="D28" s="12">
        <f t="shared" ref="D28" si="94">D26-D27</f>
        <v>93.927999999999997</v>
      </c>
      <c r="E28" s="12">
        <f t="shared" ref="E28" si="95">E26-E27</f>
        <v>90.202000000000012</v>
      </c>
      <c r="F28" s="12">
        <f t="shared" ref="F28" si="96">F26-F27</f>
        <v>104.36300000000008</v>
      </c>
      <c r="G28" s="12">
        <f t="shared" ref="G28:X28" si="97">G26-G27</f>
        <v>88.000000000000014</v>
      </c>
      <c r="H28" s="12">
        <f t="shared" si="97"/>
        <v>64.899999999999991</v>
      </c>
      <c r="I28" s="12">
        <f t="shared" si="97"/>
        <v>90.947000000000003</v>
      </c>
      <c r="J28" s="12">
        <f>J26-J27</f>
        <v>94.328000000000031</v>
      </c>
      <c r="K28" s="12">
        <f t="shared" si="97"/>
        <v>111.333</v>
      </c>
      <c r="L28" s="12">
        <f t="shared" si="97"/>
        <v>118.70000000000002</v>
      </c>
      <c r="M28" s="12">
        <f t="shared" si="97"/>
        <v>119.89999999999999</v>
      </c>
      <c r="N28" s="12">
        <f t="shared" si="97"/>
        <v>125.44899999999996</v>
      </c>
      <c r="O28" s="12">
        <f t="shared" si="97"/>
        <v>127.4</v>
      </c>
      <c r="P28" s="12">
        <f t="shared" si="97"/>
        <v>134</v>
      </c>
      <c r="Q28" s="12">
        <f t="shared" si="97"/>
        <v>135.29999999999998</v>
      </c>
      <c r="R28" s="12">
        <f t="shared" si="97"/>
        <v>138.50699999999998</v>
      </c>
      <c r="S28" s="12">
        <f t="shared" si="97"/>
        <v>151.10000000000002</v>
      </c>
      <c r="T28" s="12">
        <f t="shared" si="97"/>
        <v>166.9</v>
      </c>
      <c r="U28" s="12">
        <f t="shared" si="97"/>
        <v>177.7</v>
      </c>
      <c r="V28" s="12">
        <f t="shared" si="97"/>
        <v>186.92000000000002</v>
      </c>
      <c r="W28" s="12">
        <f t="shared" si="97"/>
        <v>181.2</v>
      </c>
      <c r="X28" s="12">
        <f t="shared" si="97"/>
        <v>162.79999999999998</v>
      </c>
      <c r="Y28" s="12">
        <f>Y26-Y27</f>
        <v>200.3</v>
      </c>
      <c r="Z28" s="12">
        <f t="shared" ref="Z28" si="98">Z26-Z27</f>
        <v>210.7</v>
      </c>
      <c r="AA28" s="12">
        <f>AA26-AA27</f>
        <v>215.88299999999998</v>
      </c>
      <c r="AV28" s="12">
        <f t="shared" ref="AV28:AZ28" si="99">AV26-AV27</f>
        <v>372.40300000000002</v>
      </c>
      <c r="AW28" s="12">
        <f t="shared" si="99"/>
        <v>338.17500000000007</v>
      </c>
      <c r="AX28" s="12">
        <f t="shared" si="99"/>
        <v>475.38200000000001</v>
      </c>
      <c r="AY28" s="12">
        <f t="shared" si="99"/>
        <v>535.20700000000011</v>
      </c>
      <c r="AZ28" s="12">
        <f t="shared" si="99"/>
        <v>682.62</v>
      </c>
      <c r="BA28" s="12">
        <f>BA26-BA27</f>
        <v>754.99999999999989</v>
      </c>
      <c r="BB28" s="127">
        <f t="shared" ref="BB28:BG28" si="100">BB26-BB27</f>
        <v>918.26850000000002</v>
      </c>
      <c r="BC28" s="127">
        <f t="shared" si="100"/>
        <v>1073.2305143750002</v>
      </c>
      <c r="BD28" s="127">
        <f t="shared" si="100"/>
        <v>1246.4602928750001</v>
      </c>
      <c r="BE28" s="127">
        <f t="shared" si="100"/>
        <v>1433.60152541102</v>
      </c>
      <c r="BF28" s="127">
        <f t="shared" si="100"/>
        <v>1627.9550168009373</v>
      </c>
      <c r="BG28" s="127">
        <f t="shared" si="100"/>
        <v>1838.801803110101</v>
      </c>
      <c r="BH28" s="127">
        <f t="shared" ref="BH28:BK28" si="101">BH26-BH27</f>
        <v>2066.287983706562</v>
      </c>
      <c r="BI28" s="127">
        <f t="shared" si="101"/>
        <v>2290.6119168986279</v>
      </c>
      <c r="BJ28" s="127">
        <f t="shared" si="101"/>
        <v>2502.4021036187014</v>
      </c>
      <c r="BK28" s="127">
        <f t="shared" si="101"/>
        <v>2691.6876852842452</v>
      </c>
      <c r="BL28" s="127"/>
      <c r="BM28" s="127"/>
      <c r="BN28" s="127"/>
      <c r="BO28" s="127"/>
      <c r="BP28" s="127"/>
      <c r="BQ28" s="127"/>
      <c r="BR28" s="127"/>
      <c r="BS28" s="127"/>
      <c r="BT28" s="127"/>
      <c r="BU28" s="127"/>
      <c r="BV28" s="127"/>
      <c r="BW28" s="127"/>
      <c r="BX28" s="127"/>
      <c r="BY28" s="127"/>
      <c r="BZ28" s="127"/>
      <c r="CA28" s="127"/>
      <c r="CB28" s="127"/>
      <c r="CC28" s="127"/>
      <c r="CD28" s="127"/>
      <c r="CE28" s="127"/>
      <c r="CF28" s="127"/>
      <c r="CG28" s="127"/>
      <c r="CH28" s="127"/>
      <c r="CI28" s="127"/>
      <c r="CJ28" s="127"/>
      <c r="CK28" s="127"/>
      <c r="CL28" s="127"/>
      <c r="CM28" s="127"/>
      <c r="CN28" s="127"/>
      <c r="CO28" s="127"/>
      <c r="CP28" s="65"/>
    </row>
    <row r="29" spans="2:94">
      <c r="B29" s="2" t="s">
        <v>318</v>
      </c>
      <c r="C29" s="12">
        <v>11.667</v>
      </c>
      <c r="D29" s="12">
        <v>13.462</v>
      </c>
      <c r="E29" s="12">
        <v>12.946</v>
      </c>
      <c r="F29" s="12">
        <f>50-SUM(C29:E29)</f>
        <v>11.925000000000004</v>
      </c>
      <c r="G29" s="12">
        <v>12.946</v>
      </c>
      <c r="H29" s="12">
        <v>22.725000000000001</v>
      </c>
      <c r="I29" s="12">
        <v>34.923000000000002</v>
      </c>
      <c r="J29" s="12">
        <f>90.049-SUM(G29:I29)</f>
        <v>19.455000000000013</v>
      </c>
      <c r="K29" s="12">
        <v>18.076000000000001</v>
      </c>
      <c r="L29" s="12">
        <v>17.738</v>
      </c>
      <c r="M29" s="12">
        <v>16.73</v>
      </c>
      <c r="N29" s="12">
        <f>104.552-SUM(K29:M29)</f>
        <v>52.00800000000001</v>
      </c>
      <c r="O29" s="12">
        <v>20.56</v>
      </c>
      <c r="P29" s="12">
        <v>19.559000000000001</v>
      </c>
      <c r="Q29" s="12">
        <v>21.32</v>
      </c>
      <c r="R29" s="12">
        <f>79.407-SUM(O29:Q29)</f>
        <v>17.967999999999996</v>
      </c>
      <c r="S29" s="12">
        <v>19.98</v>
      </c>
      <c r="T29" s="12">
        <v>21.5</v>
      </c>
      <c r="U29" s="12">
        <v>21</v>
      </c>
      <c r="V29" s="12">
        <f>84.4-SUM(S29:U29)</f>
        <v>21.92</v>
      </c>
      <c r="W29" s="12">
        <v>24.6</v>
      </c>
      <c r="X29" s="12">
        <v>24.9</v>
      </c>
      <c r="Y29" s="12">
        <v>25.2</v>
      </c>
      <c r="Z29" s="12">
        <f>94.8-SUM(W29:Y29)</f>
        <v>20.099999999999994</v>
      </c>
      <c r="AA29" s="12">
        <v>22.077000000000002</v>
      </c>
      <c r="AV29" s="12">
        <f t="shared" si="88"/>
        <v>50</v>
      </c>
      <c r="AW29" s="12">
        <f t="shared" si="67"/>
        <v>90.049000000000007</v>
      </c>
      <c r="AX29" s="12">
        <f t="shared" si="75"/>
        <v>104.55200000000001</v>
      </c>
      <c r="AY29" s="12">
        <f t="shared" si="76"/>
        <v>79.406999999999996</v>
      </c>
      <c r="AZ29" s="12">
        <f t="shared" si="46"/>
        <v>84.4</v>
      </c>
      <c r="BA29" s="12">
        <f t="shared" si="68"/>
        <v>94.8</v>
      </c>
      <c r="BB29" s="127">
        <f t="shared" ref="BB29:BG29" si="102">BB26*BB44</f>
        <v>123.34949999999999</v>
      </c>
      <c r="BC29" s="127">
        <f t="shared" si="102"/>
        <v>148.84218812500001</v>
      </c>
      <c r="BD29" s="127">
        <f t="shared" si="102"/>
        <v>170.94312588</v>
      </c>
      <c r="BE29" s="127">
        <f t="shared" si="102"/>
        <v>196.68931819642003</v>
      </c>
      <c r="BF29" s="127">
        <f t="shared" si="102"/>
        <v>224.70365020632659</v>
      </c>
      <c r="BG29" s="127">
        <f t="shared" si="102"/>
        <v>255.3175014136045</v>
      </c>
      <c r="BH29" s="127">
        <f t="shared" ref="BH29:BK29" si="103">BH26*BH44</f>
        <v>288.58770722158687</v>
      </c>
      <c r="BI29" s="127">
        <f t="shared" si="103"/>
        <v>318.58302043096359</v>
      </c>
      <c r="BJ29" s="127">
        <f t="shared" si="103"/>
        <v>346.59308914386452</v>
      </c>
      <c r="BK29" s="127">
        <f t="shared" si="103"/>
        <v>371.26726693575802</v>
      </c>
      <c r="BL29" s="127"/>
      <c r="BM29" s="127"/>
      <c r="BN29" s="127"/>
      <c r="BO29" s="127"/>
      <c r="BP29" s="127"/>
      <c r="BQ29" s="127"/>
      <c r="BR29" s="127"/>
      <c r="BS29" s="127"/>
      <c r="BT29" s="127"/>
      <c r="BU29" s="127"/>
      <c r="BV29" s="127"/>
      <c r="BW29" s="127"/>
      <c r="BX29" s="127"/>
      <c r="BY29" s="127"/>
      <c r="BZ29" s="127"/>
      <c r="CA29" s="127"/>
      <c r="CB29" s="127"/>
      <c r="CC29" s="127"/>
      <c r="CD29" s="127"/>
      <c r="CE29" s="127"/>
      <c r="CF29" s="127"/>
      <c r="CG29" s="127"/>
      <c r="CH29" s="127"/>
      <c r="CI29" s="127"/>
      <c r="CJ29" s="127"/>
      <c r="CK29" s="127"/>
      <c r="CL29" s="127"/>
      <c r="CM29" s="127"/>
      <c r="CN29" s="127"/>
      <c r="CO29" s="127"/>
      <c r="CP29" s="65"/>
    </row>
    <row r="30" spans="2:94">
      <c r="B30" s="2" t="s">
        <v>319</v>
      </c>
      <c r="C30" s="12">
        <v>61.091000000000001</v>
      </c>
      <c r="D30" s="12">
        <v>67.665000000000006</v>
      </c>
      <c r="E30" s="12">
        <v>74.453000000000003</v>
      </c>
      <c r="F30" s="12">
        <f>280-SUM(C30:E30)</f>
        <v>76.790999999999997</v>
      </c>
      <c r="G30" s="12">
        <v>74.453000000000003</v>
      </c>
      <c r="H30" s="12">
        <v>59.8</v>
      </c>
      <c r="I30" s="12">
        <v>76.2</v>
      </c>
      <c r="J30" s="12">
        <f>287.068-SUM(G30:I30)</f>
        <v>76.615000000000009</v>
      </c>
      <c r="K30" s="12">
        <v>79.798000000000002</v>
      </c>
      <c r="L30" s="12">
        <v>90.63</v>
      </c>
      <c r="M30" s="12">
        <v>94.397000000000006</v>
      </c>
      <c r="N30" s="12">
        <f>378.331-SUM(K30:M30)</f>
        <v>113.50600000000003</v>
      </c>
      <c r="O30" s="12">
        <v>110.9</v>
      </c>
      <c r="P30" s="12">
        <v>114.61499999999999</v>
      </c>
      <c r="Q30" s="12">
        <v>108.57</v>
      </c>
      <c r="R30" s="12">
        <f>449.718-SUM(O30:Q30)</f>
        <v>115.63300000000004</v>
      </c>
      <c r="S30" s="12">
        <v>123.07</v>
      </c>
      <c r="T30" s="12">
        <v>127.4</v>
      </c>
      <c r="U30" s="12">
        <v>125.9</v>
      </c>
      <c r="V30" s="12">
        <f>506.4-SUM(S30:U30)</f>
        <v>130.02999999999997</v>
      </c>
      <c r="W30" s="12">
        <v>144.4</v>
      </c>
      <c r="X30" s="12">
        <v>141.9</v>
      </c>
      <c r="Y30" s="12">
        <v>139.69999999999999</v>
      </c>
      <c r="Z30" s="12">
        <f>574-SUM(W30:Y30)</f>
        <v>148</v>
      </c>
      <c r="AA30" s="12">
        <v>153.45599999999999</v>
      </c>
      <c r="AV30" s="12">
        <f t="shared" si="88"/>
        <v>280</v>
      </c>
      <c r="AW30" s="12">
        <f t="shared" si="67"/>
        <v>287.06799999999998</v>
      </c>
      <c r="AX30" s="12">
        <f t="shared" si="75"/>
        <v>378.33100000000002</v>
      </c>
      <c r="AY30" s="12">
        <f t="shared" si="76"/>
        <v>449.71800000000002</v>
      </c>
      <c r="AZ30" s="12">
        <f t="shared" si="46"/>
        <v>506.4</v>
      </c>
      <c r="BA30" s="12">
        <f t="shared" si="68"/>
        <v>574</v>
      </c>
      <c r="BB30" s="127">
        <f t="shared" ref="BB30:BG30" si="104">BB26*BB45</f>
        <v>616.74749999999995</v>
      </c>
      <c r="BC30" s="127">
        <f t="shared" si="104"/>
        <v>681.54054562500005</v>
      </c>
      <c r="BD30" s="127">
        <f t="shared" si="104"/>
        <v>730.06960011249998</v>
      </c>
      <c r="BE30" s="127">
        <f t="shared" si="104"/>
        <v>811.08997194400013</v>
      </c>
      <c r="BF30" s="127">
        <f t="shared" si="104"/>
        <v>905.69328399488779</v>
      </c>
      <c r="BG30" s="127">
        <f t="shared" si="104"/>
        <v>1013.5331116721876</v>
      </c>
      <c r="BH30" s="127">
        <f t="shared" ref="BH30:BK30" si="105">BH26*BH45</f>
        <v>1122.606181091973</v>
      </c>
      <c r="BI30" s="127">
        <f t="shared" si="105"/>
        <v>1229.7304588635193</v>
      </c>
      <c r="BJ30" s="127">
        <f t="shared" si="105"/>
        <v>1327.4515314210009</v>
      </c>
      <c r="BK30" s="127">
        <f t="shared" si="105"/>
        <v>1410.8156143558804</v>
      </c>
      <c r="BL30" s="127"/>
      <c r="BM30" s="127"/>
      <c r="BN30" s="127"/>
      <c r="BO30" s="127"/>
      <c r="BP30" s="127"/>
      <c r="BQ30" s="127"/>
      <c r="BR30" s="127"/>
      <c r="BS30" s="127"/>
      <c r="BT30" s="127"/>
      <c r="BU30" s="127"/>
      <c r="BV30" s="127"/>
      <c r="BW30" s="127"/>
      <c r="BX30" s="127"/>
      <c r="BY30" s="127"/>
      <c r="BZ30" s="127"/>
      <c r="CA30" s="127"/>
      <c r="CB30" s="127"/>
      <c r="CC30" s="127"/>
      <c r="CD30" s="127"/>
      <c r="CE30" s="127"/>
      <c r="CF30" s="127"/>
      <c r="CG30" s="127"/>
      <c r="CH30" s="127"/>
      <c r="CI30" s="127"/>
      <c r="CJ30" s="127"/>
      <c r="CK30" s="127"/>
      <c r="CL30" s="127"/>
      <c r="CM30" s="127"/>
      <c r="CN30" s="127"/>
      <c r="CO30" s="127"/>
      <c r="CP30" s="65"/>
    </row>
    <row r="31" spans="2:94">
      <c r="B31" s="2" t="s">
        <v>320</v>
      </c>
      <c r="C31" s="12">
        <v>0</v>
      </c>
      <c r="D31" s="12">
        <v>0</v>
      </c>
      <c r="E31" s="12">
        <v>0</v>
      </c>
      <c r="F31" s="12">
        <f>0-SUM(C31:E31)</f>
        <v>0</v>
      </c>
      <c r="G31" s="12">
        <v>0</v>
      </c>
      <c r="H31" s="12">
        <v>0</v>
      </c>
      <c r="I31" s="12">
        <v>0</v>
      </c>
      <c r="J31" s="12">
        <f>0-SUM(G31:I31)</f>
        <v>0</v>
      </c>
      <c r="K31" s="12">
        <v>0</v>
      </c>
      <c r="L31" s="12">
        <v>0</v>
      </c>
      <c r="M31" s="12">
        <v>0</v>
      </c>
      <c r="N31" s="12">
        <f>0-SUM(K31:M31)</f>
        <v>0</v>
      </c>
      <c r="O31" s="12">
        <v>0</v>
      </c>
      <c r="P31" s="12">
        <v>0</v>
      </c>
      <c r="Q31" s="12">
        <v>0</v>
      </c>
      <c r="R31" s="12">
        <f>0-SUM(O31:Q31)</f>
        <v>0</v>
      </c>
      <c r="S31" s="12">
        <v>0</v>
      </c>
      <c r="T31" s="12">
        <v>0</v>
      </c>
      <c r="U31" s="12">
        <v>18.2</v>
      </c>
      <c r="V31" s="12">
        <f>18.2-SUM(S31:U31)</f>
        <v>0</v>
      </c>
      <c r="W31" s="12">
        <v>0</v>
      </c>
      <c r="X31" s="12">
        <v>0</v>
      </c>
      <c r="Y31" s="12">
        <v>0</v>
      </c>
      <c r="Z31" s="12">
        <f>0-SUM(W31:Y31)</f>
        <v>0</v>
      </c>
      <c r="AA31" s="12">
        <v>0</v>
      </c>
      <c r="AV31" s="12">
        <f t="shared" si="88"/>
        <v>0</v>
      </c>
      <c r="AW31" s="12">
        <f t="shared" si="67"/>
        <v>0</v>
      </c>
      <c r="AX31" s="12">
        <f t="shared" si="75"/>
        <v>0</v>
      </c>
      <c r="AY31" s="12">
        <f t="shared" si="76"/>
        <v>0</v>
      </c>
      <c r="AZ31" s="12">
        <f t="shared" si="46"/>
        <v>18.2</v>
      </c>
      <c r="BA31" s="12">
        <f t="shared" si="68"/>
        <v>0</v>
      </c>
      <c r="BB31" s="127">
        <v>0</v>
      </c>
      <c r="BC31" s="127">
        <v>0</v>
      </c>
      <c r="BD31" s="127">
        <v>0</v>
      </c>
      <c r="BE31" s="127">
        <v>0</v>
      </c>
      <c r="BF31" s="127">
        <v>0</v>
      </c>
      <c r="BG31" s="127">
        <v>0</v>
      </c>
      <c r="BH31" s="127">
        <v>0</v>
      </c>
      <c r="BI31" s="127">
        <v>0</v>
      </c>
      <c r="BJ31" s="127">
        <v>0</v>
      </c>
      <c r="BK31" s="127">
        <v>0</v>
      </c>
      <c r="BL31" s="127"/>
      <c r="BM31" s="127"/>
      <c r="BN31" s="127"/>
      <c r="BO31" s="127"/>
      <c r="BP31" s="127"/>
      <c r="BQ31" s="127"/>
      <c r="BR31" s="127"/>
      <c r="BS31" s="127"/>
      <c r="BT31" s="127"/>
      <c r="BU31" s="127"/>
      <c r="BV31" s="127"/>
      <c r="BW31" s="127"/>
      <c r="BX31" s="127"/>
      <c r="BY31" s="127"/>
      <c r="BZ31" s="127"/>
      <c r="CA31" s="127"/>
      <c r="CB31" s="127"/>
      <c r="CC31" s="127"/>
      <c r="CD31" s="127"/>
      <c r="CE31" s="127"/>
      <c r="CF31" s="127"/>
      <c r="CG31" s="127"/>
      <c r="CH31" s="127"/>
      <c r="CI31" s="127"/>
      <c r="CJ31" s="127"/>
      <c r="CK31" s="127"/>
      <c r="CL31" s="127"/>
      <c r="CM31" s="127"/>
      <c r="CN31" s="127"/>
      <c r="CO31" s="127"/>
      <c r="CP31" s="65"/>
    </row>
    <row r="32" spans="2:94">
      <c r="B32" s="2" t="s">
        <v>321</v>
      </c>
      <c r="C32" s="12">
        <v>0</v>
      </c>
      <c r="D32" s="12">
        <v>0</v>
      </c>
      <c r="E32" s="12">
        <v>0</v>
      </c>
      <c r="F32" s="12">
        <f>0-SUM(C32:E32)</f>
        <v>0</v>
      </c>
      <c r="G32" s="12">
        <v>0</v>
      </c>
      <c r="H32" s="12">
        <v>0</v>
      </c>
      <c r="I32" s="12">
        <v>0</v>
      </c>
      <c r="J32" s="12">
        <f>0-SUM(G32:I32)</f>
        <v>0</v>
      </c>
      <c r="K32" s="12">
        <v>0</v>
      </c>
      <c r="L32" s="12">
        <v>0</v>
      </c>
      <c r="M32" s="12">
        <v>0</v>
      </c>
      <c r="N32" s="12">
        <f>0-SUM(K32:M32)</f>
        <v>0</v>
      </c>
      <c r="O32" s="12">
        <v>0</v>
      </c>
      <c r="P32" s="12">
        <v>0</v>
      </c>
      <c r="Q32" s="12">
        <v>0</v>
      </c>
      <c r="R32" s="12">
        <f>0-SUM(O32:Q32)</f>
        <v>0</v>
      </c>
      <c r="S32" s="12">
        <v>0</v>
      </c>
      <c r="T32" s="12">
        <v>0</v>
      </c>
      <c r="U32" s="12">
        <v>0</v>
      </c>
      <c r="V32" s="12">
        <f>0-SUM(S32:U32)</f>
        <v>0</v>
      </c>
      <c r="W32" s="12">
        <v>0</v>
      </c>
      <c r="X32" s="12">
        <v>76.900000000000006</v>
      </c>
      <c r="Y32" s="12">
        <v>0</v>
      </c>
      <c r="Z32" s="12">
        <f>76.94-SUM(W32:Y32)</f>
        <v>3.9999999999992042E-2</v>
      </c>
      <c r="AA32" s="12">
        <v>0</v>
      </c>
      <c r="AV32" s="12">
        <f t="shared" si="88"/>
        <v>0</v>
      </c>
      <c r="AW32" s="12">
        <f t="shared" si="67"/>
        <v>0</v>
      </c>
      <c r="AX32" s="12">
        <f t="shared" si="75"/>
        <v>0</v>
      </c>
      <c r="AY32" s="12">
        <f t="shared" si="76"/>
        <v>0</v>
      </c>
      <c r="AZ32" s="12">
        <f t="shared" si="46"/>
        <v>0</v>
      </c>
      <c r="BA32" s="12">
        <f>SUM(W32:Z32)</f>
        <v>76.94</v>
      </c>
      <c r="BB32" s="127">
        <v>115.3</v>
      </c>
      <c r="BC32" s="127">
        <v>0</v>
      </c>
      <c r="BD32" s="127">
        <v>0</v>
      </c>
      <c r="BE32" s="127">
        <v>0</v>
      </c>
      <c r="BF32" s="127">
        <v>0</v>
      </c>
      <c r="BG32" s="127">
        <v>0</v>
      </c>
      <c r="BH32" s="127">
        <v>0</v>
      </c>
      <c r="BI32" s="127">
        <v>0</v>
      </c>
      <c r="BJ32" s="127">
        <v>0</v>
      </c>
      <c r="BK32" s="127">
        <v>0</v>
      </c>
      <c r="BL32" s="127"/>
      <c r="BM32" s="127"/>
      <c r="BN32" s="127"/>
      <c r="BO32" s="127"/>
      <c r="BP32" s="127"/>
      <c r="BQ32" s="127"/>
      <c r="BR32" s="127"/>
      <c r="BS32" s="127"/>
      <c r="BT32" s="127"/>
      <c r="BU32" s="127"/>
      <c r="BV32" s="127"/>
      <c r="BW32" s="127"/>
      <c r="BX32" s="127"/>
      <c r="BY32" s="127"/>
      <c r="BZ32" s="127"/>
      <c r="CA32" s="127"/>
      <c r="CB32" s="127"/>
      <c r="CC32" s="127"/>
      <c r="CD32" s="127"/>
      <c r="CE32" s="127"/>
      <c r="CF32" s="127"/>
      <c r="CG32" s="127"/>
      <c r="CH32" s="127"/>
      <c r="CI32" s="127"/>
      <c r="CJ32" s="127"/>
      <c r="CK32" s="127"/>
      <c r="CL32" s="127"/>
      <c r="CM32" s="127"/>
      <c r="CN32" s="127"/>
      <c r="CO32" s="127"/>
      <c r="CP32" s="65"/>
    </row>
    <row r="33" spans="2:94">
      <c r="B33" s="2" t="s">
        <v>322</v>
      </c>
      <c r="C33" s="12">
        <f t="shared" ref="C33" si="106">C28-SUM(C29:C32)</f>
        <v>11.152000000000001</v>
      </c>
      <c r="D33" s="12">
        <f t="shared" ref="D33" si="107">D28-SUM(D29:D32)</f>
        <v>12.800999999999988</v>
      </c>
      <c r="E33" s="12">
        <f t="shared" ref="E33" si="108">E28-SUM(E29:E32)</f>
        <v>2.8030000000000115</v>
      </c>
      <c r="F33" s="12">
        <f t="shared" ref="F33" si="109">F28-SUM(F29:F32)</f>
        <v>15.647000000000077</v>
      </c>
      <c r="G33" s="12">
        <f t="shared" ref="G33:X33" si="110">G28-SUM(G29:G32)</f>
        <v>0.6010000000000133</v>
      </c>
      <c r="H33" s="12">
        <f t="shared" si="110"/>
        <v>-17.625000000000014</v>
      </c>
      <c r="I33" s="12">
        <f t="shared" si="110"/>
        <v>-20.176000000000002</v>
      </c>
      <c r="J33" s="12">
        <f>J28-SUM(J29:J32)</f>
        <v>-1.7419999999999902</v>
      </c>
      <c r="K33" s="12">
        <f t="shared" si="110"/>
        <v>13.459000000000003</v>
      </c>
      <c r="L33" s="12">
        <f t="shared" si="110"/>
        <v>10.332000000000022</v>
      </c>
      <c r="M33" s="12">
        <f t="shared" si="110"/>
        <v>8.7729999999999819</v>
      </c>
      <c r="N33" s="12">
        <f>N28-SUM(N29:N32)</f>
        <v>-40.065000000000083</v>
      </c>
      <c r="O33" s="12">
        <f t="shared" si="110"/>
        <v>-4.0600000000000023</v>
      </c>
      <c r="P33" s="12">
        <f t="shared" si="110"/>
        <v>-0.17400000000000659</v>
      </c>
      <c r="Q33" s="12">
        <f t="shared" si="110"/>
        <v>5.4099999999999966</v>
      </c>
      <c r="R33" s="12">
        <f t="shared" si="110"/>
        <v>4.9059999999999491</v>
      </c>
      <c r="S33" s="12">
        <f t="shared" si="110"/>
        <v>8.0500000000000398</v>
      </c>
      <c r="T33" s="12">
        <f t="shared" si="110"/>
        <v>18</v>
      </c>
      <c r="U33" s="12">
        <f t="shared" si="110"/>
        <v>12.599999999999994</v>
      </c>
      <c r="V33" s="12">
        <f t="shared" si="110"/>
        <v>34.970000000000027</v>
      </c>
      <c r="W33" s="12">
        <f t="shared" si="110"/>
        <v>12.199999999999989</v>
      </c>
      <c r="X33" s="12">
        <f t="shared" si="110"/>
        <v>-80.900000000000034</v>
      </c>
      <c r="Y33" s="12">
        <f>Y28-SUM(Y29:Y32)</f>
        <v>35.400000000000034</v>
      </c>
      <c r="Z33" s="12">
        <f t="shared" ref="Z33" si="111">Z28-SUM(Z29:Z32)</f>
        <v>42.56</v>
      </c>
      <c r="AA33" s="12">
        <f>AA28-SUM(AA29:AA32)</f>
        <v>40.349999999999994</v>
      </c>
      <c r="AV33" s="12">
        <f t="shared" ref="AV33:AZ33" si="112">AV28-SUM(AV29:AV32)</f>
        <v>42.40300000000002</v>
      </c>
      <c r="AW33" s="12">
        <f t="shared" si="112"/>
        <v>-38.941999999999894</v>
      </c>
      <c r="AX33" s="12">
        <f t="shared" si="112"/>
        <v>-7.5010000000000332</v>
      </c>
      <c r="AY33" s="12">
        <f t="shared" si="112"/>
        <v>6.0820000000001073</v>
      </c>
      <c r="AZ33" s="12">
        <f t="shared" si="112"/>
        <v>73.62</v>
      </c>
      <c r="BA33" s="12">
        <f>BA28-SUM(BA29:BA32)</f>
        <v>9.2599999999998772</v>
      </c>
      <c r="BB33" s="127">
        <f>BB28-SUM(BB29:BB32)+BB32</f>
        <v>178.17150000000009</v>
      </c>
      <c r="BC33" s="127">
        <f>BC28-SUM(BC29:BC32)</f>
        <v>242.84778062500015</v>
      </c>
      <c r="BD33" s="127">
        <f>BD28-SUM(BD29:BD32)</f>
        <v>345.44756688250004</v>
      </c>
      <c r="BE33" s="127">
        <f>BE28-SUM(BE29:BE32)</f>
        <v>425.82223527059989</v>
      </c>
      <c r="BF33" s="127">
        <f>BF28-SUM(BF29:BF32)</f>
        <v>497.55808259972287</v>
      </c>
      <c r="BG33" s="127">
        <f>BG28-SUM(BG29:BG32)</f>
        <v>569.95119002430897</v>
      </c>
      <c r="BH33" s="127">
        <f t="shared" ref="BH33:BK33" si="113">BH28-SUM(BH29:BH32)</f>
        <v>655.09409539300214</v>
      </c>
      <c r="BI33" s="127">
        <f t="shared" si="113"/>
        <v>742.29843760414497</v>
      </c>
      <c r="BJ33" s="127">
        <f t="shared" si="113"/>
        <v>828.35748305383595</v>
      </c>
      <c r="BK33" s="127">
        <f t="shared" si="113"/>
        <v>909.60480399260678</v>
      </c>
      <c r="BL33" s="127"/>
      <c r="BM33" s="127"/>
      <c r="BN33" s="127"/>
      <c r="BO33" s="127"/>
      <c r="BP33" s="127"/>
      <c r="BQ33" s="127"/>
      <c r="BR33" s="127"/>
      <c r="BS33" s="127"/>
      <c r="BT33" s="127"/>
      <c r="BU33" s="127"/>
      <c r="BV33" s="127"/>
      <c r="BW33" s="127"/>
      <c r="BX33" s="127"/>
      <c r="BY33" s="127"/>
      <c r="BZ33" s="127"/>
      <c r="CA33" s="127"/>
      <c r="CB33" s="127"/>
      <c r="CC33" s="127"/>
      <c r="CD33" s="127"/>
      <c r="CE33" s="127"/>
      <c r="CF33" s="127"/>
      <c r="CG33" s="127"/>
      <c r="CH33" s="127"/>
      <c r="CI33" s="127"/>
      <c r="CJ33" s="127"/>
      <c r="CK33" s="127"/>
      <c r="CL33" s="127"/>
      <c r="CM33" s="127"/>
      <c r="CN33" s="127"/>
      <c r="CO33" s="127"/>
      <c r="CP33" s="65"/>
    </row>
    <row r="34" spans="2:94">
      <c r="B34" s="2" t="s">
        <v>323</v>
      </c>
      <c r="C34" s="12">
        <f>0.733+0.024</f>
        <v>0.75700000000000001</v>
      </c>
      <c r="D34" s="12">
        <f>0.784-0.071</f>
        <v>0.71300000000000008</v>
      </c>
      <c r="E34" s="12">
        <f>0.299-1.555</f>
        <v>-1.256</v>
      </c>
      <c r="F34" s="12">
        <f>4-SUM(C34:E34)</f>
        <v>3.7859999999999996</v>
      </c>
      <c r="G34" s="12">
        <f>0.299-1.555</f>
        <v>-1.256</v>
      </c>
      <c r="H34" s="12">
        <f>0.108+0.508</f>
        <v>0.61599999999999999</v>
      </c>
      <c r="I34" s="12">
        <f>0.413+0.014</f>
        <v>0.42699999999999999</v>
      </c>
      <c r="J34" s="12">
        <f>1.267-0.243-SUM(G34:I34)</f>
        <v>1.2370000000000001</v>
      </c>
      <c r="K34" s="12">
        <f>0.48-1.476</f>
        <v>-0.996</v>
      </c>
      <c r="L34" s="12">
        <f>0.299-0.408</f>
        <v>-0.10899999999999999</v>
      </c>
      <c r="M34" s="12">
        <f>0.138-1.137</f>
        <v>-0.999</v>
      </c>
      <c r="N34" s="12">
        <f>0.938-3.939-SUM(K34:M34)</f>
        <v>-0.89700000000000024</v>
      </c>
      <c r="O34" s="12">
        <f>-0.041-1.01</f>
        <v>-1.0509999999999999</v>
      </c>
      <c r="P34" s="12">
        <f>-0.07-0.9</f>
        <v>-0.97</v>
      </c>
      <c r="Q34" s="12">
        <f>-0.04-2.35</f>
        <v>-2.39</v>
      </c>
      <c r="R34" s="12">
        <f>0.137-2.327-SUM(O34:Q34)</f>
        <v>2.2209999999999996</v>
      </c>
      <c r="S34" s="12">
        <v>0.64400000000000002</v>
      </c>
      <c r="T34" s="12">
        <v>1.6</v>
      </c>
      <c r="U34" s="12">
        <v>0.7</v>
      </c>
      <c r="V34" s="12">
        <f>6.09-SUM(S34:U34)</f>
        <v>3.1459999999999999</v>
      </c>
      <c r="W34" s="12">
        <v>2.5</v>
      </c>
      <c r="X34" s="12">
        <v>3.1</v>
      </c>
      <c r="Y34" s="12">
        <v>4.4000000000000004</v>
      </c>
      <c r="Z34" s="12">
        <f>11.59-SUM(W34:Y34)</f>
        <v>1.5899999999999999</v>
      </c>
      <c r="AA34" s="12">
        <v>3.508</v>
      </c>
      <c r="AV34" s="12">
        <f t="shared" si="88"/>
        <v>4</v>
      </c>
      <c r="AW34" s="12">
        <f t="shared" si="67"/>
        <v>1.024</v>
      </c>
      <c r="AX34" s="12">
        <f t="shared" si="75"/>
        <v>-3.0010000000000003</v>
      </c>
      <c r="AY34" s="12">
        <f t="shared" si="76"/>
        <v>-2.19</v>
      </c>
      <c r="AZ34" s="12">
        <f t="shared" si="46"/>
        <v>6.09</v>
      </c>
      <c r="BA34" s="12">
        <f t="shared" si="68"/>
        <v>11.59</v>
      </c>
      <c r="BB34" s="127">
        <f>BA50*$BD$52</f>
        <v>30.817999999999998</v>
      </c>
      <c r="BC34" s="127">
        <f t="shared" ref="BC34:BG34" si="114">BB50*$BD$52</f>
        <v>44.747568154</v>
      </c>
      <c r="BD34" s="127">
        <f t="shared" si="114"/>
        <v>63.916373340817927</v>
      </c>
      <c r="BE34" s="127">
        <f t="shared" si="114"/>
        <v>91.201298684582511</v>
      </c>
      <c r="BF34" s="127">
        <f t="shared" si="114"/>
        <v>125.66195126976334</v>
      </c>
      <c r="BG34" s="127">
        <f t="shared" si="114"/>
        <v>167.20081296723234</v>
      </c>
      <c r="BH34" s="127">
        <f t="shared" ref="BH34" si="115">BG50*$BD$52</f>
        <v>216.33346827062456</v>
      </c>
      <c r="BI34" s="127">
        <f t="shared" ref="BI34" si="116">BH50*$BD$52</f>
        <v>274.41585824393263</v>
      </c>
      <c r="BJ34" s="127">
        <f t="shared" ref="BJ34" si="117">BI50*$BD$52</f>
        <v>342.18189949079868</v>
      </c>
      <c r="BK34" s="127">
        <f t="shared" ref="BK34" si="118">BJ50*$BD$52</f>
        <v>420.2006904161637</v>
      </c>
      <c r="BL34" s="127"/>
      <c r="BM34" s="127"/>
      <c r="BN34" s="127"/>
      <c r="BO34" s="127"/>
      <c r="BP34" s="127"/>
      <c r="BQ34" s="127"/>
      <c r="BR34" s="127"/>
      <c r="BS34" s="127"/>
      <c r="BT34" s="127"/>
      <c r="BU34" s="127"/>
      <c r="BV34" s="127"/>
      <c r="BW34" s="127"/>
      <c r="BX34" s="127"/>
      <c r="BY34" s="127"/>
      <c r="BZ34" s="127"/>
      <c r="CA34" s="127"/>
      <c r="CB34" s="127"/>
      <c r="CC34" s="127"/>
      <c r="CD34" s="127"/>
      <c r="CE34" s="127"/>
      <c r="CF34" s="127"/>
      <c r="CG34" s="127"/>
      <c r="CH34" s="127"/>
      <c r="CI34" s="127"/>
      <c r="CJ34" s="127"/>
      <c r="CK34" s="127"/>
      <c r="CL34" s="127"/>
      <c r="CM34" s="127"/>
      <c r="CN34" s="127"/>
      <c r="CO34" s="127"/>
      <c r="CP34" s="65"/>
    </row>
    <row r="35" spans="2:94">
      <c r="B35" s="2" t="s">
        <v>324</v>
      </c>
      <c r="C35" s="12">
        <f t="shared" ref="C35" si="119">C33+C34</f>
        <v>11.909000000000001</v>
      </c>
      <c r="D35" s="12">
        <f t="shared" ref="D35" si="120">D33+D34</f>
        <v>13.513999999999989</v>
      </c>
      <c r="E35" s="12">
        <f t="shared" ref="E35" si="121">E33+E34</f>
        <v>1.5470000000000115</v>
      </c>
      <c r="F35" s="12">
        <f t="shared" ref="F35" si="122">F33+F34</f>
        <v>19.433000000000078</v>
      </c>
      <c r="G35" s="12">
        <f t="shared" ref="G35:T35" si="123">G33+G34</f>
        <v>-0.6549999999999867</v>
      </c>
      <c r="H35" s="12">
        <f t="shared" si="123"/>
        <v>-17.009000000000015</v>
      </c>
      <c r="I35" s="12">
        <f t="shared" si="123"/>
        <v>-19.749000000000002</v>
      </c>
      <c r="J35" s="12">
        <f t="shared" si="123"/>
        <v>-0.50499999999999012</v>
      </c>
      <c r="K35" s="12">
        <f t="shared" si="123"/>
        <v>12.463000000000003</v>
      </c>
      <c r="L35" s="12">
        <f t="shared" si="123"/>
        <v>10.223000000000022</v>
      </c>
      <c r="M35" s="12">
        <f t="shared" si="123"/>
        <v>7.7739999999999823</v>
      </c>
      <c r="N35" s="12">
        <f t="shared" si="123"/>
        <v>-40.962000000000081</v>
      </c>
      <c r="O35" s="12">
        <f t="shared" si="123"/>
        <v>-5.1110000000000024</v>
      </c>
      <c r="P35" s="12">
        <f t="shared" si="123"/>
        <v>-1.1440000000000066</v>
      </c>
      <c r="Q35" s="12">
        <f t="shared" si="123"/>
        <v>3.0199999999999965</v>
      </c>
      <c r="R35" s="12">
        <f t="shared" si="123"/>
        <v>7.1269999999999492</v>
      </c>
      <c r="S35" s="12">
        <f t="shared" si="123"/>
        <v>8.6940000000000399</v>
      </c>
      <c r="T35" s="12">
        <f t="shared" si="123"/>
        <v>19.600000000000001</v>
      </c>
      <c r="U35" s="12">
        <f>U33+U34</f>
        <v>13.299999999999994</v>
      </c>
      <c r="V35" s="12">
        <f t="shared" ref="V35:Z35" si="124">V33+V34</f>
        <v>38.116000000000028</v>
      </c>
      <c r="W35" s="12">
        <f t="shared" si="124"/>
        <v>14.699999999999989</v>
      </c>
      <c r="X35" s="12">
        <f t="shared" si="124"/>
        <v>-77.80000000000004</v>
      </c>
      <c r="Y35" s="12">
        <f t="shared" si="124"/>
        <v>39.800000000000033</v>
      </c>
      <c r="Z35" s="12">
        <f t="shared" si="124"/>
        <v>44.150000000000006</v>
      </c>
      <c r="AA35" s="12">
        <f t="shared" ref="AA35" si="125">AA33+AA34</f>
        <v>43.857999999999997</v>
      </c>
      <c r="AV35" s="12">
        <f t="shared" ref="AV35:AZ35" si="126">AV33+AV34</f>
        <v>46.40300000000002</v>
      </c>
      <c r="AW35" s="12">
        <f t="shared" si="126"/>
        <v>-37.917999999999893</v>
      </c>
      <c r="AX35" s="12">
        <f t="shared" si="126"/>
        <v>-10.502000000000034</v>
      </c>
      <c r="AY35" s="12">
        <f t="shared" si="126"/>
        <v>3.8920000000001074</v>
      </c>
      <c r="AZ35" s="12">
        <f t="shared" si="126"/>
        <v>79.710000000000008</v>
      </c>
      <c r="BA35" s="12">
        <f>BA33+BA34</f>
        <v>20.849999999999877</v>
      </c>
      <c r="BB35" s="127">
        <f t="shared" ref="BB35:BG35" si="127">BB33+BB34</f>
        <v>208.98950000000008</v>
      </c>
      <c r="BC35" s="127">
        <f t="shared" si="127"/>
        <v>287.59534877900018</v>
      </c>
      <c r="BD35" s="127">
        <f t="shared" si="127"/>
        <v>409.36394022331797</v>
      </c>
      <c r="BE35" s="127">
        <f t="shared" si="127"/>
        <v>517.02353395518242</v>
      </c>
      <c r="BF35" s="127">
        <f t="shared" si="127"/>
        <v>623.2200338694862</v>
      </c>
      <c r="BG35" s="127">
        <f t="shared" si="127"/>
        <v>737.15200299154128</v>
      </c>
      <c r="BH35" s="127">
        <f t="shared" ref="BH35:BK35" si="128">BH33+BH34</f>
        <v>871.42756366362664</v>
      </c>
      <c r="BI35" s="127">
        <f t="shared" si="128"/>
        <v>1016.7142958480777</v>
      </c>
      <c r="BJ35" s="127">
        <f t="shared" si="128"/>
        <v>1170.5393825446347</v>
      </c>
      <c r="BK35" s="127">
        <f t="shared" si="128"/>
        <v>1329.8054944087705</v>
      </c>
      <c r="BL35" s="127"/>
      <c r="BM35" s="127"/>
      <c r="BN35" s="127"/>
      <c r="BO35" s="127"/>
      <c r="BP35" s="127"/>
      <c r="BQ35" s="127"/>
      <c r="BR35" s="127"/>
      <c r="BS35" s="127"/>
      <c r="BT35" s="127"/>
      <c r="BU35" s="127"/>
      <c r="BV35" s="127"/>
      <c r="BW35" s="127"/>
      <c r="BX35" s="127"/>
      <c r="BY35" s="127"/>
      <c r="BZ35" s="127"/>
      <c r="CA35" s="127"/>
      <c r="CB35" s="127"/>
      <c r="CC35" s="127"/>
      <c r="CD35" s="127"/>
      <c r="CE35" s="127"/>
      <c r="CF35" s="127"/>
      <c r="CG35" s="127"/>
      <c r="CH35" s="127"/>
      <c r="CI35" s="127"/>
      <c r="CJ35" s="127"/>
      <c r="CK35" s="127"/>
      <c r="CL35" s="127"/>
      <c r="CM35" s="127"/>
      <c r="CN35" s="127"/>
      <c r="CO35" s="127"/>
      <c r="CP35" s="65"/>
    </row>
    <row r="36" spans="2:94">
      <c r="B36" s="2" t="s">
        <v>711</v>
      </c>
      <c r="C36" s="12">
        <v>1.4550000000000001</v>
      </c>
      <c r="D36" s="12">
        <v>-1.6339999999999999</v>
      </c>
      <c r="E36" s="12">
        <v>-1.6339999999999999</v>
      </c>
      <c r="F36" s="12">
        <f>-4-SUM(C36:E36)</f>
        <v>-2.1870000000000003</v>
      </c>
      <c r="G36" s="12">
        <v>-1.6339999999999999</v>
      </c>
      <c r="H36" s="12">
        <v>-4.1289999999999996</v>
      </c>
      <c r="I36" s="12">
        <v>-9.8550000000000004</v>
      </c>
      <c r="J36" s="12">
        <f>-18.761-SUM(G36:I36)</f>
        <v>-3.1429999999999989</v>
      </c>
      <c r="K36" s="12">
        <v>1.5409999999999999</v>
      </c>
      <c r="L36" s="12">
        <v>1.9</v>
      </c>
      <c r="M36" s="12">
        <v>-0.249</v>
      </c>
      <c r="N36" s="12">
        <f>-13.125-SUM(K36:M36)</f>
        <v>-16.317</v>
      </c>
      <c r="O36" s="12">
        <v>-5.1829999999999998</v>
      </c>
      <c r="P36" s="12">
        <v>2.52</v>
      </c>
      <c r="Q36" s="12">
        <v>5.3</v>
      </c>
      <c r="R36" s="12">
        <f>5.894-SUM(O36:Q36)</f>
        <v>3.2570000000000001</v>
      </c>
      <c r="S36" s="12">
        <v>0.09</v>
      </c>
      <c r="T36" s="12">
        <v>0.5</v>
      </c>
      <c r="U36" s="12">
        <v>4.09</v>
      </c>
      <c r="V36" s="12">
        <f>-11.3-SUM(S36:U36)</f>
        <v>-15.98</v>
      </c>
      <c r="W36" s="12">
        <v>3.6</v>
      </c>
      <c r="X36" s="12">
        <v>-17.600000000000001</v>
      </c>
      <c r="Y36" s="12">
        <v>10.3</v>
      </c>
      <c r="Z36" s="12">
        <f>6.86-SUM(W36:Y36)</f>
        <v>10.560000000000002</v>
      </c>
      <c r="AA36" s="12">
        <v>4.6349999999999998</v>
      </c>
      <c r="AV36" s="12">
        <f t="shared" si="88"/>
        <v>-4</v>
      </c>
      <c r="AW36" s="12">
        <f t="shared" si="67"/>
        <v>-18.760999999999999</v>
      </c>
      <c r="AX36" s="12">
        <f t="shared" si="75"/>
        <v>-13.125</v>
      </c>
      <c r="AY36" s="12">
        <f t="shared" si="76"/>
        <v>5.8940000000000001</v>
      </c>
      <c r="AZ36" s="12">
        <f>SUM(S36:V36)</f>
        <v>-11.3</v>
      </c>
      <c r="BA36" s="12">
        <f>SUM(W36:Z36)</f>
        <v>6.8600000000000012</v>
      </c>
      <c r="BB36" s="127">
        <f>BB35*BB47</f>
        <v>62.362466800000021</v>
      </c>
      <c r="BC36" s="127">
        <f t="shared" ref="BC36:BK36" si="129">BC35*BC47</f>
        <v>85.818452075653653</v>
      </c>
      <c r="BD36" s="127">
        <f t="shared" si="129"/>
        <v>122.15419976263809</v>
      </c>
      <c r="BE36" s="127">
        <f t="shared" si="129"/>
        <v>154.27982253222643</v>
      </c>
      <c r="BF36" s="127">
        <f t="shared" si="129"/>
        <v>185.96885810665469</v>
      </c>
      <c r="BG36" s="127">
        <f t="shared" si="129"/>
        <v>219.96615769267592</v>
      </c>
      <c r="BH36" s="127">
        <f t="shared" si="129"/>
        <v>260.03398499722618</v>
      </c>
      <c r="BI36" s="127">
        <f t="shared" si="129"/>
        <v>303.38754588106639</v>
      </c>
      <c r="BJ36" s="127">
        <f t="shared" si="129"/>
        <v>349.28895175131902</v>
      </c>
      <c r="BK36" s="127">
        <f t="shared" si="129"/>
        <v>396.8139595315771</v>
      </c>
      <c r="BL36" s="127"/>
      <c r="BM36" s="127"/>
      <c r="BN36" s="127"/>
      <c r="BO36" s="127"/>
      <c r="BP36" s="127"/>
      <c r="BQ36" s="127"/>
      <c r="BR36" s="127"/>
      <c r="BS36" s="127"/>
      <c r="BT36" s="127"/>
      <c r="BU36" s="127"/>
      <c r="BV36" s="127"/>
      <c r="BW36" s="127"/>
      <c r="BX36" s="127"/>
      <c r="BY36" s="127"/>
      <c r="BZ36" s="127"/>
      <c r="CA36" s="127"/>
      <c r="CB36" s="127"/>
      <c r="CC36" s="127"/>
      <c r="CD36" s="127"/>
      <c r="CE36" s="127"/>
      <c r="CF36" s="127"/>
      <c r="CG36" s="127"/>
      <c r="CH36" s="127"/>
      <c r="CI36" s="127"/>
      <c r="CJ36" s="127"/>
      <c r="CK36" s="127"/>
      <c r="CL36" s="127"/>
      <c r="CM36" s="127"/>
      <c r="CN36" s="127"/>
      <c r="CO36" s="127"/>
      <c r="CP36" s="65"/>
    </row>
    <row r="37" spans="2:94">
      <c r="B37" s="2" t="s">
        <v>593</v>
      </c>
      <c r="C37" s="12">
        <f t="shared" ref="C37" si="130">C35-C36</f>
        <v>10.454000000000001</v>
      </c>
      <c r="D37" s="12">
        <f t="shared" ref="D37" si="131">D35-D36</f>
        <v>15.147999999999989</v>
      </c>
      <c r="E37" s="12">
        <f t="shared" ref="E37" si="132">E35-E36</f>
        <v>3.1810000000000116</v>
      </c>
      <c r="F37" s="12">
        <f t="shared" ref="F37" si="133">F35-F36</f>
        <v>21.620000000000079</v>
      </c>
      <c r="G37" s="12">
        <f t="shared" ref="G37:N37" si="134">G35-G36</f>
        <v>0.97900000000001319</v>
      </c>
      <c r="H37" s="12">
        <f t="shared" si="134"/>
        <v>-12.880000000000015</v>
      </c>
      <c r="I37" s="12">
        <f t="shared" si="134"/>
        <v>-9.8940000000000019</v>
      </c>
      <c r="J37" s="12">
        <f t="shared" si="134"/>
        <v>2.6380000000000088</v>
      </c>
      <c r="K37" s="12">
        <f t="shared" si="134"/>
        <v>10.922000000000002</v>
      </c>
      <c r="L37" s="12">
        <f t="shared" si="134"/>
        <v>8.3230000000000217</v>
      </c>
      <c r="M37" s="12">
        <f t="shared" si="134"/>
        <v>8.0229999999999819</v>
      </c>
      <c r="N37" s="12">
        <f t="shared" si="134"/>
        <v>-24.645000000000081</v>
      </c>
      <c r="O37" s="12">
        <f t="shared" ref="O37:X37" si="135">O35-O36</f>
        <v>7.1999999999997399E-2</v>
      </c>
      <c r="P37" s="12">
        <f t="shared" si="135"/>
        <v>-3.6640000000000068</v>
      </c>
      <c r="Q37" s="12">
        <f t="shared" si="135"/>
        <v>-2.2800000000000034</v>
      </c>
      <c r="R37" s="12">
        <f t="shared" si="135"/>
        <v>3.869999999999949</v>
      </c>
      <c r="S37" s="12">
        <f t="shared" si="135"/>
        <v>8.6040000000000401</v>
      </c>
      <c r="T37" s="12">
        <f t="shared" si="135"/>
        <v>19.100000000000001</v>
      </c>
      <c r="U37" s="12">
        <f t="shared" si="135"/>
        <v>9.2099999999999937</v>
      </c>
      <c r="V37" s="12">
        <f t="shared" si="135"/>
        <v>54.096000000000032</v>
      </c>
      <c r="W37" s="12">
        <f t="shared" si="135"/>
        <v>11.099999999999989</v>
      </c>
      <c r="X37" s="12">
        <f t="shared" si="135"/>
        <v>-60.200000000000038</v>
      </c>
      <c r="Y37" s="12">
        <f>Y35-Y36</f>
        <v>29.500000000000032</v>
      </c>
      <c r="Z37" s="12">
        <f t="shared" ref="Z37" si="136">Z35-Z36</f>
        <v>33.590000000000003</v>
      </c>
      <c r="AA37" s="12">
        <f>AA35-AA36</f>
        <v>39.222999999999999</v>
      </c>
      <c r="AV37" s="12">
        <f t="shared" ref="AV37:AZ37" si="137">AV35-AV36</f>
        <v>50.40300000000002</v>
      </c>
      <c r="AW37" s="12">
        <f t="shared" si="137"/>
        <v>-19.156999999999893</v>
      </c>
      <c r="AX37" s="12">
        <f t="shared" si="137"/>
        <v>2.6229999999999656</v>
      </c>
      <c r="AY37" s="12">
        <f t="shared" si="137"/>
        <v>-2.0019999999998928</v>
      </c>
      <c r="AZ37" s="12">
        <f t="shared" si="137"/>
        <v>91.01</v>
      </c>
      <c r="BA37" s="12">
        <f>BA35-BA36</f>
        <v>13.989999999999876</v>
      </c>
      <c r="BB37" s="127">
        <f>BB35-BB36</f>
        <v>146.62703320000006</v>
      </c>
      <c r="BC37" s="127">
        <f t="shared" ref="BC37:BG37" si="138">BC35-BC36</f>
        <v>201.77689670334652</v>
      </c>
      <c r="BD37" s="127">
        <f t="shared" si="138"/>
        <v>287.20974046067988</v>
      </c>
      <c r="BE37" s="127">
        <f t="shared" si="138"/>
        <v>362.74371142295598</v>
      </c>
      <c r="BF37" s="127">
        <f t="shared" si="138"/>
        <v>437.25117576283151</v>
      </c>
      <c r="BG37" s="127">
        <f t="shared" si="138"/>
        <v>517.18584529886539</v>
      </c>
      <c r="BH37" s="127">
        <f t="shared" ref="BH37:BK37" si="139">BH35-BH36</f>
        <v>611.39357866640046</v>
      </c>
      <c r="BI37" s="127">
        <f t="shared" si="139"/>
        <v>713.32674996701121</v>
      </c>
      <c r="BJ37" s="127">
        <f t="shared" si="139"/>
        <v>821.25043079331567</v>
      </c>
      <c r="BK37" s="127">
        <f t="shared" si="139"/>
        <v>932.99153487719343</v>
      </c>
      <c r="BL37" s="127"/>
      <c r="BM37" s="127"/>
      <c r="BN37" s="127"/>
      <c r="BO37" s="127"/>
      <c r="BP37" s="127"/>
      <c r="BQ37" s="127"/>
      <c r="BR37" s="127"/>
      <c r="BS37" s="127"/>
      <c r="BT37" s="127"/>
      <c r="BU37" s="127"/>
      <c r="BV37" s="127"/>
      <c r="BW37" s="127"/>
      <c r="BX37" s="127"/>
      <c r="BY37" s="127"/>
      <c r="BZ37" s="127"/>
      <c r="CA37" s="127"/>
      <c r="CB37" s="127"/>
      <c r="CC37" s="127"/>
      <c r="CD37" s="127"/>
      <c r="CE37" s="127"/>
      <c r="CF37" s="127"/>
      <c r="CG37" s="127"/>
      <c r="CH37" s="127"/>
      <c r="CI37" s="127"/>
      <c r="CJ37" s="127"/>
      <c r="CK37" s="127"/>
      <c r="CL37" s="127"/>
      <c r="CM37" s="127"/>
      <c r="CN37" s="127"/>
      <c r="CO37" s="127"/>
      <c r="CP37" s="65"/>
    </row>
    <row r="38" spans="2:94">
      <c r="B38" s="2" t="s">
        <v>592</v>
      </c>
      <c r="C38" s="12">
        <v>-0.24399999999999999</v>
      </c>
      <c r="D38" s="12">
        <v>-0.53700000000000003</v>
      </c>
      <c r="E38" s="12">
        <v>-0.53700000000000003</v>
      </c>
      <c r="F38" s="12">
        <f>-0.2-SUM(C38:E38)</f>
        <v>1.1180000000000001</v>
      </c>
      <c r="G38" s="12">
        <v>-0.53700000000000003</v>
      </c>
      <c r="H38" s="12">
        <v>-0.94</v>
      </c>
      <c r="I38" s="12">
        <v>-1.0609999999999999</v>
      </c>
      <c r="J38" s="12">
        <f>-3.555-SUM(G38:I38)</f>
        <v>-1.0170000000000003</v>
      </c>
      <c r="K38" s="12">
        <v>-0.91</v>
      </c>
      <c r="L38" s="12">
        <v>-0.93200000000000005</v>
      </c>
      <c r="M38" s="12">
        <v>-0.81899999999999995</v>
      </c>
      <c r="N38" s="12">
        <f>-2.641-SUM(K38:M38)</f>
        <v>2.0000000000000018E-2</v>
      </c>
      <c r="O38" s="12">
        <v>0</v>
      </c>
      <c r="P38" s="12">
        <v>0</v>
      </c>
      <c r="Q38" s="12">
        <v>0</v>
      </c>
      <c r="R38" s="12">
        <v>0</v>
      </c>
      <c r="S38" s="12">
        <v>0</v>
      </c>
      <c r="T38" s="12">
        <v>0</v>
      </c>
      <c r="U38" s="12">
        <v>0</v>
      </c>
      <c r="V38" s="12">
        <v>0</v>
      </c>
      <c r="W38" s="12">
        <v>0</v>
      </c>
      <c r="X38" s="12">
        <v>0</v>
      </c>
      <c r="Y38" s="12">
        <v>0</v>
      </c>
      <c r="Z38" s="12">
        <v>0</v>
      </c>
      <c r="AA38" s="12">
        <v>0</v>
      </c>
      <c r="AV38" s="2">
        <f t="shared" si="88"/>
        <v>-0.19999999999999996</v>
      </c>
      <c r="AW38" s="2">
        <v>-3.5550000000000002</v>
      </c>
      <c r="AX38" s="2">
        <v>-2.661</v>
      </c>
      <c r="AY38" s="2">
        <v>0</v>
      </c>
      <c r="AZ38" s="2">
        <v>0</v>
      </c>
      <c r="BA38" s="2">
        <v>0</v>
      </c>
      <c r="BB38" s="127">
        <v>0</v>
      </c>
      <c r="BC38" s="127">
        <v>0</v>
      </c>
      <c r="BD38" s="127">
        <v>0</v>
      </c>
      <c r="BE38" s="127">
        <v>0</v>
      </c>
      <c r="BF38" s="127">
        <v>0</v>
      </c>
      <c r="BG38" s="127">
        <v>0</v>
      </c>
      <c r="BH38" s="127">
        <v>0</v>
      </c>
      <c r="BI38" s="127">
        <v>0</v>
      </c>
      <c r="BJ38" s="127">
        <v>0</v>
      </c>
      <c r="BK38" s="127">
        <v>0</v>
      </c>
      <c r="BL38" s="127"/>
      <c r="BM38" s="127"/>
      <c r="BN38" s="127"/>
      <c r="BO38" s="127"/>
      <c r="BP38" s="127"/>
      <c r="BQ38" s="127"/>
      <c r="BR38" s="127"/>
      <c r="BS38" s="127"/>
      <c r="BT38" s="127"/>
      <c r="BU38" s="127"/>
      <c r="BV38" s="127"/>
      <c r="BW38" s="127"/>
      <c r="BX38" s="127"/>
      <c r="BY38" s="127"/>
      <c r="BZ38" s="127"/>
      <c r="CA38" s="127"/>
      <c r="CB38" s="127"/>
      <c r="CC38" s="127"/>
      <c r="CD38" s="127"/>
      <c r="CE38" s="127"/>
      <c r="CF38" s="127"/>
      <c r="CG38" s="127"/>
      <c r="CH38" s="127"/>
      <c r="CI38" s="127"/>
      <c r="CJ38" s="127"/>
      <c r="CK38" s="127"/>
      <c r="CL38" s="127"/>
      <c r="CM38" s="127"/>
      <c r="CN38" s="127"/>
      <c r="CO38" s="127"/>
      <c r="CP38" s="65"/>
    </row>
    <row r="39" spans="2:94" s="1" customFormat="1">
      <c r="B39" s="1" t="s">
        <v>594</v>
      </c>
      <c r="C39" s="16">
        <f>C37-C38</f>
        <v>10.698</v>
      </c>
      <c r="D39" s="16">
        <f>D37-D38</f>
        <v>15.68499999999999</v>
      </c>
      <c r="E39" s="16">
        <f>E37-E38</f>
        <v>3.7180000000000115</v>
      </c>
      <c r="F39" s="16">
        <f>F37-F38</f>
        <v>20.502000000000081</v>
      </c>
      <c r="G39" s="16">
        <f>G37-G38</f>
        <v>1.5160000000000133</v>
      </c>
      <c r="H39" s="16">
        <f t="shared" ref="H39:Z39" si="140">H37-H38</f>
        <v>-11.940000000000015</v>
      </c>
      <c r="I39" s="16">
        <f t="shared" si="140"/>
        <v>-8.833000000000002</v>
      </c>
      <c r="J39" s="16">
        <f t="shared" si="140"/>
        <v>3.6550000000000091</v>
      </c>
      <c r="K39" s="16">
        <f t="shared" si="140"/>
        <v>11.832000000000003</v>
      </c>
      <c r="L39" s="16">
        <f t="shared" si="140"/>
        <v>9.2550000000000221</v>
      </c>
      <c r="M39" s="16">
        <f t="shared" si="140"/>
        <v>8.841999999999981</v>
      </c>
      <c r="N39" s="16">
        <f t="shared" si="140"/>
        <v>-24.665000000000081</v>
      </c>
      <c r="O39" s="16">
        <f t="shared" si="140"/>
        <v>7.1999999999997399E-2</v>
      </c>
      <c r="P39" s="16">
        <f t="shared" si="140"/>
        <v>-3.6640000000000068</v>
      </c>
      <c r="Q39" s="16">
        <f t="shared" si="140"/>
        <v>-2.2800000000000034</v>
      </c>
      <c r="R39" s="16">
        <f t="shared" si="140"/>
        <v>3.869999999999949</v>
      </c>
      <c r="S39" s="16">
        <f t="shared" si="140"/>
        <v>8.6040000000000401</v>
      </c>
      <c r="T39" s="16">
        <f t="shared" si="140"/>
        <v>19.100000000000001</v>
      </c>
      <c r="U39" s="16">
        <f t="shared" si="140"/>
        <v>9.2099999999999937</v>
      </c>
      <c r="V39" s="16">
        <f t="shared" si="140"/>
        <v>54.096000000000032</v>
      </c>
      <c r="W39" s="16">
        <f t="shared" si="140"/>
        <v>11.099999999999989</v>
      </c>
      <c r="X39" s="16">
        <f t="shared" si="140"/>
        <v>-60.200000000000038</v>
      </c>
      <c r="Y39" s="16">
        <f t="shared" si="140"/>
        <v>29.500000000000032</v>
      </c>
      <c r="Z39" s="16">
        <f t="shared" si="140"/>
        <v>33.590000000000003</v>
      </c>
      <c r="AA39" s="16">
        <f t="shared" ref="AA39" si="141">AA37-AA38</f>
        <v>39.222999999999999</v>
      </c>
      <c r="AB39" s="123"/>
      <c r="AC39" s="123"/>
      <c r="AD39" s="123"/>
      <c r="AE39" s="123"/>
      <c r="AF39" s="123"/>
      <c r="AG39" s="123"/>
      <c r="AH39" s="123"/>
      <c r="AI39" s="123"/>
      <c r="AJ39" s="123"/>
      <c r="AK39" s="123"/>
      <c r="AL39" s="123"/>
      <c r="AV39" s="16">
        <f t="shared" ref="AV39:AZ39" si="142">AV37-AV38</f>
        <v>50.603000000000023</v>
      </c>
      <c r="AW39" s="16">
        <f t="shared" si="142"/>
        <v>-15.601999999999894</v>
      </c>
      <c r="AX39" s="16">
        <f t="shared" si="142"/>
        <v>5.2839999999999652</v>
      </c>
      <c r="AY39" s="16">
        <f t="shared" si="142"/>
        <v>-2.0019999999998928</v>
      </c>
      <c r="AZ39" s="16">
        <f t="shared" si="142"/>
        <v>91.01</v>
      </c>
      <c r="BA39" s="16">
        <f>BA37-BA38</f>
        <v>13.989999999999876</v>
      </c>
      <c r="BB39" s="126">
        <f>BB37-BB38</f>
        <v>146.62703320000006</v>
      </c>
      <c r="BC39" s="126">
        <f t="shared" ref="BC39:BG39" si="143">BC37-BC38</f>
        <v>201.77689670334652</v>
      </c>
      <c r="BD39" s="126">
        <f t="shared" si="143"/>
        <v>287.20974046067988</v>
      </c>
      <c r="BE39" s="126">
        <f t="shared" si="143"/>
        <v>362.74371142295598</v>
      </c>
      <c r="BF39" s="126">
        <f t="shared" si="143"/>
        <v>437.25117576283151</v>
      </c>
      <c r="BG39" s="126">
        <f t="shared" si="143"/>
        <v>517.18584529886539</v>
      </c>
      <c r="BH39" s="126">
        <f t="shared" ref="BH39:BK39" si="144">BH37-BH38</f>
        <v>611.39357866640046</v>
      </c>
      <c r="BI39" s="126">
        <f t="shared" si="144"/>
        <v>713.32674996701121</v>
      </c>
      <c r="BJ39" s="126">
        <f t="shared" si="144"/>
        <v>821.25043079331567</v>
      </c>
      <c r="BK39" s="126">
        <f t="shared" si="144"/>
        <v>932.99153487719343</v>
      </c>
      <c r="BL39" s="126">
        <f t="shared" ref="BL39:CO39" si="145">BK39*(1+$BD$53)</f>
        <v>960.9812809235093</v>
      </c>
      <c r="BM39" s="126">
        <f t="shared" si="145"/>
        <v>989.81071935121463</v>
      </c>
      <c r="BN39" s="126">
        <f t="shared" si="145"/>
        <v>1019.5050409317511</v>
      </c>
      <c r="BO39" s="126">
        <f t="shared" si="145"/>
        <v>1050.0901921597035</v>
      </c>
      <c r="BP39" s="126">
        <f t="shared" si="145"/>
        <v>1081.5928979244948</v>
      </c>
      <c r="BQ39" s="126">
        <f t="shared" si="145"/>
        <v>1114.0406848622297</v>
      </c>
      <c r="BR39" s="126">
        <f t="shared" si="145"/>
        <v>1147.4619054080965</v>
      </c>
      <c r="BS39" s="126">
        <f t="shared" si="145"/>
        <v>1181.8857625703395</v>
      </c>
      <c r="BT39" s="126">
        <f t="shared" si="145"/>
        <v>1217.3423354474496</v>
      </c>
      <c r="BU39" s="126">
        <f t="shared" si="145"/>
        <v>1253.8626055108732</v>
      </c>
      <c r="BV39" s="126">
        <f t="shared" si="145"/>
        <v>1291.4784836761994</v>
      </c>
      <c r="BW39" s="126">
        <f t="shared" si="145"/>
        <v>1330.2228381864854</v>
      </c>
      <c r="BX39" s="126">
        <f t="shared" si="145"/>
        <v>1370.12952333208</v>
      </c>
      <c r="BY39" s="126">
        <f t="shared" si="145"/>
        <v>1411.2334090320423</v>
      </c>
      <c r="BZ39" s="126">
        <f t="shared" si="145"/>
        <v>1453.5704113030038</v>
      </c>
      <c r="CA39" s="126">
        <f t="shared" si="145"/>
        <v>1497.177523642094</v>
      </c>
      <c r="CB39" s="126">
        <f t="shared" si="145"/>
        <v>1542.0928493513568</v>
      </c>
      <c r="CC39" s="126">
        <f t="shared" si="145"/>
        <v>1588.3556348318975</v>
      </c>
      <c r="CD39" s="126">
        <f t="shared" si="145"/>
        <v>1636.0063038768544</v>
      </c>
      <c r="CE39" s="126">
        <f t="shared" si="145"/>
        <v>1685.0864929931602</v>
      </c>
      <c r="CF39" s="126">
        <f t="shared" si="145"/>
        <v>1735.6390877829549</v>
      </c>
      <c r="CG39" s="126">
        <f t="shared" si="145"/>
        <v>1787.7082604164436</v>
      </c>
      <c r="CH39" s="126">
        <f t="shared" si="145"/>
        <v>1841.3395082289369</v>
      </c>
      <c r="CI39" s="126">
        <f t="shared" si="145"/>
        <v>1896.579693475805</v>
      </c>
      <c r="CJ39" s="126">
        <f t="shared" si="145"/>
        <v>1953.4770842800792</v>
      </c>
      <c r="CK39" s="126">
        <f t="shared" si="145"/>
        <v>2012.0813968084817</v>
      </c>
      <c r="CL39" s="126">
        <f t="shared" si="145"/>
        <v>2072.4438387127361</v>
      </c>
      <c r="CM39" s="126">
        <f t="shared" si="145"/>
        <v>2134.6171538741182</v>
      </c>
      <c r="CN39" s="126">
        <f t="shared" si="145"/>
        <v>2198.6556684903417</v>
      </c>
      <c r="CO39" s="126">
        <f t="shared" si="145"/>
        <v>2264.6153385450521</v>
      </c>
      <c r="CP39" s="63"/>
    </row>
    <row r="40" spans="2:94">
      <c r="B40" s="2" t="s">
        <v>325</v>
      </c>
      <c r="C40" s="12">
        <v>34.506999999999998</v>
      </c>
      <c r="D40" s="12">
        <v>35</v>
      </c>
      <c r="E40" s="12">
        <v>35</v>
      </c>
      <c r="F40" s="12">
        <v>35</v>
      </c>
      <c r="G40" s="12">
        <v>35</v>
      </c>
      <c r="H40" s="12">
        <v>35.4</v>
      </c>
      <c r="I40" s="12">
        <v>36.207000000000001</v>
      </c>
      <c r="J40" s="12">
        <v>37.651000000000003</v>
      </c>
      <c r="K40" s="12">
        <v>36.454999999999998</v>
      </c>
      <c r="L40" s="12">
        <v>36.523000000000003</v>
      </c>
      <c r="M40" s="12">
        <v>36.616999999999997</v>
      </c>
      <c r="N40" s="12">
        <v>36.700000000000003</v>
      </c>
      <c r="O40" s="12">
        <v>37.646000000000001</v>
      </c>
      <c r="P40" s="12">
        <v>37.767000000000003</v>
      </c>
      <c r="Q40" s="12">
        <v>37.917999999999999</v>
      </c>
      <c r="R40" s="12">
        <v>37.841000000000001</v>
      </c>
      <c r="S40" s="12">
        <v>39.07</v>
      </c>
      <c r="T40" s="12">
        <v>38.15</v>
      </c>
      <c r="U40" s="12">
        <v>38.956000000000003</v>
      </c>
      <c r="V40" s="12">
        <v>38.4</v>
      </c>
      <c r="W40" s="12">
        <v>39.299999999999997</v>
      </c>
      <c r="X40" s="12">
        <v>38.799999999999997</v>
      </c>
      <c r="Y40" s="12">
        <v>38.6</v>
      </c>
      <c r="Z40" s="12">
        <v>38.630000000000003</v>
      </c>
      <c r="AA40" s="12">
        <v>38.561999999999998</v>
      </c>
      <c r="AV40" s="12">
        <f>F40</f>
        <v>35</v>
      </c>
      <c r="AW40" s="12">
        <f>J40</f>
        <v>37.651000000000003</v>
      </c>
      <c r="AX40" s="12">
        <f>N40</f>
        <v>36.700000000000003</v>
      </c>
      <c r="AY40" s="12">
        <f>R40</f>
        <v>37.841000000000001</v>
      </c>
      <c r="AZ40" s="12">
        <f>V40</f>
        <v>38.4</v>
      </c>
      <c r="BA40" s="12">
        <f>Z40</f>
        <v>38.630000000000003</v>
      </c>
      <c r="BB40" s="126">
        <v>38.6</v>
      </c>
      <c r="BC40" s="126">
        <v>38.6</v>
      </c>
      <c r="BD40" s="126">
        <v>38.6</v>
      </c>
      <c r="BE40" s="126">
        <v>38.6</v>
      </c>
      <c r="BF40" s="126">
        <v>38.6</v>
      </c>
      <c r="BG40" s="126">
        <v>38.6</v>
      </c>
      <c r="BH40" s="126">
        <v>38.6</v>
      </c>
      <c r="BI40" s="126">
        <v>38.6</v>
      </c>
      <c r="BJ40" s="126">
        <v>38.6</v>
      </c>
      <c r="BK40" s="126">
        <v>38.6</v>
      </c>
      <c r="BL40" s="127"/>
      <c r="BM40" s="127"/>
      <c r="BN40" s="127"/>
      <c r="BO40" s="127"/>
      <c r="BP40" s="127"/>
      <c r="BQ40" s="127"/>
      <c r="BR40" s="127"/>
      <c r="BS40" s="127"/>
      <c r="BT40" s="127"/>
      <c r="BU40" s="127"/>
      <c r="BV40" s="127"/>
      <c r="BW40" s="127"/>
      <c r="BX40" s="127"/>
      <c r="BY40" s="127"/>
      <c r="BZ40" s="127"/>
      <c r="CA40" s="127"/>
      <c r="CB40" s="127"/>
      <c r="CC40" s="127"/>
      <c r="CD40" s="127"/>
      <c r="CE40" s="127"/>
      <c r="CF40" s="127"/>
      <c r="CG40" s="127"/>
      <c r="CH40" s="127"/>
      <c r="CI40" s="127"/>
      <c r="CJ40" s="127"/>
      <c r="CK40" s="127"/>
      <c r="CL40" s="127"/>
      <c r="CM40" s="127"/>
      <c r="CN40" s="127"/>
      <c r="CO40" s="127"/>
      <c r="CP40" s="65"/>
    </row>
    <row r="41" spans="2:94">
      <c r="B41" s="2" t="s">
        <v>326</v>
      </c>
      <c r="C41" s="15">
        <f>C39/C40</f>
        <v>0.31002405309067727</v>
      </c>
      <c r="D41" s="15">
        <f>D39/D40</f>
        <v>0.44814285714285684</v>
      </c>
      <c r="E41" s="15">
        <f>E39/E40</f>
        <v>0.10622857142857176</v>
      </c>
      <c r="F41" s="15">
        <f>F39/F40</f>
        <v>0.58577142857143083</v>
      </c>
      <c r="G41" s="15">
        <f>G39/G40</f>
        <v>4.3314285714286097E-2</v>
      </c>
      <c r="H41" s="15">
        <f t="shared" ref="H41:Y41" si="146">H39/H40</f>
        <v>-0.33728813559322079</v>
      </c>
      <c r="I41" s="15">
        <f t="shared" si="146"/>
        <v>-0.24395835059518883</v>
      </c>
      <c r="J41" s="15">
        <f t="shared" si="146"/>
        <v>9.70757748798175E-2</v>
      </c>
      <c r="K41" s="15">
        <f t="shared" si="146"/>
        <v>0.32456453161431909</v>
      </c>
      <c r="L41" s="15">
        <f t="shared" si="146"/>
        <v>0.25340196588451169</v>
      </c>
      <c r="M41" s="15">
        <f t="shared" si="146"/>
        <v>0.24147254007701291</v>
      </c>
      <c r="N41" s="15">
        <f t="shared" si="146"/>
        <v>-0.67207084468665068</v>
      </c>
      <c r="O41" s="15">
        <f t="shared" si="146"/>
        <v>1.9125537905752908E-3</v>
      </c>
      <c r="P41" s="15">
        <f t="shared" si="146"/>
        <v>-9.7015913363518586E-2</v>
      </c>
      <c r="Q41" s="15">
        <f t="shared" si="146"/>
        <v>-6.01297536789916E-2</v>
      </c>
      <c r="R41" s="15">
        <f t="shared" si="146"/>
        <v>0.10227002457651618</v>
      </c>
      <c r="S41" s="15">
        <f t="shared" si="146"/>
        <v>0.22022011773739544</v>
      </c>
      <c r="T41" s="15">
        <f t="shared" si="146"/>
        <v>0.50065530799475755</v>
      </c>
      <c r="U41" s="15">
        <f t="shared" si="146"/>
        <v>0.23642057706129974</v>
      </c>
      <c r="V41" s="15">
        <f t="shared" si="146"/>
        <v>1.4087500000000008</v>
      </c>
      <c r="W41" s="15">
        <f t="shared" si="146"/>
        <v>0.2824427480916028</v>
      </c>
      <c r="X41" s="15">
        <f t="shared" si="146"/>
        <v>-1.5515463917525785</v>
      </c>
      <c r="Y41" s="15">
        <f t="shared" si="146"/>
        <v>0.76424870466321326</v>
      </c>
      <c r="Z41" s="15">
        <f>Z39/Z40</f>
        <v>0.86953145223919237</v>
      </c>
      <c r="AA41" s="15">
        <f t="shared" ref="AA41" si="147">AA39/AA40</f>
        <v>1.0171412271147762</v>
      </c>
      <c r="AB41" s="123">
        <v>0.84</v>
      </c>
      <c r="AC41" s="123">
        <v>0.99</v>
      </c>
      <c r="AD41" s="123">
        <v>1.1599999999999999</v>
      </c>
      <c r="AE41" s="123">
        <v>1.01</v>
      </c>
      <c r="AF41" s="123">
        <v>1.1599999999999999</v>
      </c>
      <c r="AG41" s="123">
        <v>1.29</v>
      </c>
      <c r="AH41" s="123">
        <v>1.47</v>
      </c>
      <c r="AI41" s="123">
        <v>1.24</v>
      </c>
      <c r="AV41" s="15">
        <f t="shared" si="88"/>
        <v>1.4501669102335368</v>
      </c>
      <c r="AW41" s="15">
        <f t="shared" si="67"/>
        <v>-0.4408564255943061</v>
      </c>
      <c r="AX41" s="15">
        <f t="shared" si="75"/>
        <v>0.14736819288919301</v>
      </c>
      <c r="AY41" s="15">
        <f t="shared" si="76"/>
        <v>-5.2963088675418712E-2</v>
      </c>
      <c r="AZ41" s="15">
        <f t="shared" si="46"/>
        <v>2.3660460027934533</v>
      </c>
      <c r="BA41" s="15">
        <f t="shared" si="68"/>
        <v>0.36467651324142991</v>
      </c>
      <c r="BB41" s="128">
        <f t="shared" ref="BB41:BG41" si="148">BB39/BB40</f>
        <v>3.7986278031088094</v>
      </c>
      <c r="BC41" s="128">
        <f t="shared" si="148"/>
        <v>5.2273807436100137</v>
      </c>
      <c r="BD41" s="128">
        <f t="shared" si="148"/>
        <v>7.4406668513129501</v>
      </c>
      <c r="BE41" s="128">
        <f t="shared" si="148"/>
        <v>9.3975054772786528</v>
      </c>
      <c r="BF41" s="128">
        <f t="shared" si="148"/>
        <v>11.327750667430868</v>
      </c>
      <c r="BG41" s="128">
        <f t="shared" si="148"/>
        <v>13.398597028468014</v>
      </c>
      <c r="BH41" s="128">
        <f t="shared" ref="BH41:BK41" si="149">BH39/BH40</f>
        <v>15.839211882549234</v>
      </c>
      <c r="BI41" s="128">
        <f t="shared" si="149"/>
        <v>18.479967615725677</v>
      </c>
      <c r="BJ41" s="128">
        <f t="shared" si="149"/>
        <v>21.275917896199886</v>
      </c>
      <c r="BK41" s="128">
        <f t="shared" si="149"/>
        <v>24.170765152258895</v>
      </c>
    </row>
    <row r="42" spans="2:94">
      <c r="I42" s="12"/>
      <c r="J42" s="15"/>
      <c r="N42" s="15"/>
      <c r="R42" s="15"/>
      <c r="V42" s="15"/>
      <c r="Z42" s="15"/>
      <c r="AA42" s="2"/>
    </row>
    <row r="43" spans="2:94">
      <c r="B43" s="2" t="s">
        <v>579</v>
      </c>
      <c r="C43" s="14">
        <f t="shared" ref="C43:Z43" si="150">C28/C26</f>
        <v>0.65330623875925542</v>
      </c>
      <c r="D43" s="14">
        <f t="shared" si="150"/>
        <v>0.69990536583184926</v>
      </c>
      <c r="E43" s="14">
        <f t="shared" si="150"/>
        <v>0.64660004874482091</v>
      </c>
      <c r="F43" s="14">
        <f t="shared" si="150"/>
        <v>0.71845161467978347</v>
      </c>
      <c r="G43" s="14">
        <f t="shared" si="150"/>
        <v>0.64093226511289147</v>
      </c>
      <c r="H43" s="14">
        <f t="shared" si="150"/>
        <v>0.61750713606089436</v>
      </c>
      <c r="I43" s="14">
        <f t="shared" si="150"/>
        <v>0.60189940436796829</v>
      </c>
      <c r="J43" s="14">
        <f t="shared" si="150"/>
        <v>0.56513611963190191</v>
      </c>
      <c r="K43" s="14">
        <f t="shared" si="150"/>
        <v>0.65799645390070927</v>
      </c>
      <c r="L43" s="14">
        <f t="shared" si="150"/>
        <v>0.64405860010851879</v>
      </c>
      <c r="M43" s="14">
        <f t="shared" si="150"/>
        <v>0.6307206733298264</v>
      </c>
      <c r="N43" s="14">
        <f t="shared" si="150"/>
        <v>0.61497622432472154</v>
      </c>
      <c r="O43" s="14">
        <f t="shared" si="150"/>
        <v>0.62481608631682195</v>
      </c>
      <c r="P43" s="14">
        <f t="shared" si="150"/>
        <v>0.64330292846855497</v>
      </c>
      <c r="Q43" s="14">
        <f t="shared" si="150"/>
        <v>0.63313055685540476</v>
      </c>
      <c r="R43" s="14">
        <f t="shared" si="150"/>
        <v>0.6260684436770283</v>
      </c>
      <c r="S43" s="14">
        <f t="shared" si="150"/>
        <v>0.62593206296603154</v>
      </c>
      <c r="T43" s="14">
        <f t="shared" si="150"/>
        <v>0.63824091778202674</v>
      </c>
      <c r="U43" s="14">
        <f t="shared" si="150"/>
        <v>0.65596160944998161</v>
      </c>
      <c r="V43" s="14">
        <f t="shared" si="150"/>
        <v>0.65650463613374543</v>
      </c>
      <c r="W43" s="14">
        <f t="shared" si="150"/>
        <v>0.65016146393972007</v>
      </c>
      <c r="X43" s="14">
        <f t="shared" si="150"/>
        <v>0.54375417501670009</v>
      </c>
      <c r="Y43" s="14">
        <f t="shared" si="150"/>
        <v>0.6654485049833887</v>
      </c>
      <c r="Z43" s="14">
        <f t="shared" si="150"/>
        <v>0.66782884310618063</v>
      </c>
      <c r="AA43" s="14">
        <f t="shared" ref="AA43" si="151">AA28/AA26</f>
        <v>0.66601777009933971</v>
      </c>
      <c r="AV43" s="14">
        <f t="shared" ref="AV43:BA43" si="152">AV28/AV26</f>
        <v>0.68030865742423774</v>
      </c>
      <c r="AW43" s="14">
        <f t="shared" si="152"/>
        <v>0.60343996916554254</v>
      </c>
      <c r="AX43" s="14">
        <f t="shared" si="152"/>
        <v>0.63588598028331034</v>
      </c>
      <c r="AY43" s="14">
        <f t="shared" si="152"/>
        <v>0.63178627204937132</v>
      </c>
      <c r="AZ43" s="14">
        <f t="shared" si="152"/>
        <v>0.64488153270604243</v>
      </c>
      <c r="BA43" s="14">
        <f t="shared" si="152"/>
        <v>0.63201071488364302</v>
      </c>
      <c r="BB43" s="125">
        <v>0.67</v>
      </c>
      <c r="BC43" s="125">
        <v>0.68500000000000005</v>
      </c>
      <c r="BD43" s="125">
        <v>0.7</v>
      </c>
      <c r="BE43" s="125">
        <v>0.70699999999999996</v>
      </c>
      <c r="BF43" s="125">
        <v>0.71</v>
      </c>
      <c r="BG43" s="125">
        <v>0.71299999999999997</v>
      </c>
      <c r="BH43" s="125">
        <v>0.71599999999999997</v>
      </c>
      <c r="BI43" s="125">
        <v>0.71899999999999997</v>
      </c>
      <c r="BJ43" s="125">
        <v>0.72199999999999998</v>
      </c>
      <c r="BK43" s="125">
        <v>0.72499999999999998</v>
      </c>
    </row>
    <row r="44" spans="2:94">
      <c r="B44" s="2" t="s">
        <v>582</v>
      </c>
      <c r="C44" s="14">
        <f t="shared" ref="C44:Z44" si="153">C29/C26</f>
        <v>9.0836895335528925E-2</v>
      </c>
      <c r="D44" s="14">
        <f t="shared" si="153"/>
        <v>0.10031221823980448</v>
      </c>
      <c r="E44" s="14">
        <f t="shared" si="153"/>
        <v>9.2801536895528378E-2</v>
      </c>
      <c r="F44" s="14">
        <f t="shared" si="153"/>
        <v>8.2093610810885217E-2</v>
      </c>
      <c r="G44" s="14">
        <f t="shared" si="153"/>
        <v>9.4289876183539678E-2</v>
      </c>
      <c r="H44" s="14">
        <f t="shared" si="153"/>
        <v>0.21622264509990488</v>
      </c>
      <c r="I44" s="14">
        <f t="shared" si="153"/>
        <v>0.23112508272667109</v>
      </c>
      <c r="J44" s="14">
        <f t="shared" si="153"/>
        <v>0.11655842599693257</v>
      </c>
      <c r="K44" s="14">
        <f t="shared" si="153"/>
        <v>0.10683215130023642</v>
      </c>
      <c r="L44" s="14">
        <f t="shared" si="153"/>
        <v>9.624525230602278E-2</v>
      </c>
      <c r="M44" s="14">
        <f t="shared" si="153"/>
        <v>8.8006312467122566E-2</v>
      </c>
      <c r="N44" s="14">
        <f t="shared" si="153"/>
        <v>0.25495367419971571</v>
      </c>
      <c r="O44" s="14">
        <f t="shared" si="153"/>
        <v>0.10083374203040706</v>
      </c>
      <c r="P44" s="14">
        <f t="shared" si="153"/>
        <v>9.3898223715794524E-2</v>
      </c>
      <c r="Q44" s="14">
        <f t="shared" si="153"/>
        <v>9.9766027140851671E-2</v>
      </c>
      <c r="R44" s="14">
        <f t="shared" si="153"/>
        <v>8.1217539878770353E-2</v>
      </c>
      <c r="S44" s="14">
        <f t="shared" si="153"/>
        <v>8.2767191383595687E-2</v>
      </c>
      <c r="T44" s="14">
        <f t="shared" si="153"/>
        <v>8.2217973231357558E-2</v>
      </c>
      <c r="U44" s="14">
        <f t="shared" si="153"/>
        <v>7.7519379844961253E-2</v>
      </c>
      <c r="V44" s="14">
        <f t="shared" si="153"/>
        <v>7.6987917954481594E-2</v>
      </c>
      <c r="W44" s="14">
        <f t="shared" si="153"/>
        <v>8.8266953713670618E-2</v>
      </c>
      <c r="X44" s="14">
        <f t="shared" si="153"/>
        <v>8.3166332665330661E-2</v>
      </c>
      <c r="Y44" s="14">
        <f t="shared" si="153"/>
        <v>8.3720930232558138E-2</v>
      </c>
      <c r="Z44" s="14">
        <f t="shared" si="153"/>
        <v>6.3708399366085564E-2</v>
      </c>
      <c r="AA44" s="14">
        <f t="shared" ref="AA44" si="154">AA29/AA26</f>
        <v>6.8109458875794421E-2</v>
      </c>
      <c r="AV44" s="14">
        <f t="shared" ref="AV44:BA44" si="155">AV29/AV26</f>
        <v>9.1340383593074934E-2</v>
      </c>
      <c r="AW44" s="14">
        <f t="shared" si="155"/>
        <v>0.16068356851744789</v>
      </c>
      <c r="AX44" s="14">
        <f t="shared" si="155"/>
        <v>0.13985205794620045</v>
      </c>
      <c r="AY44" s="14">
        <f t="shared" si="155"/>
        <v>9.3736166575968588E-2</v>
      </c>
      <c r="AZ44" s="14">
        <f t="shared" si="155"/>
        <v>7.9733968181989953E-2</v>
      </c>
      <c r="BA44" s="14">
        <f t="shared" si="155"/>
        <v>7.9357106981416375E-2</v>
      </c>
      <c r="BB44" s="125">
        <v>0.09</v>
      </c>
      <c r="BC44" s="125">
        <v>9.5000000000000001E-2</v>
      </c>
      <c r="BD44" s="125">
        <v>9.6000000000000002E-2</v>
      </c>
      <c r="BE44" s="125">
        <v>9.7000000000000003E-2</v>
      </c>
      <c r="BF44" s="125">
        <v>9.8000000000000004E-2</v>
      </c>
      <c r="BG44" s="125">
        <v>9.9000000000000005E-2</v>
      </c>
      <c r="BH44" s="125">
        <v>0.1</v>
      </c>
      <c r="BI44" s="125">
        <v>0.1</v>
      </c>
      <c r="BJ44" s="125">
        <v>0.1</v>
      </c>
      <c r="BK44" s="125">
        <v>0.1</v>
      </c>
    </row>
    <row r="45" spans="2:94">
      <c r="B45" s="2" t="s">
        <v>595</v>
      </c>
      <c r="C45" s="14">
        <f t="shared" ref="C45:Z45" si="156">C30/C26</f>
        <v>0.47564213361985069</v>
      </c>
      <c r="D45" s="14">
        <f t="shared" si="156"/>
        <v>0.50420637700166171</v>
      </c>
      <c r="E45" s="14">
        <f t="shared" si="156"/>
        <v>0.53370560995541283</v>
      </c>
      <c r="F45" s="14">
        <f t="shared" si="156"/>
        <v>0.52864154866068636</v>
      </c>
      <c r="G45" s="14">
        <f t="shared" si="156"/>
        <v>0.5422651128914785</v>
      </c>
      <c r="H45" s="14">
        <f t="shared" si="156"/>
        <v>0.56898192197906761</v>
      </c>
      <c r="I45" s="14">
        <f t="shared" si="156"/>
        <v>0.50430178689609539</v>
      </c>
      <c r="J45" s="14">
        <f t="shared" si="156"/>
        <v>0.45901433090490795</v>
      </c>
      <c r="K45" s="14">
        <f t="shared" si="156"/>
        <v>0.47161938534278963</v>
      </c>
      <c r="L45" s="14">
        <f t="shared" si="156"/>
        <v>0.49175257731958755</v>
      </c>
      <c r="M45" s="14">
        <f t="shared" si="156"/>
        <v>0.49656496580746978</v>
      </c>
      <c r="N45" s="14">
        <f t="shared" si="156"/>
        <v>0.55642923672729072</v>
      </c>
      <c r="O45" s="14">
        <f t="shared" si="156"/>
        <v>0.54389406571848942</v>
      </c>
      <c r="P45" s="14">
        <f t="shared" si="156"/>
        <v>0.55024003840614488</v>
      </c>
      <c r="Q45" s="14">
        <f t="shared" si="156"/>
        <v>0.5080486663547028</v>
      </c>
      <c r="R45" s="14">
        <f t="shared" si="156"/>
        <v>0.52267518860206241</v>
      </c>
      <c r="S45" s="14">
        <f t="shared" si="156"/>
        <v>0.50981772990886487</v>
      </c>
      <c r="T45" s="14">
        <f t="shared" si="156"/>
        <v>0.48718929254302107</v>
      </c>
      <c r="U45" s="14">
        <f t="shared" si="156"/>
        <v>0.46474713916574389</v>
      </c>
      <c r="V45" s="14">
        <f t="shared" si="156"/>
        <v>0.45669429615060397</v>
      </c>
      <c r="W45" s="14">
        <f t="shared" si="156"/>
        <v>0.51811984212414786</v>
      </c>
      <c r="X45" s="14">
        <f t="shared" si="156"/>
        <v>0.4739478957915832</v>
      </c>
      <c r="Y45" s="14">
        <f t="shared" si="156"/>
        <v>0.46411960132890362</v>
      </c>
      <c r="Z45" s="14">
        <f t="shared" si="156"/>
        <v>0.46909667194928684</v>
      </c>
      <c r="AA45" s="14">
        <f t="shared" ref="AA45" si="157">AA30/AA26</f>
        <v>0.47342506324427713</v>
      </c>
      <c r="AV45" s="14">
        <f t="shared" ref="AV45:BA45" si="158">AV30/AV26</f>
        <v>0.51150614812121964</v>
      </c>
      <c r="AW45" s="14">
        <f t="shared" si="158"/>
        <v>0.51224456292870235</v>
      </c>
      <c r="AX45" s="14">
        <f t="shared" si="158"/>
        <v>0.50606749689000652</v>
      </c>
      <c r="AY45" s="14">
        <f t="shared" si="158"/>
        <v>0.53087059529023184</v>
      </c>
      <c r="AZ45" s="14">
        <f t="shared" si="158"/>
        <v>0.47840380909193969</v>
      </c>
      <c r="BA45" s="14">
        <f t="shared" si="158"/>
        <v>0.48049556336849158</v>
      </c>
      <c r="BB45" s="125">
        <v>0.45</v>
      </c>
      <c r="BC45" s="125">
        <v>0.435</v>
      </c>
      <c r="BD45" s="125">
        <v>0.41</v>
      </c>
      <c r="BE45" s="125">
        <v>0.4</v>
      </c>
      <c r="BF45" s="125">
        <v>0.39500000000000002</v>
      </c>
      <c r="BG45" s="125">
        <v>0.39300000000000002</v>
      </c>
      <c r="BH45" s="125">
        <v>0.38900000000000001</v>
      </c>
      <c r="BI45" s="125">
        <v>0.38600000000000001</v>
      </c>
      <c r="BJ45" s="125">
        <v>0.38300000000000001</v>
      </c>
      <c r="BK45" s="125">
        <v>0.38</v>
      </c>
    </row>
    <row r="46" spans="2:94">
      <c r="B46" s="2" t="s">
        <v>580</v>
      </c>
      <c r="C46" s="14">
        <f t="shared" ref="C46:Z46" si="159">C33/C26</f>
        <v>8.6827209803875788E-2</v>
      </c>
      <c r="D46" s="14">
        <f t="shared" si="159"/>
        <v>9.5386770590383002E-2</v>
      </c>
      <c r="E46" s="14">
        <f t="shared" si="159"/>
        <v>2.0092901893879737E-2</v>
      </c>
      <c r="F46" s="14">
        <f t="shared" si="159"/>
        <v>0.10771645520821189</v>
      </c>
      <c r="G46" s="14">
        <f t="shared" si="159"/>
        <v>4.377276037873367E-3</v>
      </c>
      <c r="H46" s="14">
        <f t="shared" si="159"/>
        <v>-0.16769743101807816</v>
      </c>
      <c r="I46" s="14">
        <f t="shared" si="159"/>
        <v>-0.13352746525479817</v>
      </c>
      <c r="J46" s="14">
        <f t="shared" si="159"/>
        <v>-1.0436637269938589E-2</v>
      </c>
      <c r="K46" s="14">
        <f t="shared" si="159"/>
        <v>7.9544917257683243E-2</v>
      </c>
      <c r="L46" s="14">
        <f t="shared" si="159"/>
        <v>5.6060770482908417E-2</v>
      </c>
      <c r="M46" s="14">
        <f t="shared" si="159"/>
        <v>4.6149395055233994E-2</v>
      </c>
      <c r="N46" s="14">
        <f t="shared" si="159"/>
        <v>-0.19640668660228483</v>
      </c>
      <c r="O46" s="14">
        <f t="shared" si="159"/>
        <v>-1.9911721432074557E-2</v>
      </c>
      <c r="P46" s="14">
        <f t="shared" si="159"/>
        <v>-8.3533365338457318E-4</v>
      </c>
      <c r="Q46" s="14">
        <f t="shared" si="159"/>
        <v>2.5315863359850244E-2</v>
      </c>
      <c r="R46" s="14">
        <f t="shared" si="159"/>
        <v>2.2175715196195642E-2</v>
      </c>
      <c r="S46" s="14">
        <f t="shared" si="159"/>
        <v>3.3347141673571001E-2</v>
      </c>
      <c r="T46" s="14">
        <f t="shared" si="159"/>
        <v>6.8833652007648183E-2</v>
      </c>
      <c r="U46" s="14">
        <f t="shared" si="159"/>
        <v>4.651162790697673E-2</v>
      </c>
      <c r="V46" s="14">
        <f t="shared" si="159"/>
        <v>0.12282242202865983</v>
      </c>
      <c r="W46" s="14">
        <f t="shared" si="159"/>
        <v>4.377466810190165E-2</v>
      </c>
      <c r="X46" s="14">
        <f t="shared" si="159"/>
        <v>-0.27020708082832345</v>
      </c>
      <c r="Y46" s="14">
        <f t="shared" si="159"/>
        <v>0.11760797342192703</v>
      </c>
      <c r="Z46" s="14">
        <f t="shared" si="159"/>
        <v>0.13489698890649762</v>
      </c>
      <c r="AA46" s="14">
        <f t="shared" ref="AA46" si="160">AA33/AA26</f>
        <v>0.1244832479792682</v>
      </c>
      <c r="AV46" s="14">
        <f t="shared" ref="AV46:BG46" si="161">AV33/AV26</f>
        <v>7.7462125709943166E-2</v>
      </c>
      <c r="AW46" s="14">
        <f t="shared" si="161"/>
        <v>-6.948816228060764E-2</v>
      </c>
      <c r="AX46" s="14">
        <f t="shared" si="161"/>
        <v>-1.0033574552896685E-2</v>
      </c>
      <c r="AY46" s="14">
        <f t="shared" si="161"/>
        <v>7.1795101831708917E-3</v>
      </c>
      <c r="AZ46" s="14">
        <f t="shared" si="161"/>
        <v>6.9549937648792665E-2</v>
      </c>
      <c r="BA46" s="14">
        <f t="shared" si="161"/>
        <v>7.751548635526434E-3</v>
      </c>
      <c r="BB46" s="125">
        <f t="shared" si="161"/>
        <v>0.13000000000000006</v>
      </c>
      <c r="BC46" s="125">
        <f t="shared" si="161"/>
        <v>0.15500000000000008</v>
      </c>
      <c r="BD46" s="125">
        <f t="shared" si="161"/>
        <v>0.19400000000000001</v>
      </c>
      <c r="BE46" s="125">
        <f t="shared" si="161"/>
        <v>0.20999999999999994</v>
      </c>
      <c r="BF46" s="125">
        <f t="shared" si="161"/>
        <v>0.21699999999999989</v>
      </c>
      <c r="BG46" s="125">
        <f t="shared" si="161"/>
        <v>0.22099999999999997</v>
      </c>
      <c r="BH46" s="125">
        <f t="shared" ref="BH46:BK46" si="162">BH33/BH26</f>
        <v>0.22699999999999998</v>
      </c>
      <c r="BI46" s="125">
        <f t="shared" si="162"/>
        <v>0.23299999999999996</v>
      </c>
      <c r="BJ46" s="125">
        <f t="shared" si="162"/>
        <v>0.23899999999999996</v>
      </c>
      <c r="BK46" s="125">
        <f t="shared" si="162"/>
        <v>0.24499999999999994</v>
      </c>
    </row>
    <row r="47" spans="2:94">
      <c r="B47" s="2" t="s">
        <v>710</v>
      </c>
      <c r="C47" s="14">
        <f t="shared" ref="C47:Y47" si="163">C36/C35</f>
        <v>0.12217650516416156</v>
      </c>
      <c r="D47" s="14">
        <f t="shared" si="163"/>
        <v>-0.12091164718070159</v>
      </c>
      <c r="E47" s="14">
        <f t="shared" si="163"/>
        <v>-1.0562378797672836</v>
      </c>
      <c r="F47" s="14">
        <f t="shared" si="163"/>
        <v>-0.11254052385118055</v>
      </c>
      <c r="G47" s="14">
        <f t="shared" si="163"/>
        <v>2.4946564885496687</v>
      </c>
      <c r="H47" s="14">
        <f t="shared" si="163"/>
        <v>0.24275383620436217</v>
      </c>
      <c r="I47" s="14">
        <f t="shared" si="163"/>
        <v>0.49901260823332821</v>
      </c>
      <c r="J47" s="14">
        <f t="shared" si="163"/>
        <v>6.223762376237743</v>
      </c>
      <c r="K47" s="14">
        <f t="shared" si="163"/>
        <v>0.12364599213672467</v>
      </c>
      <c r="L47" s="14">
        <f t="shared" si="163"/>
        <v>0.18585542404382235</v>
      </c>
      <c r="M47" s="14">
        <f t="shared" si="163"/>
        <v>-3.2029843066632438E-2</v>
      </c>
      <c r="N47" s="14">
        <f t="shared" si="163"/>
        <v>0.39834480738245126</v>
      </c>
      <c r="O47" s="14">
        <f t="shared" si="163"/>
        <v>1.0140872627665813</v>
      </c>
      <c r="P47" s="14">
        <f t="shared" si="163"/>
        <v>-2.20279720279719</v>
      </c>
      <c r="Q47" s="14">
        <f t="shared" si="163"/>
        <v>1.7549668874172206</v>
      </c>
      <c r="R47" s="14">
        <f t="shared" si="163"/>
        <v>0.45699452785183436</v>
      </c>
      <c r="S47" s="14">
        <f t="shared" si="163"/>
        <v>1.0351966873705955E-2</v>
      </c>
      <c r="T47" s="14">
        <f t="shared" si="163"/>
        <v>2.551020408163265E-2</v>
      </c>
      <c r="U47" s="14">
        <f t="shared" si="163"/>
        <v>0.30751879699248136</v>
      </c>
      <c r="V47" s="14">
        <f t="shared" si="163"/>
        <v>-0.41924651065169455</v>
      </c>
      <c r="W47" s="14">
        <f t="shared" si="163"/>
        <v>0.24489795918367366</v>
      </c>
      <c r="X47" s="14">
        <f t="shared" si="163"/>
        <v>0.22622107969151661</v>
      </c>
      <c r="Y47" s="14">
        <f t="shared" si="163"/>
        <v>0.25879396984924602</v>
      </c>
      <c r="Z47" s="14">
        <f>Z36/Z35</f>
        <v>0.23918459796149494</v>
      </c>
      <c r="AA47" s="14">
        <f>AA36/AA35</f>
        <v>0.10568197364220895</v>
      </c>
      <c r="AV47" s="14">
        <f t="shared" ref="AV47:AZ47" si="164">AV36/AV35</f>
        <v>-8.620132319031093E-2</v>
      </c>
      <c r="AW47" s="14">
        <f t="shared" si="164"/>
        <v>0.49477820560156266</v>
      </c>
      <c r="AX47" s="14">
        <f t="shared" si="164"/>
        <v>1.2497619501047379</v>
      </c>
      <c r="AY47" s="14">
        <f t="shared" si="164"/>
        <v>1.5143884892085913</v>
      </c>
      <c r="AZ47" s="14">
        <f t="shared" si="164"/>
        <v>-0.1417638941161711</v>
      </c>
      <c r="BA47" s="14">
        <f>BA36/BA35</f>
        <v>0.3290167865707454</v>
      </c>
      <c r="BB47" s="125">
        <v>0.2984</v>
      </c>
      <c r="BC47" s="125">
        <v>0.2984</v>
      </c>
      <c r="BD47" s="125">
        <v>0.2984</v>
      </c>
      <c r="BE47" s="125">
        <v>0.2984</v>
      </c>
      <c r="BF47" s="125">
        <v>0.2984</v>
      </c>
      <c r="BG47" s="125">
        <v>0.2984</v>
      </c>
      <c r="BH47" s="125">
        <v>0.2984</v>
      </c>
      <c r="BI47" s="125">
        <v>0.2984</v>
      </c>
      <c r="BJ47" s="125">
        <v>0.2984</v>
      </c>
      <c r="BK47" s="125">
        <v>0.2984</v>
      </c>
    </row>
    <row r="48" spans="2:94">
      <c r="B48" s="2" t="s">
        <v>581</v>
      </c>
      <c r="C48" s="14">
        <f t="shared" ref="C48:AA48" si="165">C39/C26</f>
        <v>8.3292457898301919E-2</v>
      </c>
      <c r="D48" s="14">
        <f t="shared" si="165"/>
        <v>0.11687692342083882</v>
      </c>
      <c r="E48" s="14">
        <f t="shared" si="165"/>
        <v>2.665194764232779E-2</v>
      </c>
      <c r="F48" s="14">
        <f t="shared" si="165"/>
        <v>0.14113905315260167</v>
      </c>
      <c r="G48" s="14">
        <f t="shared" si="165"/>
        <v>1.1041514930808545E-2</v>
      </c>
      <c r="H48" s="14">
        <f t="shared" si="165"/>
        <v>-0.11360608943863003</v>
      </c>
      <c r="I48" s="14">
        <f t="shared" si="165"/>
        <v>-5.8457974851092005E-2</v>
      </c>
      <c r="J48" s="14">
        <f t="shared" si="165"/>
        <v>2.1897766487730112E-2</v>
      </c>
      <c r="K48" s="14">
        <f t="shared" si="165"/>
        <v>6.9929078014184423E-2</v>
      </c>
      <c r="L48" s="14">
        <f t="shared" si="165"/>
        <v>5.0217037438958334E-2</v>
      </c>
      <c r="M48" s="14">
        <f t="shared" si="165"/>
        <v>4.6512361914781593E-2</v>
      </c>
      <c r="N48" s="14">
        <f t="shared" si="165"/>
        <v>-0.12091278984263974</v>
      </c>
      <c r="O48" s="14">
        <f t="shared" si="165"/>
        <v>3.5311427170180187E-4</v>
      </c>
      <c r="P48" s="14">
        <f t="shared" si="165"/>
        <v>-1.7590014402304399E-2</v>
      </c>
      <c r="Q48" s="14">
        <f t="shared" si="165"/>
        <v>-1.0669162377164264E-2</v>
      </c>
      <c r="R48" s="14">
        <f t="shared" si="165"/>
        <v>1.7492869508617385E-2</v>
      </c>
      <c r="S48" s="14">
        <f t="shared" si="165"/>
        <v>3.5642087821044076E-2</v>
      </c>
      <c r="T48" s="14">
        <f t="shared" si="165"/>
        <v>7.304015296367114E-2</v>
      </c>
      <c r="U48" s="14">
        <f t="shared" si="165"/>
        <v>3.399778516057584E-2</v>
      </c>
      <c r="V48" s="14">
        <f t="shared" si="165"/>
        <v>0.18999719022197256</v>
      </c>
      <c r="W48" s="14">
        <f t="shared" si="165"/>
        <v>3.9827771797631827E-2</v>
      </c>
      <c r="X48" s="14">
        <f t="shared" si="165"/>
        <v>-0.20106880427521726</v>
      </c>
      <c r="Y48" s="14">
        <f t="shared" si="165"/>
        <v>9.8006644518272526E-2</v>
      </c>
      <c r="Z48" s="14">
        <f t="shared" si="165"/>
        <v>0.10646592709984153</v>
      </c>
      <c r="AA48" s="14">
        <f t="shared" si="165"/>
        <v>0.12100635527858333</v>
      </c>
      <c r="AV48" s="14">
        <f t="shared" ref="AV48:BK48" si="166">AV39/AV26</f>
        <v>9.2441948619207459E-2</v>
      </c>
      <c r="AW48" s="14">
        <f t="shared" si="166"/>
        <v>-2.784023182943958E-2</v>
      </c>
      <c r="AX48" s="14">
        <f t="shared" si="166"/>
        <v>7.0680453189582056E-3</v>
      </c>
      <c r="AY48" s="14">
        <f t="shared" si="166"/>
        <v>-2.3632652723951171E-3</v>
      </c>
      <c r="AZ48" s="14">
        <f t="shared" si="166"/>
        <v>8.5978536069228742E-2</v>
      </c>
      <c r="BA48" s="14">
        <f t="shared" si="166"/>
        <v>1.1711032981751111E-2</v>
      </c>
      <c r="BB48" s="125">
        <f t="shared" si="166"/>
        <v>0.10698408171901795</v>
      </c>
      <c r="BC48" s="125">
        <f t="shared" si="166"/>
        <v>0.12878610176517732</v>
      </c>
      <c r="BD48" s="125">
        <f t="shared" si="166"/>
        <v>0.16129420204694614</v>
      </c>
      <c r="BE48" s="125">
        <f t="shared" si="166"/>
        <v>0.17889197202304991</v>
      </c>
      <c r="BF48" s="125">
        <f t="shared" si="166"/>
        <v>0.19069834951684742</v>
      </c>
      <c r="BG48" s="125">
        <f t="shared" si="166"/>
        <v>0.20054010555916957</v>
      </c>
      <c r="BH48" s="125">
        <f t="shared" si="166"/>
        <v>0.21185711080789485</v>
      </c>
      <c r="BI48" s="125">
        <f t="shared" si="166"/>
        <v>0.22390607917586366</v>
      </c>
      <c r="BJ48" s="125">
        <f t="shared" si="166"/>
        <v>0.23694945355717395</v>
      </c>
      <c r="BK48" s="125">
        <f t="shared" si="166"/>
        <v>0.25129916315478279</v>
      </c>
    </row>
    <row r="49" spans="2:63">
      <c r="AA49" s="2"/>
    </row>
    <row r="50" spans="2:63">
      <c r="B50" s="2" t="s">
        <v>327</v>
      </c>
      <c r="C50" s="12">
        <v>95.605999999999995</v>
      </c>
      <c r="D50" s="12">
        <v>77.260999999999996</v>
      </c>
      <c r="E50" s="12">
        <v>111.581</v>
      </c>
      <c r="F50" s="12">
        <v>72.778999999999996</v>
      </c>
      <c r="G50" s="12">
        <v>72.456000000000003</v>
      </c>
      <c r="H50" s="12">
        <v>134.381</v>
      </c>
      <c r="I50" s="2">
        <v>80.114999999999995</v>
      </c>
      <c r="J50" s="12">
        <v>69.67</v>
      </c>
      <c r="K50" s="12">
        <v>55.631999999999998</v>
      </c>
      <c r="L50" s="12">
        <v>82.277000000000001</v>
      </c>
      <c r="M50" s="2">
        <v>66.290000000000006</v>
      </c>
      <c r="N50" s="12">
        <v>59.378999999999998</v>
      </c>
      <c r="O50" s="12">
        <v>68.162999999999997</v>
      </c>
      <c r="P50" s="12">
        <v>58.234000000000002</v>
      </c>
      <c r="Q50" s="12">
        <v>54.844000000000001</v>
      </c>
      <c r="R50" s="12">
        <v>69.858000000000004</v>
      </c>
      <c r="S50" s="12">
        <v>94.688000000000002</v>
      </c>
      <c r="T50" s="12">
        <v>114.167</v>
      </c>
      <c r="U50" s="12">
        <v>100.75700000000001</v>
      </c>
      <c r="V50" s="12">
        <v>167.48599999999999</v>
      </c>
      <c r="W50" s="12">
        <v>223.114</v>
      </c>
      <c r="X50" s="12">
        <v>288.33199999999999</v>
      </c>
      <c r="Y50" s="12">
        <v>280.476</v>
      </c>
      <c r="Z50" s="12">
        <v>324.39999999999998</v>
      </c>
      <c r="AA50" s="12">
        <v>376.05399999999997</v>
      </c>
      <c r="AV50" s="12">
        <f>F50</f>
        <v>72.778999999999996</v>
      </c>
      <c r="AW50" s="12">
        <f>J50</f>
        <v>69.67</v>
      </c>
      <c r="AX50" s="12">
        <f>N50</f>
        <v>59.378999999999998</v>
      </c>
      <c r="AY50" s="12">
        <f>R50</f>
        <v>69.858000000000004</v>
      </c>
      <c r="AZ50" s="12">
        <f>V50</f>
        <v>167.48599999999999</v>
      </c>
      <c r="BA50" s="12">
        <f>Z50</f>
        <v>324.39999999999998</v>
      </c>
      <c r="BB50" s="127">
        <f t="shared" ref="BB50:BK50" si="167">BA50+BB39</f>
        <v>471.02703320000001</v>
      </c>
      <c r="BC50" s="127">
        <f t="shared" si="167"/>
        <v>672.80392990334656</v>
      </c>
      <c r="BD50" s="127">
        <f t="shared" si="167"/>
        <v>960.01367036402644</v>
      </c>
      <c r="BE50" s="127">
        <f t="shared" si="167"/>
        <v>1322.7573817869825</v>
      </c>
      <c r="BF50" s="127">
        <f t="shared" si="167"/>
        <v>1760.008557549814</v>
      </c>
      <c r="BG50" s="127">
        <f t="shared" si="167"/>
        <v>2277.1944028486796</v>
      </c>
      <c r="BH50" s="127">
        <f t="shared" si="167"/>
        <v>2888.5879815150802</v>
      </c>
      <c r="BI50" s="127">
        <f t="shared" si="167"/>
        <v>3601.9147314820912</v>
      </c>
      <c r="BJ50" s="127">
        <f t="shared" si="167"/>
        <v>4423.1651622754071</v>
      </c>
      <c r="BK50" s="127">
        <f t="shared" si="167"/>
        <v>5356.1566971526008</v>
      </c>
    </row>
    <row r="51" spans="2:63">
      <c r="B51" s="2" t="s">
        <v>328</v>
      </c>
      <c r="C51" s="12">
        <v>99.241</v>
      </c>
      <c r="D51" s="12">
        <v>109.996</v>
      </c>
      <c r="E51" s="12">
        <v>82.864000000000004</v>
      </c>
      <c r="F51" s="12">
        <v>116.61</v>
      </c>
      <c r="G51" s="12">
        <v>95.766000000000005</v>
      </c>
      <c r="H51" s="12">
        <v>143.91399999999999</v>
      </c>
      <c r="I51" s="2">
        <v>188.61099999999999</v>
      </c>
      <c r="J51" s="12">
        <v>195.16200000000001</v>
      </c>
      <c r="K51" s="12">
        <v>186.977</v>
      </c>
      <c r="L51" s="12">
        <v>156.72200000000001</v>
      </c>
      <c r="M51" s="2">
        <v>200.637</v>
      </c>
      <c r="N51" s="12">
        <v>195.49600000000001</v>
      </c>
      <c r="O51" s="12">
        <v>172.178</v>
      </c>
      <c r="P51" s="12">
        <v>146.13499999999999</v>
      </c>
      <c r="Q51" s="12">
        <v>129.583</v>
      </c>
      <c r="R51" s="12">
        <v>118.172</v>
      </c>
      <c r="S51" s="12">
        <v>104.40900000000001</v>
      </c>
      <c r="T51" s="12">
        <v>106.896</v>
      </c>
      <c r="U51" s="12">
        <v>148.09800000000001</v>
      </c>
      <c r="V51" s="12">
        <v>121.70099999999999</v>
      </c>
      <c r="W51" s="12">
        <v>90.36</v>
      </c>
      <c r="X51" s="12">
        <v>51.363</v>
      </c>
      <c r="Y51" s="12">
        <v>10.548</v>
      </c>
      <c r="Z51" s="12">
        <v>15.727</v>
      </c>
      <c r="AA51" s="12">
        <v>2.794</v>
      </c>
      <c r="AV51" s="12">
        <f t="shared" ref="AV51:AV61" si="168">F51</f>
        <v>116.61</v>
      </c>
      <c r="AW51" s="12">
        <f t="shared" ref="AW51:AW61" si="169">J51</f>
        <v>195.16200000000001</v>
      </c>
      <c r="AX51" s="12">
        <f t="shared" ref="AX51:AX61" si="170">N51</f>
        <v>195.49600000000001</v>
      </c>
      <c r="AY51" s="12">
        <f t="shared" ref="AY51:AY61" si="171">R51</f>
        <v>118.172</v>
      </c>
      <c r="AZ51" s="12">
        <f t="shared" ref="AZ51:AZ61" si="172">V51</f>
        <v>121.70099999999999</v>
      </c>
      <c r="BA51" s="12">
        <f t="shared" ref="BA51:BA61" si="173">Z51</f>
        <v>15.727</v>
      </c>
    </row>
    <row r="52" spans="2:63">
      <c r="B52" s="2" t="s">
        <v>329</v>
      </c>
      <c r="C52" s="12">
        <v>94.679000000000002</v>
      </c>
      <c r="D52" s="12">
        <v>99.010999999999996</v>
      </c>
      <c r="E52" s="12">
        <v>101.828</v>
      </c>
      <c r="F52" s="12">
        <v>105.901</v>
      </c>
      <c r="G52" s="12">
        <v>103.96299999999999</v>
      </c>
      <c r="H52" s="12">
        <v>97.613</v>
      </c>
      <c r="I52" s="2">
        <v>112.81699999999999</v>
      </c>
      <c r="J52" s="12">
        <v>114.608</v>
      </c>
      <c r="K52" s="12">
        <v>126.41500000000001</v>
      </c>
      <c r="L52" s="12">
        <v>136.61000000000001</v>
      </c>
      <c r="M52" s="2">
        <v>120.074</v>
      </c>
      <c r="N52" s="12">
        <v>133.94</v>
      </c>
      <c r="O52" s="12">
        <v>143.417</v>
      </c>
      <c r="P52" s="12">
        <v>187.38900000000001</v>
      </c>
      <c r="Q52" s="12">
        <v>189.006</v>
      </c>
      <c r="R52" s="12">
        <v>203.38399999999999</v>
      </c>
      <c r="S52" s="12">
        <v>207.364</v>
      </c>
      <c r="T52" s="12">
        <v>208.965</v>
      </c>
      <c r="U52" s="12">
        <v>206.61500000000001</v>
      </c>
      <c r="V52" s="12">
        <v>201.768</v>
      </c>
      <c r="W52" s="12">
        <v>191.989</v>
      </c>
      <c r="X52" s="12">
        <v>200.83099999999999</v>
      </c>
      <c r="Y52" s="12">
        <v>176.05099999999999</v>
      </c>
      <c r="Z52" s="12">
        <v>167.667</v>
      </c>
      <c r="AA52" s="12">
        <v>167.98099999999999</v>
      </c>
      <c r="AV52" s="12">
        <f t="shared" si="168"/>
        <v>105.901</v>
      </c>
      <c r="AW52" s="12">
        <f t="shared" si="169"/>
        <v>114.608</v>
      </c>
      <c r="AX52" s="12">
        <f t="shared" si="170"/>
        <v>133.94</v>
      </c>
      <c r="AY52" s="12">
        <f t="shared" si="171"/>
        <v>203.38399999999999</v>
      </c>
      <c r="AZ52" s="12">
        <f t="shared" si="172"/>
        <v>201.768</v>
      </c>
      <c r="BA52" s="12">
        <f t="shared" si="173"/>
        <v>167.667</v>
      </c>
      <c r="BC52" s="122" t="s">
        <v>619</v>
      </c>
      <c r="BD52" s="129">
        <v>9.5000000000000001E-2</v>
      </c>
      <c r="BG52" s="123" t="s">
        <v>678</v>
      </c>
    </row>
    <row r="53" spans="2:63">
      <c r="B53" s="2" t="s">
        <v>330</v>
      </c>
      <c r="C53" s="12">
        <v>121.691</v>
      </c>
      <c r="D53" s="12">
        <v>132.73500000000001</v>
      </c>
      <c r="E53" s="12">
        <v>140.35900000000001</v>
      </c>
      <c r="F53" s="12">
        <v>152.99199999999999</v>
      </c>
      <c r="G53" s="12">
        <v>166.15199999999999</v>
      </c>
      <c r="H53" s="12">
        <v>183.44200000000001</v>
      </c>
      <c r="I53" s="2">
        <v>191.547</v>
      </c>
      <c r="J53" s="12">
        <v>219.52699999999999</v>
      </c>
      <c r="K53" s="12">
        <v>245.321</v>
      </c>
      <c r="L53" s="12">
        <v>254.977</v>
      </c>
      <c r="M53" s="2">
        <v>258.31599999999997</v>
      </c>
      <c r="N53" s="12">
        <v>263.50400000000002</v>
      </c>
      <c r="O53" s="12">
        <v>274.34899999999999</v>
      </c>
      <c r="P53" s="12">
        <v>295.88299999999998</v>
      </c>
      <c r="Q53" s="12">
        <v>320.30399999999997</v>
      </c>
      <c r="R53" s="12">
        <v>334.00599999999997</v>
      </c>
      <c r="S53" s="12">
        <v>344.04199999999997</v>
      </c>
      <c r="T53" s="12">
        <v>358.77</v>
      </c>
      <c r="U53" s="12">
        <v>374.245</v>
      </c>
      <c r="V53" s="12">
        <v>388.02300000000002</v>
      </c>
      <c r="W53" s="2">
        <v>398.36599999999999</v>
      </c>
      <c r="X53" s="12">
        <v>373.79899999999998</v>
      </c>
      <c r="Y53" s="12">
        <v>393.41300000000001</v>
      </c>
      <c r="Z53" s="12">
        <v>406.73700000000002</v>
      </c>
      <c r="AA53" s="12">
        <v>415.863</v>
      </c>
      <c r="AV53" s="12">
        <f t="shared" si="168"/>
        <v>152.99199999999999</v>
      </c>
      <c r="AW53" s="12">
        <f t="shared" si="169"/>
        <v>219.52699999999999</v>
      </c>
      <c r="AX53" s="12">
        <f t="shared" si="170"/>
        <v>263.50400000000002</v>
      </c>
      <c r="AY53" s="12">
        <f t="shared" si="171"/>
        <v>334.00599999999997</v>
      </c>
      <c r="AZ53" s="12">
        <f t="shared" si="172"/>
        <v>388.02300000000002</v>
      </c>
      <c r="BA53" s="12">
        <f t="shared" si="173"/>
        <v>406.73700000000002</v>
      </c>
      <c r="BC53" s="122" t="s">
        <v>774</v>
      </c>
      <c r="BD53" s="129">
        <v>0.03</v>
      </c>
      <c r="BH53" s="122" t="s">
        <v>902</v>
      </c>
    </row>
    <row r="54" spans="2:63">
      <c r="B54" s="2" t="s">
        <v>331</v>
      </c>
      <c r="C54" s="12">
        <v>11.869</v>
      </c>
      <c r="D54" s="12">
        <v>15.601000000000001</v>
      </c>
      <c r="E54" s="12">
        <v>14.702</v>
      </c>
      <c r="F54" s="12">
        <v>14.852</v>
      </c>
      <c r="G54" s="12">
        <v>15.403</v>
      </c>
      <c r="H54" s="12">
        <v>16.545000000000002</v>
      </c>
      <c r="I54" s="2">
        <v>17.109000000000002</v>
      </c>
      <c r="J54" s="12">
        <v>18.734999999999999</v>
      </c>
      <c r="K54" s="12">
        <v>20.782</v>
      </c>
      <c r="L54" s="12">
        <v>22.526</v>
      </c>
      <c r="M54" s="2">
        <v>22.67</v>
      </c>
      <c r="N54" s="12">
        <v>29.155000000000001</v>
      </c>
      <c r="O54" s="12">
        <v>32.219000000000001</v>
      </c>
      <c r="P54" s="12">
        <v>30.32</v>
      </c>
      <c r="Q54" s="12">
        <v>29.888000000000002</v>
      </c>
      <c r="R54" s="12">
        <v>30.279</v>
      </c>
      <c r="S54" s="12">
        <v>35.987000000000002</v>
      </c>
      <c r="T54" s="12">
        <v>39.078000000000003</v>
      </c>
      <c r="U54" s="12">
        <v>38.761000000000003</v>
      </c>
      <c r="V54" s="12">
        <v>36.423999999999999</v>
      </c>
      <c r="W54" s="12">
        <v>31.193999999999999</v>
      </c>
      <c r="X54" s="12">
        <v>29.47</v>
      </c>
      <c r="Y54" s="12">
        <v>31.265000000000001</v>
      </c>
      <c r="Z54" s="12">
        <v>36.588999999999999</v>
      </c>
      <c r="AA54" s="12">
        <v>37.017000000000003</v>
      </c>
      <c r="AV54" s="12">
        <f t="shared" si="168"/>
        <v>14.852</v>
      </c>
      <c r="AW54" s="12">
        <f t="shared" si="169"/>
        <v>18.734999999999999</v>
      </c>
      <c r="AX54" s="12">
        <f t="shared" si="170"/>
        <v>29.155000000000001</v>
      </c>
      <c r="AY54" s="12">
        <f t="shared" si="171"/>
        <v>30.279</v>
      </c>
      <c r="AZ54" s="12">
        <f t="shared" si="172"/>
        <v>36.423999999999999</v>
      </c>
      <c r="BA54" s="12">
        <f t="shared" si="173"/>
        <v>36.588999999999999</v>
      </c>
      <c r="BC54" s="122" t="s">
        <v>728</v>
      </c>
      <c r="BD54" s="129">
        <v>4.3299999999999998E-2</v>
      </c>
      <c r="BH54" s="122" t="s">
        <v>1667</v>
      </c>
    </row>
    <row r="55" spans="2:63" ht="15" customHeight="1">
      <c r="B55" s="2" t="s">
        <v>332</v>
      </c>
      <c r="C55" s="12">
        <v>35.380000000000003</v>
      </c>
      <c r="D55" s="12">
        <v>37.94</v>
      </c>
      <c r="E55" s="12">
        <v>45.625</v>
      </c>
      <c r="F55" s="12">
        <v>51.811999999999998</v>
      </c>
      <c r="G55" s="12">
        <v>58.698</v>
      </c>
      <c r="H55" s="12">
        <v>62.188000000000002</v>
      </c>
      <c r="I55" s="2">
        <v>64.906000000000006</v>
      </c>
      <c r="J55" s="12">
        <v>48.168999999999997</v>
      </c>
      <c r="K55" s="12">
        <v>50.314</v>
      </c>
      <c r="L55" s="12">
        <v>50.853999999999999</v>
      </c>
      <c r="M55" s="2">
        <v>56.631999999999998</v>
      </c>
      <c r="N55" s="12">
        <v>58.856000000000002</v>
      </c>
      <c r="O55" s="12">
        <v>60.326999999999998</v>
      </c>
      <c r="P55" s="12">
        <v>63.457999999999998</v>
      </c>
      <c r="Q55" s="12">
        <v>64.081999999999994</v>
      </c>
      <c r="R55" s="12">
        <v>65.015000000000001</v>
      </c>
      <c r="S55" s="12">
        <v>65.224000000000004</v>
      </c>
      <c r="T55" s="12">
        <v>65.957999999999998</v>
      </c>
      <c r="U55" s="12">
        <v>65.632000000000005</v>
      </c>
      <c r="V55" s="12">
        <v>72.691000000000003</v>
      </c>
      <c r="W55" s="12">
        <v>75.744</v>
      </c>
      <c r="X55" s="12">
        <v>57.709000000000003</v>
      </c>
      <c r="Y55" s="12">
        <v>59.918999999999997</v>
      </c>
      <c r="Z55" s="12">
        <v>62.640999999999998</v>
      </c>
      <c r="AA55" s="12">
        <v>72.465000000000003</v>
      </c>
      <c r="AV55" s="12">
        <f t="shared" si="168"/>
        <v>51.811999999999998</v>
      </c>
      <c r="AW55" s="12">
        <f t="shared" si="169"/>
        <v>48.168999999999997</v>
      </c>
      <c r="AX55" s="12">
        <f t="shared" si="170"/>
        <v>58.856000000000002</v>
      </c>
      <c r="AY55" s="12">
        <f t="shared" si="171"/>
        <v>65.015000000000001</v>
      </c>
      <c r="AZ55" s="12">
        <f t="shared" si="172"/>
        <v>72.691000000000003</v>
      </c>
      <c r="BA55" s="12">
        <f t="shared" si="173"/>
        <v>62.640999999999998</v>
      </c>
      <c r="BC55" s="130" t="s">
        <v>839</v>
      </c>
      <c r="BD55" s="129">
        <f>8.5%-BD54</f>
        <v>4.1700000000000008E-2</v>
      </c>
      <c r="BH55" s="122" t="s">
        <v>1668</v>
      </c>
    </row>
    <row r="56" spans="2:63">
      <c r="B56" s="2" t="s">
        <v>334</v>
      </c>
      <c r="C56" s="12">
        <v>42.375999999999998</v>
      </c>
      <c r="D56" s="12">
        <v>42.475999999999999</v>
      </c>
      <c r="E56" s="12">
        <v>41.817</v>
      </c>
      <c r="F56" s="12">
        <v>43.716999999999999</v>
      </c>
      <c r="G56" s="12">
        <v>43.167999999999999</v>
      </c>
      <c r="H56" s="12">
        <v>42.668999999999997</v>
      </c>
      <c r="I56" s="2">
        <v>41.777999999999999</v>
      </c>
      <c r="J56" s="12">
        <v>41.192</v>
      </c>
      <c r="K56" s="12">
        <v>40.691000000000003</v>
      </c>
      <c r="L56" s="12">
        <v>92.790999999999997</v>
      </c>
      <c r="M56" s="2">
        <v>133.55199999999999</v>
      </c>
      <c r="N56" s="12">
        <v>131.95500000000001</v>
      </c>
      <c r="O56" s="12">
        <v>176.892</v>
      </c>
      <c r="P56" s="12">
        <v>177.423</v>
      </c>
      <c r="Q56" s="12">
        <v>174.684</v>
      </c>
      <c r="R56" s="12">
        <v>192.636</v>
      </c>
      <c r="S56" s="12">
        <v>189.839</v>
      </c>
      <c r="T56" s="12">
        <v>187.494</v>
      </c>
      <c r="U56" s="12">
        <v>184.52</v>
      </c>
      <c r="V56" s="12">
        <v>188.756</v>
      </c>
      <c r="W56" s="12">
        <v>185.845</v>
      </c>
      <c r="X56" s="12">
        <v>183.316</v>
      </c>
      <c r="Y56" s="12">
        <v>180.923</v>
      </c>
      <c r="Z56" s="12">
        <v>177.78700000000001</v>
      </c>
      <c r="AA56" s="12">
        <v>175.33099999999999</v>
      </c>
      <c r="AV56" s="12">
        <f t="shared" si="168"/>
        <v>43.716999999999999</v>
      </c>
      <c r="AW56" s="12">
        <f t="shared" si="169"/>
        <v>41.192</v>
      </c>
      <c r="AX56" s="12">
        <f t="shared" si="170"/>
        <v>131.95500000000001</v>
      </c>
      <c r="AY56" s="12">
        <f t="shared" si="171"/>
        <v>192.636</v>
      </c>
      <c r="AZ56" s="12">
        <f t="shared" si="172"/>
        <v>188.756</v>
      </c>
      <c r="BA56" s="12">
        <f t="shared" si="173"/>
        <v>177.78700000000001</v>
      </c>
      <c r="BC56" s="122" t="s">
        <v>676</v>
      </c>
      <c r="BD56" s="122">
        <v>0.56000000000000005</v>
      </c>
      <c r="BG56" s="123" t="s">
        <v>677</v>
      </c>
    </row>
    <row r="57" spans="2:63">
      <c r="B57" s="2" t="s">
        <v>333</v>
      </c>
      <c r="D57" s="2">
        <v>0</v>
      </c>
      <c r="E57" s="2">
        <v>0</v>
      </c>
      <c r="F57" s="12">
        <v>39.923999999999999</v>
      </c>
      <c r="G57" s="12">
        <v>39.286999999999999</v>
      </c>
      <c r="H57" s="12">
        <v>37.927</v>
      </c>
      <c r="I57" s="2">
        <v>38.798000000000002</v>
      </c>
      <c r="J57" s="12">
        <v>38.064999999999998</v>
      </c>
      <c r="K57" s="12">
        <v>37.697000000000003</v>
      </c>
      <c r="L57" s="12">
        <v>37.030999999999999</v>
      </c>
      <c r="M57" s="2">
        <v>36.844999999999999</v>
      </c>
      <c r="N57" s="12">
        <v>36.276000000000003</v>
      </c>
      <c r="O57" s="12">
        <v>35.549999999999997</v>
      </c>
      <c r="P57" s="12">
        <v>34.743000000000002</v>
      </c>
      <c r="Q57" s="12">
        <v>34.113999999999997</v>
      </c>
      <c r="R57" s="12">
        <v>33.323</v>
      </c>
      <c r="S57" s="12">
        <v>32.569000000000003</v>
      </c>
      <c r="T57" s="12">
        <v>31.751000000000001</v>
      </c>
      <c r="U57" s="12">
        <v>31.364000000000001</v>
      </c>
      <c r="V57" s="12">
        <v>31.091999999999999</v>
      </c>
      <c r="W57" s="12">
        <v>30.234000000000002</v>
      </c>
      <c r="X57" s="12">
        <v>29.366</v>
      </c>
      <c r="Y57" s="12">
        <v>28.888000000000002</v>
      </c>
      <c r="Z57" s="12">
        <v>28.018000000000001</v>
      </c>
      <c r="AA57" s="12">
        <v>27.126000000000001</v>
      </c>
      <c r="AV57" s="12">
        <f t="shared" si="168"/>
        <v>39.923999999999999</v>
      </c>
      <c r="AW57" s="12">
        <f t="shared" si="169"/>
        <v>38.064999999999998</v>
      </c>
      <c r="AX57" s="12">
        <f t="shared" si="170"/>
        <v>36.276000000000003</v>
      </c>
      <c r="AY57" s="12">
        <f t="shared" si="171"/>
        <v>33.323</v>
      </c>
      <c r="AZ57" s="12">
        <f t="shared" si="172"/>
        <v>31.091999999999999</v>
      </c>
      <c r="BA57" s="12">
        <f t="shared" si="173"/>
        <v>28.018000000000001</v>
      </c>
      <c r="BC57" s="122" t="s">
        <v>776</v>
      </c>
      <c r="BD57" s="129">
        <f>+BD54+(BD55*BD56)</f>
        <v>6.6652000000000003E-2</v>
      </c>
      <c r="BH57" s="122" t="s">
        <v>807</v>
      </c>
    </row>
    <row r="58" spans="2:63">
      <c r="B58" s="2" t="s">
        <v>335</v>
      </c>
      <c r="C58" s="12">
        <v>26.812999999999999</v>
      </c>
      <c r="D58" s="12">
        <v>26.030999999999999</v>
      </c>
      <c r="E58" s="12">
        <v>25.494</v>
      </c>
      <c r="F58" s="12">
        <v>25.407</v>
      </c>
      <c r="G58" s="12">
        <v>25.024000000000001</v>
      </c>
      <c r="H58" s="12">
        <v>10.645</v>
      </c>
      <c r="I58" s="2">
        <v>10.64</v>
      </c>
      <c r="J58" s="12">
        <v>10.638999999999999</v>
      </c>
      <c r="K58" s="12">
        <v>10.097</v>
      </c>
      <c r="L58" s="12">
        <v>9.8949999999999996</v>
      </c>
      <c r="M58" s="2">
        <v>9.49</v>
      </c>
      <c r="N58" s="12">
        <v>90.617999999999995</v>
      </c>
      <c r="O58" s="12">
        <v>88.471999999999994</v>
      </c>
      <c r="P58" s="12">
        <v>86.162000000000006</v>
      </c>
      <c r="Q58" s="12">
        <v>83.36</v>
      </c>
      <c r="R58" s="12">
        <v>81.161000000000001</v>
      </c>
      <c r="S58" s="12">
        <v>78.668999999999997</v>
      </c>
      <c r="T58" s="12">
        <v>76.116</v>
      </c>
      <c r="U58" s="12">
        <v>73.451999999999998</v>
      </c>
      <c r="V58" s="12">
        <v>71.055999999999997</v>
      </c>
      <c r="W58" s="12">
        <v>68.421000000000006</v>
      </c>
      <c r="X58" s="12">
        <v>6.9550000000000001</v>
      </c>
      <c r="Y58" s="12">
        <v>6.92</v>
      </c>
      <c r="Z58" s="12">
        <v>6.5129999999999999</v>
      </c>
      <c r="AA58" s="12">
        <v>6.4690000000000003</v>
      </c>
      <c r="AV58" s="12">
        <f t="shared" si="168"/>
        <v>25.407</v>
      </c>
      <c r="AW58" s="12">
        <f t="shared" si="169"/>
        <v>10.638999999999999</v>
      </c>
      <c r="AX58" s="12">
        <f t="shared" si="170"/>
        <v>90.617999999999995</v>
      </c>
      <c r="AY58" s="12">
        <f t="shared" si="171"/>
        <v>81.161000000000001</v>
      </c>
      <c r="AZ58" s="12">
        <f t="shared" si="172"/>
        <v>71.055999999999997</v>
      </c>
      <c r="BA58" s="12">
        <f t="shared" si="173"/>
        <v>6.5129999999999999</v>
      </c>
      <c r="BH58" s="122" t="s">
        <v>699</v>
      </c>
    </row>
    <row r="59" spans="2:63">
      <c r="B59" s="2" t="s">
        <v>336</v>
      </c>
      <c r="C59" s="12">
        <v>7.6589999999999998</v>
      </c>
      <c r="D59" s="12">
        <v>7.7649999999999997</v>
      </c>
      <c r="E59" s="12">
        <v>7.452</v>
      </c>
      <c r="F59" s="12">
        <v>7.6559999999999997</v>
      </c>
      <c r="G59" s="12">
        <v>7.5090000000000003</v>
      </c>
      <c r="H59" s="12">
        <v>7.665</v>
      </c>
      <c r="I59" s="2">
        <v>8.0039999999999996</v>
      </c>
      <c r="J59" s="12">
        <v>8.3719999999999999</v>
      </c>
      <c r="K59" s="12">
        <v>8.0060000000000002</v>
      </c>
      <c r="L59" s="12">
        <v>8.109</v>
      </c>
      <c r="M59" s="2">
        <v>7.9109999999999996</v>
      </c>
      <c r="N59" s="12">
        <v>166.38800000000001</v>
      </c>
      <c r="O59" s="12">
        <v>166.232</v>
      </c>
      <c r="P59" s="12">
        <v>165.779</v>
      </c>
      <c r="Q59" s="12">
        <v>165.42599999999999</v>
      </c>
      <c r="R59" s="12">
        <v>166.04599999999999</v>
      </c>
      <c r="S59" s="12">
        <v>166.161</v>
      </c>
      <c r="T59" s="12">
        <v>166.166</v>
      </c>
      <c r="U59" s="12">
        <v>165.95400000000001</v>
      </c>
      <c r="V59" s="12">
        <v>166.27</v>
      </c>
      <c r="W59" s="12">
        <v>166.10300000000001</v>
      </c>
      <c r="X59" s="12">
        <v>166.05</v>
      </c>
      <c r="Y59" s="12">
        <v>166.35499999999999</v>
      </c>
      <c r="Z59" s="12">
        <v>165.82599999999999</v>
      </c>
      <c r="AA59" s="12">
        <v>166.12299999999999</v>
      </c>
      <c r="AV59" s="12">
        <f t="shared" si="168"/>
        <v>7.6559999999999997</v>
      </c>
      <c r="AW59" s="12">
        <f t="shared" si="169"/>
        <v>8.3719999999999999</v>
      </c>
      <c r="AX59" s="12">
        <f t="shared" si="170"/>
        <v>166.38800000000001</v>
      </c>
      <c r="AY59" s="12">
        <f t="shared" si="171"/>
        <v>166.04599999999999</v>
      </c>
      <c r="AZ59" s="12">
        <f t="shared" si="172"/>
        <v>166.27</v>
      </c>
      <c r="BA59" s="12">
        <f t="shared" si="173"/>
        <v>165.82599999999999</v>
      </c>
      <c r="BC59" s="122" t="s">
        <v>616</v>
      </c>
      <c r="BD59" s="127">
        <f>NPV(BD57,BB39:CP39)</f>
        <v>12198.536959271867</v>
      </c>
      <c r="BI59" s="122" t="s">
        <v>682</v>
      </c>
    </row>
    <row r="60" spans="2:63">
      <c r="B60" s="2" t="s">
        <v>729</v>
      </c>
      <c r="C60" s="12">
        <v>31.861999999999998</v>
      </c>
      <c r="D60" s="12">
        <v>34.661000000000001</v>
      </c>
      <c r="E60" s="12">
        <v>32.817999999999998</v>
      </c>
      <c r="F60" s="12">
        <v>31.305</v>
      </c>
      <c r="G60" s="12">
        <v>32.945</v>
      </c>
      <c r="H60" s="12">
        <v>36.473999999999997</v>
      </c>
      <c r="I60" s="2">
        <v>47.91</v>
      </c>
      <c r="J60" s="12">
        <v>50.139000000000003</v>
      </c>
      <c r="K60" s="12">
        <v>48.978000000000002</v>
      </c>
      <c r="L60" s="12">
        <v>47.67</v>
      </c>
      <c r="M60" s="2">
        <v>49.454000000000001</v>
      </c>
      <c r="N60" s="12">
        <v>65.697999999999993</v>
      </c>
      <c r="O60" s="12">
        <v>70.08</v>
      </c>
      <c r="P60" s="12">
        <v>68.403999999999996</v>
      </c>
      <c r="Q60" s="12">
        <v>62.826999999999998</v>
      </c>
      <c r="R60" s="12">
        <v>64.212999999999994</v>
      </c>
      <c r="S60" s="12">
        <v>65.173000000000002</v>
      </c>
      <c r="T60" s="12">
        <v>66.671000000000006</v>
      </c>
      <c r="U60" s="12">
        <v>64.236000000000004</v>
      </c>
      <c r="V60" s="12">
        <v>85.158000000000001</v>
      </c>
      <c r="W60" s="12">
        <v>84.661000000000001</v>
      </c>
      <c r="X60" s="12">
        <v>108.852</v>
      </c>
      <c r="Y60" s="12">
        <v>105.851</v>
      </c>
      <c r="Z60" s="12">
        <v>100.33199999999999</v>
      </c>
      <c r="AA60" s="12">
        <v>102.355</v>
      </c>
      <c r="AV60" s="12">
        <f t="shared" si="168"/>
        <v>31.305</v>
      </c>
      <c r="AW60" s="12">
        <f t="shared" si="169"/>
        <v>50.139000000000003</v>
      </c>
      <c r="AX60" s="12">
        <f t="shared" si="170"/>
        <v>65.697999999999993</v>
      </c>
      <c r="AY60" s="12">
        <f t="shared" si="171"/>
        <v>64.212999999999994</v>
      </c>
      <c r="AZ60" s="12">
        <f t="shared" si="172"/>
        <v>85.158000000000001</v>
      </c>
      <c r="BA60" s="12">
        <f t="shared" si="173"/>
        <v>100.33199999999999</v>
      </c>
      <c r="BC60" s="122" t="s">
        <v>325</v>
      </c>
      <c r="BD60" s="127">
        <f>BB40</f>
        <v>38.6</v>
      </c>
      <c r="BE60" s="131" t="s">
        <v>293</v>
      </c>
      <c r="BI60" s="122" t="s">
        <v>684</v>
      </c>
    </row>
    <row r="61" spans="2:63">
      <c r="B61" s="2" t="s">
        <v>337</v>
      </c>
      <c r="C61" s="12">
        <v>1.613</v>
      </c>
      <c r="D61" s="12">
        <v>1.6319999999999999</v>
      </c>
      <c r="E61" s="12">
        <v>9.6300000000000008</v>
      </c>
      <c r="F61" s="12">
        <v>2.9460000000000002</v>
      </c>
      <c r="G61" s="12">
        <v>3.8690000000000002</v>
      </c>
      <c r="H61" s="12">
        <v>6.7370000000000001</v>
      </c>
      <c r="I61" s="2">
        <v>8.0690000000000008</v>
      </c>
      <c r="J61" s="12">
        <v>8.7050000000000001</v>
      </c>
      <c r="K61" s="12">
        <v>9.9139999999999997</v>
      </c>
      <c r="L61" s="12">
        <v>10.756</v>
      </c>
      <c r="M61" s="2">
        <v>11.37</v>
      </c>
      <c r="N61" s="12">
        <v>12.984999999999999</v>
      </c>
      <c r="O61" s="12">
        <v>13.694000000000001</v>
      </c>
      <c r="P61" s="12">
        <v>13.97</v>
      </c>
      <c r="Q61" s="12">
        <v>13.483000000000001</v>
      </c>
      <c r="R61" s="12">
        <v>12.792999999999999</v>
      </c>
      <c r="S61" s="12">
        <v>11.173</v>
      </c>
      <c r="T61" s="12">
        <v>10.5</v>
      </c>
      <c r="U61" s="2">
        <v>14.743</v>
      </c>
      <c r="V61" s="12">
        <v>25.88</v>
      </c>
      <c r="W61" s="12">
        <v>33.814</v>
      </c>
      <c r="X61" s="12">
        <v>38.518000000000001</v>
      </c>
      <c r="Y61" s="12">
        <v>38.514000000000003</v>
      </c>
      <c r="Z61" s="12">
        <v>40.939</v>
      </c>
      <c r="AA61" s="12">
        <v>43.728999999999999</v>
      </c>
      <c r="AV61" s="12">
        <f t="shared" si="168"/>
        <v>2.9460000000000002</v>
      </c>
      <c r="AW61" s="12">
        <f t="shared" si="169"/>
        <v>8.7050000000000001</v>
      </c>
      <c r="AX61" s="12">
        <f t="shared" si="170"/>
        <v>12.984999999999999</v>
      </c>
      <c r="AY61" s="12">
        <f t="shared" si="171"/>
        <v>12.792999999999999</v>
      </c>
      <c r="AZ61" s="12">
        <f t="shared" si="172"/>
        <v>25.88</v>
      </c>
      <c r="BA61" s="12">
        <f t="shared" si="173"/>
        <v>40.939</v>
      </c>
      <c r="BC61" s="122" t="s">
        <v>617</v>
      </c>
      <c r="BD61" s="128">
        <f>BD59/BD60</f>
        <v>316.024273556266</v>
      </c>
      <c r="BE61" s="132"/>
      <c r="BJ61" s="122" t="s">
        <v>698</v>
      </c>
    </row>
    <row r="62" spans="2:63">
      <c r="B62" s="2" t="s">
        <v>338</v>
      </c>
      <c r="C62" s="12">
        <f t="shared" ref="C62:Z62" si="174">SUM(C50:C61)</f>
        <v>568.78899999999999</v>
      </c>
      <c r="D62" s="12">
        <f>SUM(D50:D61)</f>
        <v>585.10899999999981</v>
      </c>
      <c r="E62" s="12">
        <f t="shared" si="174"/>
        <v>614.17000000000007</v>
      </c>
      <c r="F62" s="12">
        <f t="shared" si="174"/>
        <v>665.90099999999995</v>
      </c>
      <c r="G62" s="12">
        <f t="shared" si="174"/>
        <v>664.24000000000012</v>
      </c>
      <c r="H62" s="12">
        <f t="shared" si="174"/>
        <v>780.19999999999982</v>
      </c>
      <c r="I62" s="12">
        <f t="shared" si="174"/>
        <v>810.30399999999997</v>
      </c>
      <c r="J62" s="12">
        <f t="shared" si="174"/>
        <v>822.98299999999995</v>
      </c>
      <c r="K62" s="12">
        <f t="shared" si="174"/>
        <v>840.82399999999996</v>
      </c>
      <c r="L62" s="12">
        <f t="shared" si="174"/>
        <v>910.21799999999996</v>
      </c>
      <c r="M62" s="12">
        <f t="shared" si="174"/>
        <v>973.24099999999987</v>
      </c>
      <c r="N62" s="12">
        <f t="shared" si="174"/>
        <v>1244.2499999999998</v>
      </c>
      <c r="O62" s="12">
        <f t="shared" si="174"/>
        <v>1301.5729999999999</v>
      </c>
      <c r="P62" s="12">
        <f t="shared" si="174"/>
        <v>1327.9</v>
      </c>
      <c r="Q62" s="12">
        <f t="shared" si="174"/>
        <v>1321.6009999999999</v>
      </c>
      <c r="R62" s="12">
        <f t="shared" si="174"/>
        <v>1370.886</v>
      </c>
      <c r="S62" s="12">
        <f t="shared" si="174"/>
        <v>1395.298</v>
      </c>
      <c r="T62" s="12">
        <f t="shared" si="174"/>
        <v>1432.5319999999999</v>
      </c>
      <c r="U62" s="12">
        <f t="shared" si="174"/>
        <v>1468.377</v>
      </c>
      <c r="V62" s="12">
        <f t="shared" si="174"/>
        <v>1556.3050000000003</v>
      </c>
      <c r="W62" s="12">
        <f t="shared" si="174"/>
        <v>1579.845</v>
      </c>
      <c r="X62" s="12">
        <f t="shared" si="174"/>
        <v>1534.5609999999999</v>
      </c>
      <c r="Y62" s="12">
        <f t="shared" si="174"/>
        <v>1479.1229999999998</v>
      </c>
      <c r="Z62" s="12">
        <f t="shared" si="174"/>
        <v>1533.1759999999997</v>
      </c>
      <c r="AA62" s="12">
        <f t="shared" ref="AA62" si="175">SUM(AA50:AA61)</f>
        <v>1593.307</v>
      </c>
      <c r="AV62" s="12">
        <f t="shared" ref="AV62" si="176">SUM(AV50:AV61)</f>
        <v>665.90099999999995</v>
      </c>
      <c r="AW62" s="12">
        <f t="shared" ref="AW62" si="177">SUM(AW50:AW61)</f>
        <v>822.98299999999995</v>
      </c>
      <c r="AX62" s="12">
        <f t="shared" ref="AX62" si="178">SUM(AX50:AX61)</f>
        <v>1244.2499999999998</v>
      </c>
      <c r="AY62" s="12">
        <f t="shared" ref="AY62" si="179">SUM(AY50:AY61)</f>
        <v>1370.886</v>
      </c>
      <c r="AZ62" s="12">
        <f t="shared" ref="AZ62" si="180">SUM(AZ50:AZ61)</f>
        <v>1556.3050000000003</v>
      </c>
      <c r="BA62" s="12">
        <f t="shared" ref="BA62" si="181">SUM(BA50:BA61)</f>
        <v>1533.1759999999997</v>
      </c>
      <c r="BC62" s="122" t="s">
        <v>618</v>
      </c>
      <c r="BD62" s="128">
        <f>'Main | Overview'!C5</f>
        <v>297.91000000000003</v>
      </c>
      <c r="BE62" s="133">
        <v>45763</v>
      </c>
      <c r="BH62" s="122" t="s">
        <v>863</v>
      </c>
    </row>
    <row r="63" spans="2:63">
      <c r="AA63" s="2"/>
      <c r="AW63" s="12"/>
      <c r="AX63" s="12"/>
      <c r="AY63" s="12"/>
      <c r="AZ63" s="12"/>
      <c r="BA63" s="12"/>
      <c r="BC63" s="122" t="s">
        <v>775</v>
      </c>
      <c r="BD63" s="129">
        <f>BD61/BD62-1</f>
        <v>6.0804516653573115E-2</v>
      </c>
      <c r="BE63" s="132" t="str">
        <f>IF(BD63&gt;0,"Upside","Downside")</f>
        <v>Upside</v>
      </c>
      <c r="BI63" s="122" t="s">
        <v>864</v>
      </c>
    </row>
    <row r="64" spans="2:63">
      <c r="B64" s="2" t="s">
        <v>339</v>
      </c>
      <c r="C64" s="12">
        <v>7.6920000000000002</v>
      </c>
      <c r="D64" s="12">
        <v>8.7430000000000003</v>
      </c>
      <c r="E64" s="12">
        <v>11.962</v>
      </c>
      <c r="F64" s="12">
        <v>15.111000000000001</v>
      </c>
      <c r="G64" s="12">
        <v>15.843</v>
      </c>
      <c r="H64" s="12">
        <v>14.432</v>
      </c>
      <c r="I64" s="12">
        <v>14.544</v>
      </c>
      <c r="J64" s="12">
        <v>14.109</v>
      </c>
      <c r="K64" s="12">
        <v>15.388999999999999</v>
      </c>
      <c r="L64" s="12">
        <v>13.712</v>
      </c>
      <c r="M64" s="2">
        <v>13.679</v>
      </c>
      <c r="N64" s="12">
        <v>13.420999999999999</v>
      </c>
      <c r="O64" s="12">
        <v>14.137</v>
      </c>
      <c r="P64" s="12">
        <v>23.096</v>
      </c>
      <c r="Q64" s="12">
        <v>25.364999999999998</v>
      </c>
      <c r="R64" s="12">
        <v>26.678999999999998</v>
      </c>
      <c r="S64" s="12">
        <v>28.199000000000002</v>
      </c>
      <c r="T64" s="12">
        <v>25.818999999999999</v>
      </c>
      <c r="U64" s="12">
        <v>27.995999999999999</v>
      </c>
      <c r="V64" s="12">
        <v>27.155000000000001</v>
      </c>
      <c r="W64" s="12">
        <v>32.454500000000003</v>
      </c>
      <c r="X64" s="12">
        <v>32.822000000000003</v>
      </c>
      <c r="Y64" s="12">
        <v>33.151000000000003</v>
      </c>
      <c r="Z64" s="12">
        <v>31.326000000000001</v>
      </c>
      <c r="AA64" s="12">
        <v>31.152999999999999</v>
      </c>
      <c r="AV64" s="12">
        <f>F64</f>
        <v>15.111000000000001</v>
      </c>
      <c r="AW64" s="12">
        <f>J64</f>
        <v>14.109</v>
      </c>
      <c r="AX64" s="12">
        <f>N64</f>
        <v>13.420999999999999</v>
      </c>
      <c r="AY64" s="12">
        <f>R64</f>
        <v>26.678999999999998</v>
      </c>
      <c r="AZ64" s="12">
        <f>V64</f>
        <v>27.155000000000001</v>
      </c>
      <c r="BA64" s="12">
        <f t="shared" ref="BA64" si="182">Z64</f>
        <v>31.326000000000001</v>
      </c>
      <c r="BB64" s="127"/>
      <c r="BC64" s="127"/>
      <c r="BD64" s="127"/>
      <c r="BE64" s="127"/>
      <c r="BF64" s="127"/>
      <c r="BH64" s="122" t="s">
        <v>840</v>
      </c>
    </row>
    <row r="65" spans="2:62">
      <c r="B65" s="2" t="s">
        <v>340</v>
      </c>
      <c r="C65" s="12">
        <v>58.031999999999996</v>
      </c>
      <c r="D65" s="12">
        <v>57.276000000000003</v>
      </c>
      <c r="E65" s="12">
        <v>70.162999999999997</v>
      </c>
      <c r="F65" s="12">
        <v>67.63</v>
      </c>
      <c r="G65" s="12">
        <v>65.334999999999994</v>
      </c>
      <c r="H65" s="12">
        <v>57.718000000000004</v>
      </c>
      <c r="I65" s="12">
        <v>87.691000000000003</v>
      </c>
      <c r="J65" s="12">
        <v>85.795000000000002</v>
      </c>
      <c r="K65" s="12">
        <v>90.213999999999999</v>
      </c>
      <c r="L65" s="12">
        <v>86.503</v>
      </c>
      <c r="M65" s="2">
        <v>93.22</v>
      </c>
      <c r="N65" s="12">
        <v>99.796000000000006</v>
      </c>
      <c r="O65" s="12">
        <v>105.533</v>
      </c>
      <c r="P65" s="12">
        <v>111.405</v>
      </c>
      <c r="Q65" s="12">
        <v>101.672</v>
      </c>
      <c r="R65" s="12">
        <v>106.3</v>
      </c>
      <c r="S65" s="12">
        <v>105.869</v>
      </c>
      <c r="T65" s="12">
        <v>105.60599999999999</v>
      </c>
      <c r="U65" s="12">
        <v>104.184</v>
      </c>
      <c r="V65" s="12">
        <v>110.55500000000001</v>
      </c>
      <c r="W65" s="12">
        <v>106.54900000000001</v>
      </c>
      <c r="X65" s="12">
        <v>104.071</v>
      </c>
      <c r="Y65" s="12">
        <v>105.55</v>
      </c>
      <c r="Z65" s="12">
        <v>112.429</v>
      </c>
      <c r="AA65" s="12">
        <v>112.675</v>
      </c>
      <c r="AV65" s="12">
        <f t="shared" ref="AV65:AV71" si="183">F65</f>
        <v>67.63</v>
      </c>
      <c r="AW65" s="12">
        <f t="shared" ref="AW65:AW71" si="184">J65</f>
        <v>85.795000000000002</v>
      </c>
      <c r="AX65" s="12">
        <f t="shared" ref="AX65:AX71" si="185">N65</f>
        <v>99.796000000000006</v>
      </c>
      <c r="AY65" s="12">
        <f t="shared" ref="AY65:AY71" si="186">R65</f>
        <v>106.3</v>
      </c>
      <c r="AZ65" s="12">
        <f t="shared" ref="AZ65:AZ70" si="187">V65</f>
        <v>110.55500000000001</v>
      </c>
      <c r="BA65" s="12">
        <f t="shared" ref="BA65:BA70" si="188">Z65</f>
        <v>112.429</v>
      </c>
      <c r="BH65" s="122" t="s">
        <v>730</v>
      </c>
    </row>
    <row r="66" spans="2:62">
      <c r="B66" s="2" t="s">
        <v>341</v>
      </c>
      <c r="C66" s="12">
        <v>3.6880000000000002</v>
      </c>
      <c r="D66" s="12">
        <v>3.742</v>
      </c>
      <c r="E66" s="12">
        <v>4.0419999999999998</v>
      </c>
      <c r="F66" s="12">
        <v>4.1420000000000003</v>
      </c>
      <c r="G66" s="12">
        <v>4.4349999999999996</v>
      </c>
      <c r="H66" s="12">
        <v>4.4459999999999997</v>
      </c>
      <c r="I66" s="12">
        <v>4.484</v>
      </c>
      <c r="J66" s="12">
        <v>4.6970000000000001</v>
      </c>
      <c r="K66" s="12">
        <v>4.8220000000000001</v>
      </c>
      <c r="L66" s="12">
        <v>6.3470000000000004</v>
      </c>
      <c r="M66" s="2">
        <v>7.5309999999999997</v>
      </c>
      <c r="N66" s="12">
        <v>8.2669999999999995</v>
      </c>
      <c r="O66" s="12">
        <v>8.66</v>
      </c>
      <c r="P66" s="12">
        <v>9.2970000000000006</v>
      </c>
      <c r="Q66" s="12">
        <v>9.4169999999999998</v>
      </c>
      <c r="R66" s="12">
        <v>10.032999999999999</v>
      </c>
      <c r="S66" s="12">
        <v>10.303000000000001</v>
      </c>
      <c r="T66" s="12">
        <v>10.715</v>
      </c>
      <c r="U66" s="12">
        <v>10.827</v>
      </c>
      <c r="V66" s="12">
        <v>11.202999999999999</v>
      </c>
      <c r="W66" s="12">
        <v>11.52</v>
      </c>
      <c r="X66" s="12">
        <v>11.776</v>
      </c>
      <c r="Y66" s="12">
        <v>12.068</v>
      </c>
      <c r="Z66" s="12">
        <v>12.221</v>
      </c>
      <c r="AA66" s="12">
        <v>12.51</v>
      </c>
      <c r="AV66" s="12">
        <f t="shared" si="183"/>
        <v>4.1420000000000003</v>
      </c>
      <c r="AW66" s="12">
        <f t="shared" si="184"/>
        <v>4.6970000000000001</v>
      </c>
      <c r="AX66" s="12">
        <f t="shared" si="185"/>
        <v>8.2669999999999995</v>
      </c>
      <c r="AY66" s="12">
        <f t="shared" si="186"/>
        <v>10.032999999999999</v>
      </c>
      <c r="AZ66" s="12">
        <f t="shared" si="187"/>
        <v>11.202999999999999</v>
      </c>
      <c r="BA66" s="12">
        <f t="shared" si="188"/>
        <v>12.221</v>
      </c>
      <c r="BH66" s="122" t="s">
        <v>680</v>
      </c>
    </row>
    <row r="67" spans="2:62">
      <c r="B67" s="2" t="s">
        <v>342</v>
      </c>
      <c r="C67" s="12">
        <v>0</v>
      </c>
      <c r="D67" s="12">
        <v>0</v>
      </c>
      <c r="E67" s="12">
        <v>0</v>
      </c>
      <c r="F67" s="12">
        <v>4.165</v>
      </c>
      <c r="G67" s="12">
        <v>2.4609999999999999</v>
      </c>
      <c r="H67" s="12">
        <v>1.016</v>
      </c>
      <c r="I67" s="12">
        <v>1.3360000000000001</v>
      </c>
      <c r="J67" s="12">
        <v>1.331</v>
      </c>
      <c r="K67" s="12">
        <v>1.4370000000000001</v>
      </c>
      <c r="L67" s="12">
        <v>1.484</v>
      </c>
      <c r="M67" s="2">
        <v>1.627</v>
      </c>
      <c r="N67" s="12">
        <v>1.7130000000000001</v>
      </c>
      <c r="O67" s="12">
        <v>1.7689999999999999</v>
      </c>
      <c r="P67" s="12">
        <v>1.806</v>
      </c>
      <c r="Q67" s="12">
        <v>1.8779999999999999</v>
      </c>
      <c r="R67" s="12">
        <v>1.92</v>
      </c>
      <c r="S67" s="12">
        <v>1.9570000000000001</v>
      </c>
      <c r="T67" s="12">
        <v>1.984</v>
      </c>
      <c r="U67" s="12">
        <v>2.0710000000000002</v>
      </c>
      <c r="V67" s="12">
        <v>2.2309999999999999</v>
      </c>
      <c r="W67" s="12">
        <v>2.2799999999999998</v>
      </c>
      <c r="X67" s="12">
        <v>2.3250000000000002</v>
      </c>
      <c r="Y67" s="12">
        <v>2.4159999999999999</v>
      </c>
      <c r="Z67" s="12">
        <v>2.3690000000000002</v>
      </c>
      <c r="AA67" s="12">
        <v>2.2919999999999998</v>
      </c>
      <c r="AV67" s="12">
        <f t="shared" si="183"/>
        <v>4.165</v>
      </c>
      <c r="AW67" s="12">
        <f t="shared" si="184"/>
        <v>1.331</v>
      </c>
      <c r="AX67" s="12">
        <f t="shared" si="185"/>
        <v>1.7130000000000001</v>
      </c>
      <c r="AY67" s="12">
        <f t="shared" si="186"/>
        <v>1.92</v>
      </c>
      <c r="AZ67" s="12">
        <f t="shared" si="187"/>
        <v>2.2309999999999999</v>
      </c>
      <c r="BA67" s="12">
        <f t="shared" si="188"/>
        <v>2.3690000000000002</v>
      </c>
      <c r="BH67" s="122" t="s">
        <v>681</v>
      </c>
    </row>
    <row r="68" spans="2:62">
      <c r="B68" s="2" t="s">
        <v>343</v>
      </c>
      <c r="C68" s="12">
        <v>46.07</v>
      </c>
      <c r="D68" s="12">
        <v>46.146000000000001</v>
      </c>
      <c r="E68" s="12">
        <v>45.4</v>
      </c>
      <c r="F68" s="12">
        <v>47.241999999999997</v>
      </c>
      <c r="G68" s="12">
        <v>46.415999999999997</v>
      </c>
      <c r="H68" s="12">
        <v>45.924999999999997</v>
      </c>
      <c r="I68" s="12">
        <v>44.997999999999998</v>
      </c>
      <c r="J68" s="12">
        <v>44.183</v>
      </c>
      <c r="K68" s="12">
        <v>43.524999999999999</v>
      </c>
      <c r="L68" s="12">
        <v>94.444000000000003</v>
      </c>
      <c r="M68" s="2">
        <v>138.16900000000001</v>
      </c>
      <c r="N68" s="12">
        <v>137.04499999999999</v>
      </c>
      <c r="O68" s="12">
        <v>182.43799999999999</v>
      </c>
      <c r="P68" s="12">
        <v>183.155</v>
      </c>
      <c r="Q68" s="12">
        <v>180.89699999999999</v>
      </c>
      <c r="R68" s="12">
        <v>198.95500000000001</v>
      </c>
      <c r="S68" s="12">
        <v>196.83699999999999</v>
      </c>
      <c r="T68" s="12">
        <v>194.655</v>
      </c>
      <c r="U68" s="12">
        <v>192.11699999999999</v>
      </c>
      <c r="V68" s="12">
        <v>197.22900000000001</v>
      </c>
      <c r="W68" s="12">
        <v>194.53700000000001</v>
      </c>
      <c r="X68" s="12">
        <v>192.21600000000001</v>
      </c>
      <c r="Y68" s="12">
        <v>189.96</v>
      </c>
      <c r="Z68" s="12">
        <v>187.06800000000001</v>
      </c>
      <c r="AA68" s="12">
        <v>184.65199999999999</v>
      </c>
      <c r="AV68" s="12">
        <f t="shared" si="183"/>
        <v>47.241999999999997</v>
      </c>
      <c r="AW68" s="12">
        <f t="shared" si="184"/>
        <v>44.183</v>
      </c>
      <c r="AX68" s="12">
        <f t="shared" si="185"/>
        <v>137.04499999999999</v>
      </c>
      <c r="AY68" s="12">
        <f t="shared" si="186"/>
        <v>198.95500000000001</v>
      </c>
      <c r="AZ68" s="12">
        <f t="shared" si="187"/>
        <v>197.22900000000001</v>
      </c>
      <c r="BA68" s="12">
        <f t="shared" si="188"/>
        <v>187.06800000000001</v>
      </c>
      <c r="BH68" s="122" t="s">
        <v>904</v>
      </c>
    </row>
    <row r="69" spans="2:62">
      <c r="B69" s="2" t="s">
        <v>344</v>
      </c>
      <c r="C69" s="12">
        <v>0</v>
      </c>
      <c r="D69" s="12">
        <v>0</v>
      </c>
      <c r="E69" s="2">
        <v>0</v>
      </c>
      <c r="F69" s="2">
        <v>26.748000000000001</v>
      </c>
      <c r="G69" s="12">
        <v>26.483000000000001</v>
      </c>
      <c r="H69" s="12">
        <v>26.202000000000002</v>
      </c>
      <c r="I69" s="12">
        <v>27.390999999999998</v>
      </c>
      <c r="J69" s="12">
        <v>27.065999999999999</v>
      </c>
      <c r="K69" s="12">
        <v>27</v>
      </c>
      <c r="L69" s="12">
        <v>26.690999999999999</v>
      </c>
      <c r="M69" s="2">
        <v>26.774999999999999</v>
      </c>
      <c r="N69" s="12">
        <v>26.523</v>
      </c>
      <c r="O69" s="12">
        <v>26.122</v>
      </c>
      <c r="P69" s="12">
        <v>25.654</v>
      </c>
      <c r="Q69" s="12">
        <v>25.324999999999999</v>
      </c>
      <c r="R69" s="12">
        <v>24.864999999999998</v>
      </c>
      <c r="S69" s="12">
        <v>24.422999999999998</v>
      </c>
      <c r="T69" s="12">
        <v>23.922000000000001</v>
      </c>
      <c r="U69" s="12">
        <v>23.779</v>
      </c>
      <c r="V69" s="12">
        <v>23.68</v>
      </c>
      <c r="W69" s="12">
        <v>23.097999999999999</v>
      </c>
      <c r="X69" s="12">
        <v>22.501000000000001</v>
      </c>
      <c r="Y69" s="12">
        <v>22.245000000000001</v>
      </c>
      <c r="Z69" s="12">
        <v>21.731000000000002</v>
      </c>
      <c r="AA69" s="12">
        <v>21.201000000000001</v>
      </c>
      <c r="AV69" s="12">
        <f t="shared" si="183"/>
        <v>26.748000000000001</v>
      </c>
      <c r="AW69" s="12">
        <f t="shared" si="184"/>
        <v>27.065999999999999</v>
      </c>
      <c r="AX69" s="12">
        <f t="shared" si="185"/>
        <v>26.523</v>
      </c>
      <c r="AY69" s="12">
        <f t="shared" si="186"/>
        <v>24.864999999999998</v>
      </c>
      <c r="AZ69" s="12">
        <f t="shared" si="187"/>
        <v>23.68</v>
      </c>
      <c r="BA69" s="12">
        <f t="shared" si="188"/>
        <v>21.731000000000002</v>
      </c>
      <c r="BG69" s="123" t="s">
        <v>706</v>
      </c>
    </row>
    <row r="70" spans="2:62">
      <c r="B70" s="2" t="s">
        <v>345</v>
      </c>
      <c r="C70" s="12">
        <v>16.643999999999998</v>
      </c>
      <c r="D70" s="12">
        <v>15.019</v>
      </c>
      <c r="E70" s="12">
        <v>15.662000000000001</v>
      </c>
      <c r="F70" s="12">
        <v>15.25</v>
      </c>
      <c r="G70" s="12">
        <v>15.15</v>
      </c>
      <c r="H70" s="12">
        <v>7.3</v>
      </c>
      <c r="I70" s="12">
        <v>10.147</v>
      </c>
      <c r="J70" s="12">
        <v>8.0139999999999993</v>
      </c>
      <c r="K70" s="12">
        <v>7.9660000000000002</v>
      </c>
      <c r="L70" s="12">
        <v>7.6609999999999996</v>
      </c>
      <c r="M70" s="2">
        <v>7.6349999999999998</v>
      </c>
      <c r="N70" s="12">
        <v>3.5579999999999998</v>
      </c>
      <c r="O70" s="12">
        <v>3.6120000000000001</v>
      </c>
      <c r="P70" s="12">
        <v>3.472</v>
      </c>
      <c r="Q70" s="12">
        <v>3.2949999999999999</v>
      </c>
      <c r="R70" s="12">
        <v>3.2759999999999998</v>
      </c>
      <c r="S70" s="12">
        <v>3.2410000000000001</v>
      </c>
      <c r="T70" s="12">
        <v>3.2879999999999998</v>
      </c>
      <c r="U70" s="12">
        <v>3.2650000000000001</v>
      </c>
      <c r="V70" s="12">
        <v>5.3079999999999998</v>
      </c>
      <c r="W70" s="12">
        <v>5.8760000000000003</v>
      </c>
      <c r="X70" s="12">
        <v>7.6189999999999998</v>
      </c>
      <c r="Y70" s="12">
        <v>9.4529999999999994</v>
      </c>
      <c r="Z70" s="12">
        <v>15.103</v>
      </c>
      <c r="AA70" s="12">
        <v>15.942</v>
      </c>
      <c r="AV70" s="12">
        <f t="shared" si="183"/>
        <v>15.25</v>
      </c>
      <c r="AW70" s="12">
        <f t="shared" si="184"/>
        <v>8.0139999999999993</v>
      </c>
      <c r="AX70" s="12">
        <f t="shared" si="185"/>
        <v>3.5579999999999998</v>
      </c>
      <c r="AY70" s="12">
        <f t="shared" si="186"/>
        <v>3.2759999999999998</v>
      </c>
      <c r="AZ70" s="12">
        <f t="shared" si="187"/>
        <v>5.3079999999999998</v>
      </c>
      <c r="BA70" s="12">
        <f t="shared" si="188"/>
        <v>15.103</v>
      </c>
      <c r="BH70" s="122" t="s">
        <v>702</v>
      </c>
    </row>
    <row r="71" spans="2:62">
      <c r="B71" s="2" t="s">
        <v>346</v>
      </c>
      <c r="C71" s="12">
        <v>436.66300000000001</v>
      </c>
      <c r="D71" s="12">
        <v>454.18299999999999</v>
      </c>
      <c r="E71" s="12">
        <v>466.94099999999997</v>
      </c>
      <c r="F71" s="12">
        <v>485.613</v>
      </c>
      <c r="G71" s="12">
        <v>488.11700000000002</v>
      </c>
      <c r="H71" s="12">
        <v>623.16099999999994</v>
      </c>
      <c r="I71" s="12">
        <v>619.71199999999999</v>
      </c>
      <c r="J71" s="12">
        <v>637.78800000000001</v>
      </c>
      <c r="K71" s="12">
        <v>650.471</v>
      </c>
      <c r="L71" s="12">
        <v>673.37599999999998</v>
      </c>
      <c r="M71" s="2">
        <v>684.60299999999995</v>
      </c>
      <c r="N71" s="12">
        <v>953.92700000000002</v>
      </c>
      <c r="O71" s="12">
        <v>959.30200000000002</v>
      </c>
      <c r="P71" s="12">
        <v>970.01499999999999</v>
      </c>
      <c r="Q71" s="12">
        <v>973.75199999999995</v>
      </c>
      <c r="R71" s="12">
        <v>998.85799999999995</v>
      </c>
      <c r="S71" s="12">
        <v>1024.4690000000001</v>
      </c>
      <c r="T71" s="12">
        <v>1066.5429999999999</v>
      </c>
      <c r="U71" s="12">
        <v>1104.1379999999999</v>
      </c>
      <c r="V71" s="12">
        <v>1178.94</v>
      </c>
      <c r="W71" s="12">
        <v>1203.5309999999999</v>
      </c>
      <c r="X71" s="12">
        <v>1161.231</v>
      </c>
      <c r="Y71" s="12">
        <v>1104.28</v>
      </c>
      <c r="Z71" s="12">
        <v>1150.931</v>
      </c>
      <c r="AA71" s="12">
        <v>1212.8820000000001</v>
      </c>
      <c r="AV71" s="12">
        <f t="shared" si="183"/>
        <v>485.613</v>
      </c>
      <c r="AW71" s="12">
        <f t="shared" si="184"/>
        <v>637.78800000000001</v>
      </c>
      <c r="AX71" s="12">
        <f t="shared" si="185"/>
        <v>953.92700000000002</v>
      </c>
      <c r="AY71" s="12">
        <f t="shared" si="186"/>
        <v>998.85799999999995</v>
      </c>
      <c r="AZ71" s="12">
        <f>V71</f>
        <v>1178.94</v>
      </c>
      <c r="BA71" s="12">
        <f>Z71</f>
        <v>1150.931</v>
      </c>
      <c r="BH71" s="122" t="s">
        <v>1669</v>
      </c>
    </row>
    <row r="72" spans="2:62">
      <c r="B72" s="2" t="s">
        <v>347</v>
      </c>
      <c r="C72" s="12">
        <f t="shared" ref="C72" si="189">SUM(C64:C71)</f>
        <v>568.78899999999999</v>
      </c>
      <c r="D72" s="12">
        <f t="shared" ref="D72" si="190">SUM(D64:D71)</f>
        <v>585.10900000000004</v>
      </c>
      <c r="E72" s="12">
        <f t="shared" ref="E72" si="191">SUM(E64:E71)</f>
        <v>614.16999999999996</v>
      </c>
      <c r="F72" s="12">
        <f t="shared" ref="F72" si="192">SUM(F64:F71)</f>
        <v>665.90099999999995</v>
      </c>
      <c r="G72" s="12">
        <f t="shared" ref="G72:X72" si="193">SUM(G64:G71)</f>
        <v>664.24</v>
      </c>
      <c r="H72" s="12">
        <f t="shared" si="193"/>
        <v>780.19999999999993</v>
      </c>
      <c r="I72" s="12">
        <f t="shared" si="193"/>
        <v>810.303</v>
      </c>
      <c r="J72" s="12">
        <f t="shared" si="193"/>
        <v>822.98300000000006</v>
      </c>
      <c r="K72" s="12">
        <f t="shared" si="193"/>
        <v>840.82400000000007</v>
      </c>
      <c r="L72" s="12">
        <f t="shared" si="193"/>
        <v>910.21799999999996</v>
      </c>
      <c r="M72" s="12">
        <f t="shared" si="193"/>
        <v>973.23899999999992</v>
      </c>
      <c r="N72" s="12">
        <f t="shared" si="193"/>
        <v>1244.25</v>
      </c>
      <c r="O72" s="12">
        <f t="shared" si="193"/>
        <v>1301.5730000000001</v>
      </c>
      <c r="P72" s="12">
        <f t="shared" si="193"/>
        <v>1327.9</v>
      </c>
      <c r="Q72" s="12">
        <f t="shared" si="193"/>
        <v>1321.6009999999999</v>
      </c>
      <c r="R72" s="12">
        <f t="shared" si="193"/>
        <v>1370.886</v>
      </c>
      <c r="S72" s="12">
        <f t="shared" si="193"/>
        <v>1395.298</v>
      </c>
      <c r="T72" s="12">
        <f t="shared" si="193"/>
        <v>1432.5319999999999</v>
      </c>
      <c r="U72" s="12">
        <f t="shared" si="193"/>
        <v>1468.377</v>
      </c>
      <c r="V72" s="12">
        <f t="shared" si="193"/>
        <v>1556.3010000000002</v>
      </c>
      <c r="W72" s="12">
        <f t="shared" si="193"/>
        <v>1579.8454999999999</v>
      </c>
      <c r="X72" s="12">
        <f t="shared" si="193"/>
        <v>1534.5610000000001</v>
      </c>
      <c r="Y72" s="12">
        <f>SUM(Y64:Y71)</f>
        <v>1479.123</v>
      </c>
      <c r="Z72" s="12">
        <f>SUM(Z64:Z71)</f>
        <v>1533.1780000000001</v>
      </c>
      <c r="AA72" s="12">
        <f>SUM(AA64:AA71)</f>
        <v>1593.307</v>
      </c>
      <c r="AV72" s="12">
        <f t="shared" ref="AV72:AZ72" si="194">SUM(AV64:AV71)</f>
        <v>665.90099999999995</v>
      </c>
      <c r="AW72" s="12">
        <f t="shared" si="194"/>
        <v>822.98300000000006</v>
      </c>
      <c r="AX72" s="12">
        <f t="shared" si="194"/>
        <v>1244.25</v>
      </c>
      <c r="AY72" s="12">
        <f t="shared" si="194"/>
        <v>1370.886</v>
      </c>
      <c r="AZ72" s="12">
        <f t="shared" si="194"/>
        <v>1556.3010000000002</v>
      </c>
      <c r="BA72" s="12">
        <f>SUM(BA64:BA71)</f>
        <v>1533.1780000000001</v>
      </c>
      <c r="BG72" s="127"/>
      <c r="BJ72" s="122" t="s">
        <v>683</v>
      </c>
    </row>
    <row r="73" spans="2:62">
      <c r="AA73" s="2"/>
      <c r="AW73" s="12"/>
      <c r="AX73" s="12"/>
      <c r="AY73" s="12"/>
      <c r="AZ73" s="12"/>
      <c r="BA73" s="12"/>
      <c r="BJ73" s="122" t="s">
        <v>685</v>
      </c>
    </row>
    <row r="74" spans="2:62">
      <c r="B74" s="2" t="s">
        <v>607</v>
      </c>
      <c r="C74" s="15">
        <f t="shared" ref="C74:Y74" si="195">SUM(C50:C54)/SUM(C64:C67)</f>
        <v>6.0952861176741786</v>
      </c>
      <c r="D74" s="15">
        <f t="shared" si="195"/>
        <v>6.2298992273619929</v>
      </c>
      <c r="E74" s="15">
        <f t="shared" si="195"/>
        <v>5.2378984994255351</v>
      </c>
      <c r="F74" s="15">
        <f t="shared" si="195"/>
        <v>5.0867015200773222</v>
      </c>
      <c r="G74" s="15">
        <f t="shared" si="195"/>
        <v>5.1518041646797013</v>
      </c>
      <c r="H74" s="15">
        <f t="shared" si="195"/>
        <v>7.4201798690924061</v>
      </c>
      <c r="I74" s="15">
        <f t="shared" si="195"/>
        <v>5.4620239692749077</v>
      </c>
      <c r="J74" s="15">
        <f t="shared" si="195"/>
        <v>5.8311180757467049</v>
      </c>
      <c r="K74" s="15">
        <f t="shared" si="195"/>
        <v>5.6777726126834862</v>
      </c>
      <c r="L74" s="15">
        <f t="shared" si="195"/>
        <v>6.0447587138811247</v>
      </c>
      <c r="M74" s="15">
        <f t="shared" si="195"/>
        <v>5.7556803984249116</v>
      </c>
      <c r="N74" s="15">
        <f t="shared" si="195"/>
        <v>5.5315795027476309</v>
      </c>
      <c r="O74" s="15">
        <f t="shared" si="195"/>
        <v>5.3061591557198744</v>
      </c>
      <c r="P74" s="15">
        <f t="shared" si="195"/>
        <v>4.9309153594681465</v>
      </c>
      <c r="Q74" s="15">
        <f t="shared" si="195"/>
        <v>5.2310745163808825</v>
      </c>
      <c r="R74" s="15">
        <f t="shared" si="195"/>
        <v>5.214162503794884</v>
      </c>
      <c r="S74" s="15">
        <f t="shared" si="195"/>
        <v>5.3748428188726685</v>
      </c>
      <c r="T74" s="15">
        <f t="shared" si="195"/>
        <v>5.7441925009020007</v>
      </c>
      <c r="U74" s="15">
        <f t="shared" si="195"/>
        <v>5.9862694550517652</v>
      </c>
      <c r="V74" s="15">
        <f t="shared" si="195"/>
        <v>6.0564891758852486</v>
      </c>
      <c r="W74" s="15">
        <f t="shared" si="195"/>
        <v>6.1191203081081245</v>
      </c>
      <c r="X74" s="15">
        <f t="shared" si="195"/>
        <v>6.2505463793263303</v>
      </c>
      <c r="Y74" s="15">
        <f t="shared" si="195"/>
        <v>5.8214120181479911</v>
      </c>
      <c r="Z74" s="15">
        <f>SUM(Z50:Z54)/SUM(Z64:Z67)</f>
        <v>6.0066310903407114</v>
      </c>
      <c r="AA74" s="15">
        <f t="shared" ref="AA74" si="196">SUM(AA50:AA54)/SUM(AA64:AA67)</f>
        <v>6.3021433524554</v>
      </c>
      <c r="AB74" s="126"/>
      <c r="AC74" s="126"/>
      <c r="AD74" s="126"/>
      <c r="AE74" s="126"/>
      <c r="AF74" s="126"/>
      <c r="AG74" s="126"/>
      <c r="AH74" s="126"/>
      <c r="AI74" s="126"/>
      <c r="AJ74" s="126"/>
      <c r="AK74" s="126"/>
      <c r="AL74" s="126"/>
      <c r="AM74" s="12"/>
      <c r="AN74" s="12"/>
      <c r="AO74" s="12"/>
      <c r="AP74" s="12"/>
      <c r="AQ74" s="12"/>
      <c r="AR74" s="12"/>
      <c r="AS74" s="12"/>
      <c r="AT74" s="12"/>
      <c r="AU74" s="12"/>
      <c r="AV74" s="15">
        <f t="shared" ref="AV74:AZ74" si="197">SUM(AV50:AV54)/SUM(AV64:AV67)</f>
        <v>5.0867015200773222</v>
      </c>
      <c r="AW74" s="15">
        <f t="shared" si="197"/>
        <v>5.8311180757467049</v>
      </c>
      <c r="AX74" s="15">
        <f t="shared" si="197"/>
        <v>5.5315795027476309</v>
      </c>
      <c r="AY74" s="15">
        <f t="shared" si="197"/>
        <v>5.214162503794884</v>
      </c>
      <c r="AZ74" s="15">
        <f t="shared" si="197"/>
        <v>6.0564891758852486</v>
      </c>
      <c r="BA74" s="15">
        <f>SUM(BA50:BA54)/SUM(BA64:BA67)</f>
        <v>6.0066310903407114</v>
      </c>
      <c r="BJ74" s="122" t="s">
        <v>700</v>
      </c>
    </row>
    <row r="75" spans="2:62">
      <c r="B75" s="2" t="s">
        <v>608</v>
      </c>
      <c r="C75" s="15">
        <f t="shared" ref="C75:Y75" si="198">(SUM(C50:C54)-C53)/SUM(C64:C67)</f>
        <v>4.3421166368927562</v>
      </c>
      <c r="D75" s="15">
        <f t="shared" si="198"/>
        <v>4.3271885437422055</v>
      </c>
      <c r="E75" s="15">
        <f t="shared" si="198"/>
        <v>3.6089802360532457</v>
      </c>
      <c r="F75" s="15">
        <f t="shared" si="198"/>
        <v>3.4063570863720241</v>
      </c>
      <c r="G75" s="15">
        <f t="shared" si="198"/>
        <v>3.2652996343983474</v>
      </c>
      <c r="H75" s="15">
        <f t="shared" si="198"/>
        <v>5.0566020718445577</v>
      </c>
      <c r="I75" s="15">
        <f t="shared" si="198"/>
        <v>3.689343389940309</v>
      </c>
      <c r="J75" s="15">
        <f t="shared" si="198"/>
        <v>3.7587792168560963</v>
      </c>
      <c r="K75" s="15">
        <f t="shared" si="198"/>
        <v>3.484704367881855</v>
      </c>
      <c r="L75" s="15">
        <f t="shared" si="198"/>
        <v>3.6848657053477223</v>
      </c>
      <c r="M75" s="15">
        <f t="shared" si="198"/>
        <v>3.5299120259872301</v>
      </c>
      <c r="N75" s="15">
        <f t="shared" si="198"/>
        <v>3.3926962507203902</v>
      </c>
      <c r="O75" s="15">
        <f t="shared" si="198"/>
        <v>3.19738814287581</v>
      </c>
      <c r="P75" s="15">
        <f t="shared" si="198"/>
        <v>2.8988077250624991</v>
      </c>
      <c r="Q75" s="15">
        <f t="shared" si="198"/>
        <v>2.9156015961599637</v>
      </c>
      <c r="R75" s="15">
        <f t="shared" si="198"/>
        <v>2.9095920845637959</v>
      </c>
      <c r="S75" s="15">
        <f t="shared" si="198"/>
        <v>3.0236728445683663</v>
      </c>
      <c r="T75" s="15">
        <f t="shared" si="198"/>
        <v>3.2548777441647472</v>
      </c>
      <c r="U75" s="15">
        <f t="shared" si="198"/>
        <v>3.406657108589862</v>
      </c>
      <c r="V75" s="15">
        <f t="shared" si="198"/>
        <v>3.4892486635261739</v>
      </c>
      <c r="W75" s="15">
        <f t="shared" si="198"/>
        <v>3.5120726946699512</v>
      </c>
      <c r="X75" s="15">
        <f t="shared" si="198"/>
        <v>3.7749579453488216</v>
      </c>
      <c r="Y75" s="15">
        <f t="shared" si="198"/>
        <v>3.2531905865456801</v>
      </c>
      <c r="Z75" s="15">
        <f>(SUM(Z50:Z54)-Z53)/SUM(Z64:Z67)</f>
        <v>3.4379550980454061</v>
      </c>
      <c r="AA75" s="15">
        <f>(SUM(AA50:AA54)-AA53)/SUM(AA64:AA67)</f>
        <v>3.6805522284561558</v>
      </c>
      <c r="AB75" s="126"/>
      <c r="AC75" s="126"/>
      <c r="AD75" s="126"/>
      <c r="AE75" s="126"/>
      <c r="AF75" s="126"/>
      <c r="AG75" s="126"/>
      <c r="AH75" s="126"/>
      <c r="AI75" s="126"/>
      <c r="AJ75" s="126"/>
      <c r="AK75" s="126"/>
      <c r="AL75" s="126"/>
      <c r="AM75" s="12"/>
      <c r="AN75" s="12"/>
      <c r="AO75" s="12"/>
      <c r="AP75" s="12"/>
      <c r="AQ75" s="12"/>
      <c r="AR75" s="12"/>
      <c r="AS75" s="12"/>
      <c r="AT75" s="12"/>
      <c r="AU75" s="12"/>
      <c r="AV75" s="15">
        <f t="shared" ref="AV75:AZ75" si="199">(SUM(AV50:AV54)-AV53)/SUM(AV64:AV67)</f>
        <v>3.4063570863720241</v>
      </c>
      <c r="AW75" s="15">
        <f t="shared" si="199"/>
        <v>3.7587792168560963</v>
      </c>
      <c r="AX75" s="15">
        <f t="shared" si="199"/>
        <v>3.3926962507203902</v>
      </c>
      <c r="AY75" s="15">
        <f t="shared" si="199"/>
        <v>2.9095920845637959</v>
      </c>
      <c r="AZ75" s="15">
        <f t="shared" si="199"/>
        <v>3.4892486635261739</v>
      </c>
      <c r="BA75" s="15">
        <f>(SUM(BA50:BA54)-BA53)/SUM(BA64:BA67)</f>
        <v>3.4379550980454061</v>
      </c>
      <c r="BI75" s="122" t="s">
        <v>691</v>
      </c>
    </row>
    <row r="76" spans="2:62">
      <c r="B76" s="2" t="s">
        <v>609</v>
      </c>
      <c r="C76" s="15">
        <f t="shared" ref="C76:Y76" si="200">C50/SUM(C64:C67)</f>
        <v>1.3773699072206536</v>
      </c>
      <c r="D76" s="15">
        <f t="shared" si="200"/>
        <v>1.1075099267499031</v>
      </c>
      <c r="E76" s="15">
        <f t="shared" si="200"/>
        <v>1.2949388977218657</v>
      </c>
      <c r="F76" s="15">
        <f t="shared" si="200"/>
        <v>0.79934759687197954</v>
      </c>
      <c r="G76" s="15">
        <f t="shared" si="200"/>
        <v>0.82267184413107164</v>
      </c>
      <c r="H76" s="15">
        <f t="shared" si="200"/>
        <v>1.731446168118332</v>
      </c>
      <c r="I76" s="15">
        <f t="shared" si="200"/>
        <v>0.74142797649345238</v>
      </c>
      <c r="J76" s="15">
        <f t="shared" si="200"/>
        <v>0.65768606275724051</v>
      </c>
      <c r="K76" s="15">
        <f t="shared" si="200"/>
        <v>0.49732706370349183</v>
      </c>
      <c r="L76" s="15">
        <f t="shared" si="200"/>
        <v>0.76149973159580187</v>
      </c>
      <c r="M76" s="15">
        <f t="shared" si="200"/>
        <v>0.57118484882428466</v>
      </c>
      <c r="N76" s="15">
        <f t="shared" si="200"/>
        <v>0.48198413922416938</v>
      </c>
      <c r="O76" s="15">
        <f t="shared" si="200"/>
        <v>0.52393177503285948</v>
      </c>
      <c r="P76" s="15">
        <f t="shared" si="200"/>
        <v>0.39994780363176835</v>
      </c>
      <c r="Q76" s="15">
        <f t="shared" si="200"/>
        <v>0.39646647196599494</v>
      </c>
      <c r="R76" s="15">
        <f t="shared" si="200"/>
        <v>0.48200535423508972</v>
      </c>
      <c r="S76" s="15">
        <f t="shared" si="200"/>
        <v>0.64709419933300527</v>
      </c>
      <c r="T76" s="15">
        <f t="shared" si="200"/>
        <v>0.79214426466098642</v>
      </c>
      <c r="U76" s="15">
        <f t="shared" si="200"/>
        <v>0.69450226774562651</v>
      </c>
      <c r="V76" s="15">
        <f t="shared" si="200"/>
        <v>1.1081220557878579</v>
      </c>
      <c r="W76" s="15">
        <f t="shared" si="200"/>
        <v>1.4601367115282045</v>
      </c>
      <c r="X76" s="15">
        <f t="shared" si="200"/>
        <v>1.9095593202378902</v>
      </c>
      <c r="Y76" s="15">
        <f t="shared" si="200"/>
        <v>1.8309625616085126</v>
      </c>
      <c r="Z76" s="15">
        <f>Z50/SUM(Z64:Z67)</f>
        <v>2.048691149073226</v>
      </c>
      <c r="AA76" s="15">
        <f t="shared" ref="AA76" si="201">AA50/SUM(AA64:AA67)</f>
        <v>2.3706360713610288</v>
      </c>
      <c r="AB76" s="126"/>
      <c r="AC76" s="126"/>
      <c r="AD76" s="126"/>
      <c r="AE76" s="126"/>
      <c r="AF76" s="126"/>
      <c r="AG76" s="126"/>
      <c r="AH76" s="126"/>
      <c r="AI76" s="126"/>
      <c r="AJ76" s="126"/>
      <c r="AK76" s="126"/>
      <c r="AL76" s="126"/>
      <c r="AM76" s="12"/>
      <c r="AN76" s="12"/>
      <c r="AO76" s="12"/>
      <c r="AP76" s="12"/>
      <c r="AQ76" s="12"/>
      <c r="AR76" s="12"/>
      <c r="AS76" s="12"/>
      <c r="AT76" s="12"/>
      <c r="AU76" s="12"/>
      <c r="AV76" s="15">
        <f t="shared" ref="AV76:BA76" si="202">AV50/SUM(AV64:AV67)</f>
        <v>0.79934759687197954</v>
      </c>
      <c r="AW76" s="15">
        <f t="shared" si="202"/>
        <v>0.65768606275724051</v>
      </c>
      <c r="AX76" s="15">
        <f t="shared" si="202"/>
        <v>0.48198413922416938</v>
      </c>
      <c r="AY76" s="15">
        <f t="shared" si="202"/>
        <v>0.48200535423508972</v>
      </c>
      <c r="AZ76" s="15">
        <f t="shared" si="202"/>
        <v>1.1081220557878579</v>
      </c>
      <c r="BA76" s="15">
        <f t="shared" si="202"/>
        <v>2.048691149073226</v>
      </c>
      <c r="BH76" s="122" t="s">
        <v>707</v>
      </c>
    </row>
    <row r="77" spans="2:62">
      <c r="B77" s="2" t="s">
        <v>610</v>
      </c>
      <c r="C77" s="15">
        <f t="shared" ref="C77:AA77" si="203">C26/C62</f>
        <v>0.2258113289813973</v>
      </c>
      <c r="D77" s="15">
        <f t="shared" si="203"/>
        <v>0.229360683223126</v>
      </c>
      <c r="E77" s="15">
        <f t="shared" si="203"/>
        <v>0.22713906573098652</v>
      </c>
      <c r="F77" s="15">
        <f t="shared" si="203"/>
        <v>0.2181420361284937</v>
      </c>
      <c r="G77" s="15">
        <f t="shared" si="203"/>
        <v>0.20670239672407562</v>
      </c>
      <c r="H77" s="15">
        <f t="shared" si="203"/>
        <v>0.13470904896180469</v>
      </c>
      <c r="I77" s="15">
        <f t="shared" si="203"/>
        <v>0.18647322486375484</v>
      </c>
      <c r="J77" s="15">
        <f t="shared" si="203"/>
        <v>0.2028134238495814</v>
      </c>
      <c r="K77" s="15">
        <f t="shared" si="203"/>
        <v>0.20123117323006956</v>
      </c>
      <c r="L77" s="15">
        <f t="shared" si="203"/>
        <v>0.20247896657723757</v>
      </c>
      <c r="M77" s="15">
        <f t="shared" si="203"/>
        <v>0.19532674846209727</v>
      </c>
      <c r="N77" s="15">
        <f t="shared" si="203"/>
        <v>0.16394615230058271</v>
      </c>
      <c r="O77" s="15">
        <f t="shared" si="203"/>
        <v>0.15665659936092716</v>
      </c>
      <c r="P77" s="15">
        <f t="shared" si="203"/>
        <v>0.15686422170344153</v>
      </c>
      <c r="Q77" s="15">
        <f t="shared" si="203"/>
        <v>0.16169781953857482</v>
      </c>
      <c r="R77" s="15">
        <f t="shared" si="203"/>
        <v>0.16137957496101057</v>
      </c>
      <c r="S77" s="15">
        <f t="shared" si="203"/>
        <v>0.17300963665109534</v>
      </c>
      <c r="T77" s="15">
        <f t="shared" si="203"/>
        <v>0.18254391524936267</v>
      </c>
      <c r="U77" s="15">
        <f t="shared" si="203"/>
        <v>0.18448940564991143</v>
      </c>
      <c r="V77" s="15">
        <f t="shared" si="203"/>
        <v>0.18294614487520119</v>
      </c>
      <c r="W77" s="15">
        <f t="shared" si="203"/>
        <v>0.17640971107925144</v>
      </c>
      <c r="X77" s="15">
        <f t="shared" si="203"/>
        <v>0.19510465859617179</v>
      </c>
      <c r="Y77" s="15">
        <f t="shared" si="203"/>
        <v>0.20349896526522815</v>
      </c>
      <c r="Z77" s="15">
        <f t="shared" si="203"/>
        <v>0.20578198458624455</v>
      </c>
      <c r="AA77" s="15">
        <f t="shared" si="203"/>
        <v>0.20343850871175484</v>
      </c>
      <c r="AB77" s="126"/>
      <c r="AC77" s="126"/>
      <c r="AD77" s="126"/>
      <c r="AE77" s="126"/>
      <c r="AF77" s="126"/>
      <c r="AG77" s="126"/>
      <c r="AH77" s="126"/>
      <c r="AI77" s="126"/>
      <c r="AJ77" s="126"/>
      <c r="AK77" s="126"/>
      <c r="AL77" s="126"/>
      <c r="AM77" s="12"/>
      <c r="AN77" s="12"/>
      <c r="AO77" s="12"/>
      <c r="AP77" s="12"/>
      <c r="AQ77" s="12"/>
      <c r="AR77" s="12"/>
      <c r="AS77" s="12"/>
      <c r="AT77" s="12"/>
      <c r="AU77" s="12"/>
      <c r="AV77" s="15">
        <f t="shared" ref="AV77:BA77" si="204">AV26/AV62</f>
        <v>0.82204862284333569</v>
      </c>
      <c r="AW77" s="15">
        <f t="shared" si="204"/>
        <v>0.68095209743093121</v>
      </c>
      <c r="AX77" s="15">
        <f t="shared" si="204"/>
        <v>0.6008358448864779</v>
      </c>
      <c r="AY77" s="15">
        <f t="shared" si="204"/>
        <v>0.61794562056947122</v>
      </c>
      <c r="AZ77" s="15">
        <f t="shared" si="204"/>
        <v>0.68014945656539028</v>
      </c>
      <c r="BA77" s="15">
        <f t="shared" si="204"/>
        <v>0.77916690582164094</v>
      </c>
      <c r="BH77" s="122" t="s">
        <v>692</v>
      </c>
    </row>
    <row r="78" spans="2:62">
      <c r="B78" s="2" t="s">
        <v>606</v>
      </c>
      <c r="C78" s="15"/>
      <c r="D78" s="15">
        <f t="shared" ref="D78:AA78" si="205">D27/AVERAGE(A53:D53)</f>
        <v>0.31657928041945399</v>
      </c>
      <c r="E78" s="15">
        <f t="shared" si="205"/>
        <v>0.3746342946160568</v>
      </c>
      <c r="F78" s="15">
        <f t="shared" si="205"/>
        <v>0.29864707718651928</v>
      </c>
      <c r="G78" s="15">
        <f t="shared" si="205"/>
        <v>0.33297424346293208</v>
      </c>
      <c r="H78" s="15">
        <f t="shared" si="205"/>
        <v>0.25009915311574088</v>
      </c>
      <c r="I78" s="15">
        <f t="shared" si="205"/>
        <v>0.34663673964499597</v>
      </c>
      <c r="J78" s="15">
        <f t="shared" si="205"/>
        <v>0.38168557110329349</v>
      </c>
      <c r="K78" s="15">
        <f t="shared" si="205"/>
        <v>0.27561062444260015</v>
      </c>
      <c r="L78" s="15">
        <f t="shared" si="205"/>
        <v>0.28791755726530988</v>
      </c>
      <c r="M78" s="15">
        <f t="shared" si="205"/>
        <v>0.28707517627826667</v>
      </c>
      <c r="N78" s="15">
        <f t="shared" si="205"/>
        <v>0.30736568576230944</v>
      </c>
      <c r="O78" s="15">
        <f t="shared" si="205"/>
        <v>0.29111084473517479</v>
      </c>
      <c r="P78" s="15">
        <f t="shared" si="205"/>
        <v>0.27214821272247108</v>
      </c>
      <c r="Q78" s="15">
        <f t="shared" si="205"/>
        <v>0.2717410141762851</v>
      </c>
      <c r="R78" s="15">
        <f t="shared" si="205"/>
        <v>0.27022674599972879</v>
      </c>
      <c r="S78" s="15">
        <f t="shared" si="205"/>
        <v>0.27908378308421578</v>
      </c>
      <c r="T78" s="15">
        <f t="shared" si="205"/>
        <v>0.27882533773676943</v>
      </c>
      <c r="U78" s="15">
        <f t="shared" si="205"/>
        <v>0.26419798407300027</v>
      </c>
      <c r="V78" s="15">
        <f t="shared" si="205"/>
        <v>0.26701613563764443</v>
      </c>
      <c r="W78" s="15">
        <f t="shared" si="205"/>
        <v>0.25667959278769831</v>
      </c>
      <c r="X78" s="15">
        <f t="shared" si="205"/>
        <v>0.35609244587414374</v>
      </c>
      <c r="Y78" s="15">
        <f t="shared" si="205"/>
        <v>0.25926862817415797</v>
      </c>
      <c r="Z78" s="15">
        <f t="shared" si="205"/>
        <v>0.26661324225743571</v>
      </c>
      <c r="AA78" s="15">
        <f t="shared" si="205"/>
        <v>0.27237685965384584</v>
      </c>
      <c r="AB78" s="126"/>
      <c r="AC78" s="126"/>
      <c r="AD78" s="126"/>
      <c r="AE78" s="126"/>
      <c r="AF78" s="126"/>
      <c r="AG78" s="126"/>
      <c r="AH78" s="126"/>
      <c r="AI78" s="126"/>
      <c r="AJ78" s="126"/>
      <c r="AK78" s="126"/>
      <c r="AL78" s="126"/>
      <c r="AM78" s="12"/>
      <c r="AN78" s="12"/>
      <c r="AO78" s="12"/>
      <c r="AP78" s="12"/>
      <c r="AQ78" s="12"/>
      <c r="AR78" s="12"/>
      <c r="AS78" s="12"/>
      <c r="AT78" s="12"/>
      <c r="AU78" s="12"/>
      <c r="AV78" s="15">
        <f t="shared" ref="AV78:BA78" si="206">AV27/AVERAGE(AS53:AV53)</f>
        <v>1.1438506588579795</v>
      </c>
      <c r="AW78" s="15">
        <f t="shared" si="206"/>
        <v>1.1931579328839603</v>
      </c>
      <c r="AX78" s="15">
        <f t="shared" si="206"/>
        <v>1.283953567716891</v>
      </c>
      <c r="AY78" s="15">
        <f t="shared" si="206"/>
        <v>1.2862543284788392</v>
      </c>
      <c r="AZ78" s="15">
        <f t="shared" si="206"/>
        <v>1.2477387018073789</v>
      </c>
      <c r="BA78" s="15">
        <f t="shared" si="206"/>
        <v>1.2629734175124079</v>
      </c>
      <c r="BH78" s="122" t="s">
        <v>701</v>
      </c>
    </row>
    <row r="79" spans="2:62">
      <c r="B79" s="2" t="s">
        <v>604</v>
      </c>
      <c r="C79" s="5">
        <f t="shared" ref="C79:AA79" si="207">C39/C62</f>
        <v>1.8808380612142642E-2</v>
      </c>
      <c r="D79" s="5">
        <f t="shared" si="207"/>
        <v>2.6806971008820572E-2</v>
      </c>
      <c r="E79" s="5">
        <f t="shared" si="207"/>
        <v>6.0536984873895026E-3</v>
      </c>
      <c r="F79" s="5">
        <f t="shared" si="207"/>
        <v>3.0788360431956225E-2</v>
      </c>
      <c r="G79" s="5">
        <f t="shared" si="207"/>
        <v>2.282307599662792E-3</v>
      </c>
      <c r="H79" s="5">
        <f t="shared" si="207"/>
        <v>-1.5303768264547575E-2</v>
      </c>
      <c r="I79" s="5">
        <f t="shared" si="207"/>
        <v>-1.0900847089487405E-2</v>
      </c>
      <c r="J79" s="5">
        <f t="shared" si="207"/>
        <v>4.4411609960351662E-3</v>
      </c>
      <c r="K79" s="5">
        <f t="shared" si="207"/>
        <v>1.4071910411691393E-2</v>
      </c>
      <c r="L79" s="5">
        <f t="shared" si="207"/>
        <v>1.0167893845210732E-2</v>
      </c>
      <c r="M79" s="5">
        <f t="shared" si="207"/>
        <v>9.0851084161065777E-3</v>
      </c>
      <c r="N79" s="5">
        <f t="shared" si="207"/>
        <v>-1.9823186658629765E-2</v>
      </c>
      <c r="O79" s="5">
        <f t="shared" si="207"/>
        <v>5.5317680990614748E-5</v>
      </c>
      <c r="P79" s="5">
        <f t="shared" si="207"/>
        <v>-2.7592439189698067E-3</v>
      </c>
      <c r="Q79" s="5">
        <f t="shared" si="207"/>
        <v>-1.7251802926904591E-3</v>
      </c>
      <c r="R79" s="5">
        <f t="shared" si="207"/>
        <v>2.8229918461490956E-3</v>
      </c>
      <c r="S79" s="5">
        <f t="shared" si="207"/>
        <v>6.1664246634052658E-3</v>
      </c>
      <c r="T79" s="5">
        <f t="shared" si="207"/>
        <v>1.333303549240087E-2</v>
      </c>
      <c r="U79" s="5">
        <f t="shared" si="207"/>
        <v>6.272231177688015E-3</v>
      </c>
      <c r="V79" s="5">
        <f t="shared" si="207"/>
        <v>3.4759253488230148E-2</v>
      </c>
      <c r="W79" s="5">
        <f t="shared" si="207"/>
        <v>7.0260057157505891E-3</v>
      </c>
      <c r="X79" s="5">
        <f t="shared" si="207"/>
        <v>-3.922946041245675E-2</v>
      </c>
      <c r="Y79" s="5">
        <f t="shared" si="207"/>
        <v>1.9944250748585503E-2</v>
      </c>
      <c r="Z79" s="5">
        <f t="shared" si="207"/>
        <v>2.1908769769419825E-2</v>
      </c>
      <c r="AA79" s="5">
        <f t="shared" si="207"/>
        <v>2.4617352462519778E-2</v>
      </c>
      <c r="AB79" s="134"/>
      <c r="AC79" s="134"/>
      <c r="AD79" s="134"/>
      <c r="AE79" s="134"/>
      <c r="AF79" s="134"/>
      <c r="AG79" s="134"/>
      <c r="AH79" s="134"/>
      <c r="AI79" s="134"/>
      <c r="AJ79" s="134"/>
      <c r="AK79" s="134"/>
      <c r="AL79" s="134"/>
      <c r="AM79" s="5"/>
      <c r="AN79" s="5"/>
      <c r="AO79" s="5"/>
      <c r="AP79" s="5"/>
      <c r="AQ79" s="5"/>
      <c r="AR79" s="5"/>
      <c r="AS79" s="5"/>
      <c r="AT79" s="5"/>
      <c r="AU79" s="5"/>
      <c r="AV79" s="5">
        <f t="shared" ref="AV79:BA79" si="208">AV39/AV62</f>
        <v>7.5991776555373883E-2</v>
      </c>
      <c r="AW79" s="5">
        <f t="shared" si="208"/>
        <v>-1.8957864257220253E-2</v>
      </c>
      <c r="AX79" s="5">
        <f t="shared" si="208"/>
        <v>4.2467349809121686E-3</v>
      </c>
      <c r="AY79" s="5">
        <f t="shared" si="208"/>
        <v>-1.4603694253204809E-3</v>
      </c>
      <c r="AZ79" s="5">
        <f t="shared" si="208"/>
        <v>5.8478254583773738E-2</v>
      </c>
      <c r="BA79" s="5">
        <f t="shared" si="208"/>
        <v>9.1248493323661979E-3</v>
      </c>
      <c r="BI79" s="122" t="s">
        <v>1670</v>
      </c>
    </row>
    <row r="80" spans="2:62">
      <c r="B80" s="2" t="s">
        <v>605</v>
      </c>
      <c r="C80" s="5">
        <f t="shared" ref="C80:AA80" si="209">C39/C71</f>
        <v>2.4499442361729757E-2</v>
      </c>
      <c r="D80" s="5">
        <f t="shared" si="209"/>
        <v>3.4534537840473972E-2</v>
      </c>
      <c r="E80" s="5">
        <f t="shared" si="209"/>
        <v>7.9624620669421012E-3</v>
      </c>
      <c r="F80" s="5">
        <f t="shared" si="209"/>
        <v>4.2218803862334987E-2</v>
      </c>
      <c r="G80" s="5">
        <f t="shared" si="209"/>
        <v>3.1058127457146817E-3</v>
      </c>
      <c r="H80" s="5">
        <f t="shared" si="209"/>
        <v>-1.916037749474055E-2</v>
      </c>
      <c r="I80" s="5">
        <f t="shared" si="209"/>
        <v>-1.4253395125477644E-2</v>
      </c>
      <c r="J80" s="5">
        <f t="shared" si="209"/>
        <v>5.7307443852816437E-3</v>
      </c>
      <c r="K80" s="5">
        <f t="shared" si="209"/>
        <v>1.8189896244413667E-2</v>
      </c>
      <c r="L80" s="5">
        <f t="shared" si="209"/>
        <v>1.3744178586703451E-2</v>
      </c>
      <c r="M80" s="5">
        <f t="shared" si="209"/>
        <v>1.2915514539083208E-2</v>
      </c>
      <c r="N80" s="5">
        <f t="shared" si="209"/>
        <v>-2.5856276214008073E-2</v>
      </c>
      <c r="O80" s="5">
        <f t="shared" si="209"/>
        <v>7.5054570927609243E-5</v>
      </c>
      <c r="P80" s="5">
        <f t="shared" si="209"/>
        <v>-3.7772611763735682E-3</v>
      </c>
      <c r="Q80" s="5">
        <f t="shared" si="209"/>
        <v>-2.341458605476552E-3</v>
      </c>
      <c r="R80" s="5">
        <f t="shared" si="209"/>
        <v>3.8744245928850241E-3</v>
      </c>
      <c r="S80" s="5">
        <f t="shared" si="209"/>
        <v>8.3984971726816914E-3</v>
      </c>
      <c r="T80" s="5">
        <f t="shared" si="209"/>
        <v>1.7908326246574215E-2</v>
      </c>
      <c r="U80" s="5">
        <f t="shared" si="209"/>
        <v>8.3413486357683496E-3</v>
      </c>
      <c r="V80" s="5">
        <f t="shared" si="209"/>
        <v>4.588528678304242E-2</v>
      </c>
      <c r="W80" s="5">
        <f t="shared" si="209"/>
        <v>9.2228617293613462E-3</v>
      </c>
      <c r="X80" s="5">
        <f t="shared" si="209"/>
        <v>-5.1841537127410513E-2</v>
      </c>
      <c r="Y80" s="5">
        <f t="shared" si="209"/>
        <v>2.6714239142246562E-2</v>
      </c>
      <c r="Z80" s="5">
        <f t="shared" si="209"/>
        <v>2.9185068435901025E-2</v>
      </c>
      <c r="AA80" s="5">
        <f t="shared" si="209"/>
        <v>3.2338677628986165E-2</v>
      </c>
      <c r="AB80" s="134"/>
      <c r="AC80" s="134"/>
      <c r="AD80" s="134"/>
      <c r="AE80" s="134"/>
      <c r="AF80" s="134"/>
      <c r="AG80" s="134"/>
      <c r="AH80" s="134"/>
      <c r="AI80" s="134"/>
      <c r="AJ80" s="134"/>
      <c r="AK80" s="134"/>
      <c r="AL80" s="134"/>
      <c r="AM80" s="5"/>
      <c r="AN80" s="5"/>
      <c r="AO80" s="5"/>
      <c r="AP80" s="5"/>
      <c r="AQ80" s="5"/>
      <c r="AR80" s="5"/>
      <c r="AS80" s="5"/>
      <c r="AT80" s="5"/>
      <c r="AU80" s="5"/>
      <c r="AV80" s="5">
        <f t="shared" ref="AV80:BA80" si="210">AV39/AV71</f>
        <v>0.10420437673620768</v>
      </c>
      <c r="AW80" s="5">
        <f t="shared" si="210"/>
        <v>-2.4462674117418159E-2</v>
      </c>
      <c r="AX80" s="5">
        <f t="shared" si="210"/>
        <v>5.5392079268119735E-3</v>
      </c>
      <c r="AY80" s="5">
        <f t="shared" si="210"/>
        <v>-2.0042888979213188E-3</v>
      </c>
      <c r="AZ80" s="5">
        <f t="shared" si="210"/>
        <v>7.7196464620761018E-2</v>
      </c>
      <c r="BA80" s="5">
        <f t="shared" si="210"/>
        <v>1.2155376821025653E-2</v>
      </c>
      <c r="BH80" s="122" t="s">
        <v>731</v>
      </c>
    </row>
    <row r="81" spans="2:62">
      <c r="AA81" s="2"/>
      <c r="AW81" s="12"/>
      <c r="AX81" s="12"/>
      <c r="AY81" s="12"/>
      <c r="AZ81" s="12"/>
      <c r="BA81" s="12"/>
      <c r="BJ81" s="122" t="s">
        <v>732</v>
      </c>
    </row>
    <row r="82" spans="2:62">
      <c r="B82" s="2" t="s">
        <v>583</v>
      </c>
      <c r="C82" s="12">
        <v>-5.92</v>
      </c>
      <c r="D82" s="12">
        <f>-27.609-C82</f>
        <v>-21.689</v>
      </c>
      <c r="E82" s="12">
        <f>-31.159-SUM(C82:D82)</f>
        <v>-3.5499999999999972</v>
      </c>
      <c r="F82" s="12">
        <f>-33.242-SUM(C82:E82)</f>
        <v>-2.0829999999999984</v>
      </c>
      <c r="G82" s="12">
        <v>-5.92</v>
      </c>
      <c r="H82" s="12">
        <f>-27.609-G82</f>
        <v>-21.689</v>
      </c>
      <c r="I82" s="12">
        <f>-31.159-SUM(G82:H82)</f>
        <v>-3.5499999999999972</v>
      </c>
      <c r="J82" s="12">
        <f>-33.242-SUM(G82:I82)</f>
        <v>-2.0829999999999984</v>
      </c>
      <c r="K82" s="12">
        <v>-14.368</v>
      </c>
      <c r="L82" s="12">
        <f>-17.678-K82</f>
        <v>-3.3100000000000005</v>
      </c>
      <c r="M82" s="12">
        <f>18.772-SUM(K82:L82)</f>
        <v>36.450000000000003</v>
      </c>
      <c r="N82" s="12">
        <f>9.502-SUM(K82:M82)</f>
        <v>-9.2700000000000014</v>
      </c>
      <c r="O82" s="12">
        <v>-4.5140000000000002</v>
      </c>
      <c r="P82" s="12">
        <f>-44.089-O82</f>
        <v>-39.574999999999996</v>
      </c>
      <c r="Q82" s="12">
        <f>-56.998-SUM(O82:P82)</f>
        <v>-12.908999999999999</v>
      </c>
      <c r="R82" s="12">
        <f>-55.661-SUM(O82:Q82)</f>
        <v>1.3369999999999962</v>
      </c>
      <c r="S82" s="12">
        <v>13.129</v>
      </c>
      <c r="T82" s="12">
        <f>30.228-S82</f>
        <v>17.099000000000004</v>
      </c>
      <c r="U82" s="12">
        <f>61.072-SUM(S82:T82)</f>
        <v>30.844000000000001</v>
      </c>
      <c r="V82" s="12">
        <f>97.333-SUM(S82:U82)</f>
        <v>36.260999999999996</v>
      </c>
      <c r="W82" s="12">
        <v>38.295000000000002</v>
      </c>
      <c r="X82" s="12">
        <f>60.906-W82</f>
        <v>22.610999999999997</v>
      </c>
      <c r="Y82" s="12">
        <f>117.373-SUM(W82:X82)</f>
        <v>56.467000000000006</v>
      </c>
      <c r="Z82" s="12">
        <f>168.481-SUM(W82:Y82)</f>
        <v>51.10799999999999</v>
      </c>
      <c r="AA82" s="12">
        <f>48.97</f>
        <v>48.97</v>
      </c>
      <c r="AV82" s="12">
        <f t="shared" ref="AV82:AV86" si="211">SUM(C82:F82)</f>
        <v>-33.241999999999997</v>
      </c>
      <c r="AW82" s="12">
        <f t="shared" ref="AW82:AW84" si="212">SUM(G82:J82)</f>
        <v>-33.241999999999997</v>
      </c>
      <c r="AX82" s="12">
        <f t="shared" ref="AX82:AX84" si="213">SUM(K82:N82)</f>
        <v>9.5020000000000007</v>
      </c>
      <c r="AY82" s="12">
        <f t="shared" ref="AY82:AY84" si="214">SUM(O82:R82)</f>
        <v>-55.661000000000001</v>
      </c>
      <c r="AZ82" s="12">
        <f t="shared" ref="AZ82:AZ86" si="215">SUM(S82:V82)</f>
        <v>97.332999999999998</v>
      </c>
      <c r="BA82" s="12">
        <f t="shared" ref="BA82:BA86" si="216">SUM(W82:Z82)</f>
        <v>168.48099999999999</v>
      </c>
      <c r="BJ82" s="122" t="s">
        <v>733</v>
      </c>
    </row>
    <row r="83" spans="2:62">
      <c r="B83" s="2" t="s">
        <v>584</v>
      </c>
      <c r="C83" s="12">
        <v>-10.131</v>
      </c>
      <c r="D83" s="12">
        <f>-16.85-C83</f>
        <v>-6.7190000000000012</v>
      </c>
      <c r="E83" s="12">
        <f>-21.003-SUM(C83:D83)</f>
        <v>-4.1529999999999987</v>
      </c>
      <c r="F83" s="12">
        <f>-24.756-SUM(C83:E83)</f>
        <v>-3.7530000000000001</v>
      </c>
      <c r="G83" s="12">
        <v>-10.131</v>
      </c>
      <c r="H83" s="12">
        <f>-16.85-G83</f>
        <v>-6.7190000000000012</v>
      </c>
      <c r="I83" s="12">
        <f>-21.003-SUM(G83:H83)</f>
        <v>-4.1529999999999987</v>
      </c>
      <c r="J83" s="12">
        <f>-24.756-SUM(G83:I83)</f>
        <v>-3.7530000000000001</v>
      </c>
      <c r="K83" s="12">
        <v>-3.9910000000000001</v>
      </c>
      <c r="L83" s="12">
        <f>-7.286-K83</f>
        <v>-3.2949999999999995</v>
      </c>
      <c r="M83" s="12">
        <f>-13.088-SUM(K83:L83)</f>
        <v>-5.8019999999999996</v>
      </c>
      <c r="N83" s="12">
        <f>-21.18-SUM(K83:M83)</f>
        <v>-8.0920000000000005</v>
      </c>
      <c r="O83" s="12">
        <v>-4.9569999999999999</v>
      </c>
      <c r="P83" s="12">
        <f>-9.388-O83</f>
        <v>-4.431</v>
      </c>
      <c r="Q83" s="12">
        <f>-15.736-SUM(O83:P83)</f>
        <v>-6.3480000000000008</v>
      </c>
      <c r="R83" s="12">
        <f>-19.298-SUM(O83:Q83)</f>
        <v>-3.5619999999999976</v>
      </c>
      <c r="S83" s="12">
        <v>-3.8940000000000001</v>
      </c>
      <c r="T83" s="12">
        <f>-8.236-S83</f>
        <v>-4.3420000000000005</v>
      </c>
      <c r="U83" s="12">
        <f>-12.568-SUM(S83:T83)</f>
        <v>-4.331999999999999</v>
      </c>
      <c r="V83" s="12">
        <f>-16.213-SUM(S83:U83)</f>
        <v>-3.6450000000000014</v>
      </c>
      <c r="W83" s="12">
        <v>-5.8239999999999998</v>
      </c>
      <c r="X83" s="12">
        <f>-10.36-W83</f>
        <v>-4.5359999999999996</v>
      </c>
      <c r="Y83" s="12">
        <f>-15.811-SUM(W83:X83)</f>
        <v>-5.4510000000000005</v>
      </c>
      <c r="Z83" s="12">
        <f>-21.182-SUM(W83:Y83)</f>
        <v>-5.3709999999999987</v>
      </c>
      <c r="AA83" s="12">
        <f>--13.467</f>
        <v>13.467000000000001</v>
      </c>
      <c r="AV83" s="12">
        <f t="shared" si="211"/>
        <v>-24.756</v>
      </c>
      <c r="AW83" s="12">
        <f t="shared" si="212"/>
        <v>-24.756</v>
      </c>
      <c r="AX83" s="12">
        <f t="shared" si="213"/>
        <v>-21.18</v>
      </c>
      <c r="AY83" s="12">
        <f t="shared" si="214"/>
        <v>-19.297999999999998</v>
      </c>
      <c r="AZ83" s="12">
        <f t="shared" si="215"/>
        <v>-16.213000000000001</v>
      </c>
      <c r="BA83" s="12">
        <f t="shared" si="216"/>
        <v>-21.181999999999999</v>
      </c>
      <c r="BH83" s="122" t="s">
        <v>705</v>
      </c>
    </row>
    <row r="84" spans="2:62">
      <c r="B84" s="2" t="s">
        <v>585</v>
      </c>
      <c r="C84" s="12">
        <f t="shared" ref="C84" si="217">C82+C83</f>
        <v>-16.051000000000002</v>
      </c>
      <c r="D84" s="12">
        <f t="shared" ref="D84" si="218">D82+D83</f>
        <v>-28.408000000000001</v>
      </c>
      <c r="E84" s="12">
        <f t="shared" ref="E84" si="219">E82+E83</f>
        <v>-7.7029999999999959</v>
      </c>
      <c r="F84" s="12">
        <f t="shared" ref="F84" si="220">F82+F83</f>
        <v>-5.8359999999999985</v>
      </c>
      <c r="G84" s="12">
        <f t="shared" ref="G84:Y84" si="221">G82+G83</f>
        <v>-16.051000000000002</v>
      </c>
      <c r="H84" s="12">
        <f t="shared" si="221"/>
        <v>-28.408000000000001</v>
      </c>
      <c r="I84" s="12">
        <f t="shared" si="221"/>
        <v>-7.7029999999999959</v>
      </c>
      <c r="J84" s="12">
        <f t="shared" si="221"/>
        <v>-5.8359999999999985</v>
      </c>
      <c r="K84" s="12">
        <f t="shared" si="221"/>
        <v>-18.359000000000002</v>
      </c>
      <c r="L84" s="12">
        <f t="shared" si="221"/>
        <v>-6.6050000000000004</v>
      </c>
      <c r="M84" s="12">
        <f t="shared" si="221"/>
        <v>30.648000000000003</v>
      </c>
      <c r="N84" s="12">
        <f t="shared" si="221"/>
        <v>-17.362000000000002</v>
      </c>
      <c r="O84" s="12">
        <f t="shared" si="221"/>
        <v>-9.4710000000000001</v>
      </c>
      <c r="P84" s="12">
        <f t="shared" si="221"/>
        <v>-44.005999999999993</v>
      </c>
      <c r="Q84" s="12">
        <f t="shared" si="221"/>
        <v>-19.256999999999998</v>
      </c>
      <c r="R84" s="12">
        <f t="shared" si="221"/>
        <v>-2.2250000000000014</v>
      </c>
      <c r="S84" s="12">
        <f t="shared" si="221"/>
        <v>9.2349999999999994</v>
      </c>
      <c r="T84" s="12">
        <f t="shared" si="221"/>
        <v>12.757000000000003</v>
      </c>
      <c r="U84" s="12">
        <f t="shared" si="221"/>
        <v>26.512</v>
      </c>
      <c r="V84" s="12">
        <f t="shared" si="221"/>
        <v>32.615999999999993</v>
      </c>
      <c r="W84" s="12">
        <f t="shared" si="221"/>
        <v>32.471000000000004</v>
      </c>
      <c r="X84" s="12">
        <f t="shared" si="221"/>
        <v>18.074999999999996</v>
      </c>
      <c r="Y84" s="12">
        <f t="shared" si="221"/>
        <v>51.016000000000005</v>
      </c>
      <c r="Z84" s="12">
        <f>Z82+Z83</f>
        <v>45.736999999999995</v>
      </c>
      <c r="AA84" s="12">
        <f t="shared" ref="AA84" si="222">AA82+AA83</f>
        <v>62.436999999999998</v>
      </c>
      <c r="AV84" s="12">
        <f t="shared" si="211"/>
        <v>-57.997999999999998</v>
      </c>
      <c r="AW84" s="12">
        <f t="shared" si="212"/>
        <v>-57.997999999999998</v>
      </c>
      <c r="AX84" s="12">
        <f t="shared" si="213"/>
        <v>-11.678000000000001</v>
      </c>
      <c r="AY84" s="12">
        <f t="shared" si="214"/>
        <v>-74.958999999999975</v>
      </c>
      <c r="AZ84" s="12">
        <f t="shared" si="215"/>
        <v>81.12</v>
      </c>
      <c r="BA84" s="12">
        <f t="shared" si="216"/>
        <v>147.29900000000001</v>
      </c>
      <c r="BI84" s="122" t="s">
        <v>734</v>
      </c>
    </row>
    <row r="85" spans="2:62">
      <c r="B85" s="2" t="s">
        <v>325</v>
      </c>
      <c r="C85" s="12">
        <f t="shared" ref="C85:AA85" si="223">C40</f>
        <v>34.506999999999998</v>
      </c>
      <c r="D85" s="12">
        <f t="shared" si="223"/>
        <v>35</v>
      </c>
      <c r="E85" s="12">
        <f t="shared" si="223"/>
        <v>35</v>
      </c>
      <c r="F85" s="12">
        <f t="shared" si="223"/>
        <v>35</v>
      </c>
      <c r="G85" s="12">
        <f t="shared" si="223"/>
        <v>35</v>
      </c>
      <c r="H85" s="12">
        <f t="shared" si="223"/>
        <v>35.4</v>
      </c>
      <c r="I85" s="12">
        <f t="shared" si="223"/>
        <v>36.207000000000001</v>
      </c>
      <c r="J85" s="12">
        <f t="shared" si="223"/>
        <v>37.651000000000003</v>
      </c>
      <c r="K85" s="12">
        <f t="shared" si="223"/>
        <v>36.454999999999998</v>
      </c>
      <c r="L85" s="12">
        <f t="shared" si="223"/>
        <v>36.523000000000003</v>
      </c>
      <c r="M85" s="12">
        <f t="shared" si="223"/>
        <v>36.616999999999997</v>
      </c>
      <c r="N85" s="12">
        <f t="shared" si="223"/>
        <v>36.700000000000003</v>
      </c>
      <c r="O85" s="12">
        <f t="shared" si="223"/>
        <v>37.646000000000001</v>
      </c>
      <c r="P85" s="12">
        <f t="shared" si="223"/>
        <v>37.767000000000003</v>
      </c>
      <c r="Q85" s="12">
        <f t="shared" si="223"/>
        <v>37.917999999999999</v>
      </c>
      <c r="R85" s="12">
        <f t="shared" si="223"/>
        <v>37.841000000000001</v>
      </c>
      <c r="S85" s="12">
        <f t="shared" si="223"/>
        <v>39.07</v>
      </c>
      <c r="T85" s="12">
        <f t="shared" si="223"/>
        <v>38.15</v>
      </c>
      <c r="U85" s="12">
        <f t="shared" si="223"/>
        <v>38.956000000000003</v>
      </c>
      <c r="V85" s="12">
        <f t="shared" si="223"/>
        <v>38.4</v>
      </c>
      <c r="W85" s="12">
        <f t="shared" si="223"/>
        <v>39.299999999999997</v>
      </c>
      <c r="X85" s="12">
        <f t="shared" si="223"/>
        <v>38.799999999999997</v>
      </c>
      <c r="Y85" s="12">
        <f t="shared" si="223"/>
        <v>38.6</v>
      </c>
      <c r="Z85" s="12">
        <f t="shared" si="223"/>
        <v>38.630000000000003</v>
      </c>
      <c r="AA85" s="12">
        <f t="shared" si="223"/>
        <v>38.561999999999998</v>
      </c>
      <c r="AV85" s="12">
        <f t="shared" si="211"/>
        <v>139.50700000000001</v>
      </c>
      <c r="AW85" s="12">
        <f>J85</f>
        <v>37.651000000000003</v>
      </c>
      <c r="AX85" s="12">
        <f>N85</f>
        <v>36.700000000000003</v>
      </c>
      <c r="AY85" s="12">
        <f>R85</f>
        <v>37.841000000000001</v>
      </c>
      <c r="AZ85" s="12">
        <f>V85</f>
        <v>38.4</v>
      </c>
      <c r="BA85" s="12">
        <f>Z85</f>
        <v>38.630000000000003</v>
      </c>
      <c r="BG85" s="123" t="s">
        <v>703</v>
      </c>
    </row>
    <row r="86" spans="2:62">
      <c r="B86" s="2" t="s">
        <v>586</v>
      </c>
      <c r="C86" s="15">
        <f t="shared" ref="C86:F86" si="224">C84/C85</f>
        <v>-0.46515199814530395</v>
      </c>
      <c r="D86" s="15">
        <f t="shared" si="224"/>
        <v>-0.81165714285714285</v>
      </c>
      <c r="E86" s="15">
        <f t="shared" si="224"/>
        <v>-0.22008571428571416</v>
      </c>
      <c r="F86" s="15">
        <f t="shared" si="224"/>
        <v>-0.16674285714285711</v>
      </c>
      <c r="G86" s="15">
        <f t="shared" ref="G86:Y86" si="225">G84/G85</f>
        <v>-0.45860000000000006</v>
      </c>
      <c r="H86" s="15">
        <f t="shared" si="225"/>
        <v>-0.80248587570621477</v>
      </c>
      <c r="I86" s="15">
        <f t="shared" si="225"/>
        <v>-0.2127489159554781</v>
      </c>
      <c r="J86" s="15">
        <f t="shared" si="225"/>
        <v>-0.15500252317335525</v>
      </c>
      <c r="K86" s="15">
        <f t="shared" si="225"/>
        <v>-0.50360718694280626</v>
      </c>
      <c r="L86" s="15">
        <f t="shared" si="225"/>
        <v>-0.18084494701968623</v>
      </c>
      <c r="M86" s="15">
        <f t="shared" si="225"/>
        <v>0.83698828413032211</v>
      </c>
      <c r="N86" s="15">
        <f t="shared" si="225"/>
        <v>-0.47307901907356947</v>
      </c>
      <c r="O86" s="15">
        <f t="shared" si="225"/>
        <v>-0.25158051320193381</v>
      </c>
      <c r="P86" s="15">
        <f t="shared" si="225"/>
        <v>-1.1651971297693751</v>
      </c>
      <c r="Q86" s="15">
        <f t="shared" si="225"/>
        <v>-0.50785906429664007</v>
      </c>
      <c r="R86" s="15">
        <f t="shared" si="225"/>
        <v>-5.8798657540762703E-2</v>
      </c>
      <c r="S86" s="15">
        <f t="shared" si="225"/>
        <v>0.23637061684156641</v>
      </c>
      <c r="T86" s="15">
        <f t="shared" si="225"/>
        <v>0.33439056356487556</v>
      </c>
      <c r="U86" s="15">
        <f t="shared" si="225"/>
        <v>0.68056268610740323</v>
      </c>
      <c r="V86" s="15">
        <f t="shared" si="225"/>
        <v>0.84937499999999988</v>
      </c>
      <c r="W86" s="15">
        <f t="shared" si="225"/>
        <v>0.82623409669211212</v>
      </c>
      <c r="X86" s="15">
        <f t="shared" si="225"/>
        <v>0.46585051546391743</v>
      </c>
      <c r="Y86" s="15">
        <f t="shared" si="225"/>
        <v>1.321658031088083</v>
      </c>
      <c r="Z86" s="15">
        <f>Z84/Z85</f>
        <v>1.1839761843127101</v>
      </c>
      <c r="AA86" s="15">
        <f t="shared" ref="AA86" si="226">AA84/AA85</f>
        <v>1.6191328250609409</v>
      </c>
      <c r="AV86" s="15">
        <f t="shared" si="211"/>
        <v>-1.663637712431018</v>
      </c>
      <c r="AW86" s="15">
        <f>SUM(G86:J86)</f>
        <v>-1.6288373148350481</v>
      </c>
      <c r="AX86" s="15">
        <f>SUM(K86:N86)</f>
        <v>-0.32054286890573985</v>
      </c>
      <c r="AY86" s="15">
        <f>SUM(O86:R86)</f>
        <v>-1.9834353648087115</v>
      </c>
      <c r="AZ86" s="15">
        <f t="shared" si="215"/>
        <v>2.1006988665138451</v>
      </c>
      <c r="BA86" s="15">
        <f t="shared" si="216"/>
        <v>3.7977188275568228</v>
      </c>
      <c r="BH86" s="122" t="s">
        <v>727</v>
      </c>
    </row>
    <row r="87" spans="2:62">
      <c r="BH87" s="122" t="s">
        <v>1671</v>
      </c>
    </row>
    <row r="88" spans="2:62">
      <c r="BI88" s="122" t="s">
        <v>735</v>
      </c>
    </row>
    <row r="89" spans="2:62">
      <c r="BJ89" s="122" t="s">
        <v>808</v>
      </c>
    </row>
    <row r="90" spans="2:62">
      <c r="BH90" s="122" t="s">
        <v>704</v>
      </c>
    </row>
    <row r="91" spans="2:62">
      <c r="BH91" s="122" t="s">
        <v>736</v>
      </c>
    </row>
  </sheetData>
  <pageMargins left="0.7" right="0.7" top="0.75" bottom="0.75" header="0.3" footer="0.3"/>
  <ignoredErrors>
    <ignoredError sqref="N26:N27 Z74:Z76 C77:Z77 C74:Y76 D78:Z78 AA74 AA76:AA78" formulaRange="1"/>
    <ignoredError sqref="AV24:AV25" evalError="1"/>
    <ignoredError sqref="AV26:AV27 AV41 AV29:AV32" evalError="1" formulaRange="1"/>
    <ignoredError sqref="F38 F34 AV28:BA28 AV33:BB33 AV37:BA37 AW36:AY36 AV35:BA35 AW34:BA34 AW38:BA38 Z82:Z83 AV85:BA85" formula="1"/>
    <ignoredError sqref="AV38 AV34 AV36" evalError="1" formula="1"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27F89-7369-4878-B50B-80E6AE0FDF66}">
  <sheetPr>
    <tabColor rgb="FF92D050"/>
  </sheetPr>
  <dimension ref="A1:CW1116"/>
  <sheetViews>
    <sheetView topLeftCell="H75" zoomScale="85" zoomScaleNormal="85" workbookViewId="0">
      <selection activeCell="J109" sqref="J109"/>
    </sheetView>
  </sheetViews>
  <sheetFormatPr defaultColWidth="9.140625" defaultRowHeight="14.25"/>
  <cols>
    <col min="1" max="7" width="0" style="2" hidden="1" customWidth="1"/>
    <col min="8" max="8" width="3" style="2" customWidth="1"/>
    <col min="9" max="13" width="9.140625" style="2"/>
    <col min="14" max="14" width="9.140625" style="2" customWidth="1"/>
    <col min="15" max="15" width="9.140625" style="2"/>
    <col min="16" max="16" width="9" style="2" customWidth="1"/>
    <col min="17" max="17" width="9.140625" style="2" customWidth="1"/>
    <col min="18" max="18" width="11.42578125" style="2" customWidth="1"/>
    <col min="19" max="26" width="9.140625" style="2"/>
    <col min="27" max="27" width="3" style="2" customWidth="1"/>
    <col min="28" max="39" width="9.140625" style="2"/>
    <col min="40" max="40" width="9" style="2" customWidth="1"/>
    <col min="41" max="50" width="9.140625" style="2"/>
    <col min="51" max="51" width="9.140625" style="2" customWidth="1"/>
    <col min="52" max="16384" width="9.140625" style="2"/>
  </cols>
  <sheetData>
    <row r="1" spans="9:101">
      <c r="CC1" s="2">
        <v>0</v>
      </c>
      <c r="CW1" s="2" t="s">
        <v>358</v>
      </c>
    </row>
    <row r="2" spans="9:101" ht="15">
      <c r="I2" s="26" t="s">
        <v>587</v>
      </c>
      <c r="AB2" s="1" t="s">
        <v>757</v>
      </c>
      <c r="BK2" s="1" t="s">
        <v>806</v>
      </c>
    </row>
    <row r="3" spans="9:101" ht="15">
      <c r="AB3" s="2" t="s">
        <v>686</v>
      </c>
    </row>
    <row r="5" spans="9:101">
      <c r="AB5" s="2" t="s">
        <v>363</v>
      </c>
    </row>
    <row r="6" spans="9:101">
      <c r="AC6" s="2" t="s">
        <v>364</v>
      </c>
    </row>
    <row r="7" spans="9:101">
      <c r="AC7" s="2" t="s">
        <v>627</v>
      </c>
    </row>
    <row r="8" spans="9:101">
      <c r="AC8" s="2" t="s">
        <v>628</v>
      </c>
    </row>
    <row r="9" spans="9:101">
      <c r="AD9" s="2" t="s">
        <v>600</v>
      </c>
    </row>
    <row r="10" spans="9:101">
      <c r="AD10" s="2" t="s">
        <v>687</v>
      </c>
    </row>
    <row r="12" spans="9:101">
      <c r="AB12" s="2" t="s">
        <v>629</v>
      </c>
    </row>
    <row r="13" spans="9:101">
      <c r="AC13" s="2" t="s">
        <v>479</v>
      </c>
    </row>
    <row r="14" spans="9:101">
      <c r="AC14" s="2" t="s">
        <v>480</v>
      </c>
    </row>
    <row r="15" spans="9:101">
      <c r="AD15" s="2" t="s">
        <v>630</v>
      </c>
    </row>
    <row r="17" spans="28:52" ht="15">
      <c r="AB17" s="1" t="s">
        <v>559</v>
      </c>
      <c r="AJ17" s="1" t="s">
        <v>841</v>
      </c>
    </row>
    <row r="18" spans="28:52">
      <c r="AB18" s="60"/>
      <c r="AC18" s="61" t="s">
        <v>508</v>
      </c>
      <c r="AD18" s="60"/>
      <c r="AJ18" s="2" t="s">
        <v>601</v>
      </c>
    </row>
    <row r="19" spans="28:52">
      <c r="AB19" s="60"/>
      <c r="AC19" s="60"/>
      <c r="AD19" s="61" t="s">
        <v>634</v>
      </c>
      <c r="AJ19" s="2" t="s">
        <v>479</v>
      </c>
    </row>
    <row r="20" spans="28:52">
      <c r="AB20" s="60"/>
      <c r="AC20" s="60"/>
      <c r="AD20" s="61" t="s">
        <v>633</v>
      </c>
      <c r="AJ20" s="2" t="s">
        <v>622</v>
      </c>
    </row>
    <row r="22" spans="28:52" ht="15">
      <c r="AB22" s="1" t="s">
        <v>758</v>
      </c>
      <c r="AM22" s="1" t="s">
        <v>791</v>
      </c>
    </row>
    <row r="23" spans="28:52" ht="15">
      <c r="AB23" s="1" t="s">
        <v>726</v>
      </c>
    </row>
    <row r="24" spans="28:52" ht="15">
      <c r="AZ24"/>
    </row>
    <row r="33" spans="9:45" ht="15">
      <c r="I33" s="1" t="s">
        <v>621</v>
      </c>
    </row>
    <row r="39" spans="9:45" ht="15">
      <c r="AS39"/>
    </row>
    <row r="49" spans="28:30">
      <c r="AB49" s="2" t="s">
        <v>831</v>
      </c>
    </row>
    <row r="50" spans="28:30">
      <c r="AC50" s="2" t="s">
        <v>786</v>
      </c>
    </row>
    <row r="51" spans="28:30">
      <c r="AC51" s="2" t="s">
        <v>827</v>
      </c>
    </row>
    <row r="52" spans="28:30">
      <c r="AD52" s="2" t="s">
        <v>903</v>
      </c>
    </row>
    <row r="53" spans="28:30">
      <c r="AC53" s="2" t="s">
        <v>828</v>
      </c>
    </row>
    <row r="54" spans="28:30">
      <c r="AC54" s="2" t="s">
        <v>833</v>
      </c>
    </row>
    <row r="55" spans="28:30">
      <c r="AB55" s="2" t="s">
        <v>829</v>
      </c>
    </row>
    <row r="56" spans="28:30">
      <c r="AC56" s="2" t="s">
        <v>787</v>
      </c>
    </row>
    <row r="57" spans="28:30">
      <c r="AC57" s="2" t="s">
        <v>830</v>
      </c>
    </row>
    <row r="58" spans="28:30">
      <c r="AD58" s="2" t="s">
        <v>842</v>
      </c>
    </row>
    <row r="59" spans="28:30">
      <c r="AB59" s="2" t="s">
        <v>846</v>
      </c>
    </row>
    <row r="60" spans="28:30">
      <c r="AB60" s="2" t="s">
        <v>832</v>
      </c>
    </row>
    <row r="61" spans="28:30">
      <c r="AC61" s="2" t="s">
        <v>631</v>
      </c>
    </row>
    <row r="62" spans="28:30">
      <c r="AD62" s="2" t="s">
        <v>847</v>
      </c>
    </row>
    <row r="63" spans="28:30">
      <c r="AB63" s="2" t="s">
        <v>834</v>
      </c>
    </row>
    <row r="64" spans="28:30">
      <c r="AB64" s="2" t="s">
        <v>835</v>
      </c>
    </row>
    <row r="65" spans="9:29">
      <c r="AB65" s="2" t="s">
        <v>836</v>
      </c>
    </row>
    <row r="66" spans="9:29" ht="15">
      <c r="I66" s="1" t="s">
        <v>1645</v>
      </c>
      <c r="AC66" s="2" t="s">
        <v>837</v>
      </c>
    </row>
    <row r="67" spans="9:29" ht="15">
      <c r="AB67" s="1" t="s">
        <v>861</v>
      </c>
    </row>
    <row r="69" spans="9:29" ht="15">
      <c r="AB69" s="1" t="s">
        <v>838</v>
      </c>
    </row>
    <row r="75" spans="9:29" ht="13.5" customHeight="1"/>
    <row r="97" spans="1:30">
      <c r="AB97" s="2" t="s">
        <v>788</v>
      </c>
    </row>
    <row r="98" spans="1:30">
      <c r="L98" s="2" t="s">
        <v>1660</v>
      </c>
      <c r="AC98" s="2" t="s">
        <v>785</v>
      </c>
    </row>
    <row r="99" spans="1:30">
      <c r="M99" s="2" t="s">
        <v>1658</v>
      </c>
      <c r="AC99" s="2" t="s">
        <v>784</v>
      </c>
    </row>
    <row r="100" spans="1:30">
      <c r="L100" s="2" t="s">
        <v>620</v>
      </c>
      <c r="AB100" s="2" t="s">
        <v>789</v>
      </c>
    </row>
    <row r="101" spans="1:30">
      <c r="M101" s="2" t="s">
        <v>1661</v>
      </c>
      <c r="AC101" s="2" t="s">
        <v>790</v>
      </c>
    </row>
    <row r="102" spans="1:30" ht="15">
      <c r="I102" s="1"/>
      <c r="L102" s="2" t="s">
        <v>906</v>
      </c>
      <c r="AB102" s="2" t="s">
        <v>742</v>
      </c>
    </row>
    <row r="103" spans="1:30">
      <c r="M103" s="2" t="s">
        <v>1659</v>
      </c>
      <c r="AC103" s="2" t="s">
        <v>743</v>
      </c>
    </row>
    <row r="104" spans="1:30">
      <c r="I104" s="6"/>
      <c r="J104" s="6" t="s">
        <v>266</v>
      </c>
      <c r="K104" s="7">
        <f>MIN($G$113:$G$1116)</f>
        <v>-0.13203174603174594</v>
      </c>
      <c r="M104" s="2" t="s">
        <v>1663</v>
      </c>
      <c r="AD104" s="2" t="s">
        <v>744</v>
      </c>
    </row>
    <row r="105" spans="1:30">
      <c r="I105" s="18"/>
      <c r="J105" s="6" t="s">
        <v>265</v>
      </c>
      <c r="K105" s="7">
        <f>MAX($G$113:$G$1116)</f>
        <v>0.18352724177071522</v>
      </c>
      <c r="N105" s="2" t="s">
        <v>1665</v>
      </c>
      <c r="AB105" s="2" t="s">
        <v>848</v>
      </c>
    </row>
    <row r="106" spans="1:30">
      <c r="I106" s="6"/>
      <c r="J106" s="6" t="s">
        <v>268</v>
      </c>
      <c r="K106" s="7">
        <f>AVERAGE($G$113:$G$1116)</f>
        <v>3.5008473359527444E-4</v>
      </c>
      <c r="N106" s="2" t="s">
        <v>1664</v>
      </c>
      <c r="AC106" s="2" t="s">
        <v>849</v>
      </c>
    </row>
    <row r="107" spans="1:30">
      <c r="I107" s="18"/>
      <c r="J107" s="6" t="s">
        <v>905</v>
      </c>
      <c r="K107" s="7">
        <f>MEDIAN($G$113:$G$1116)</f>
        <v>-3.2415430792942512E-4</v>
      </c>
      <c r="N107" s="2" t="s">
        <v>1666</v>
      </c>
      <c r="AC107" s="2" t="s">
        <v>745</v>
      </c>
    </row>
    <row r="108" spans="1:30">
      <c r="I108" s="18"/>
      <c r="J108" s="6" t="s">
        <v>267</v>
      </c>
      <c r="K108" s="7">
        <f>_xlfn.STDEV.P($G$113:$G$1116)</f>
        <v>2.4922310845394476E-2</v>
      </c>
      <c r="AC108" s="2" t="s">
        <v>746</v>
      </c>
    </row>
    <row r="109" spans="1:30" ht="15">
      <c r="I109" s="18"/>
      <c r="J109" s="18" t="s">
        <v>1662</v>
      </c>
      <c r="K109" s="7">
        <f>3*K108</f>
        <v>7.4766932536183425E-2</v>
      </c>
      <c r="L109" s="6"/>
      <c r="M109" s="1" t="s">
        <v>900</v>
      </c>
      <c r="AC109" s="2" t="s">
        <v>747</v>
      </c>
    </row>
    <row r="110" spans="1:30" ht="15">
      <c r="I110" s="6"/>
      <c r="J110" s="18" t="s">
        <v>1656</v>
      </c>
      <c r="K110" s="6">
        <v>0.56000000000000005</v>
      </c>
      <c r="L110" s="6"/>
      <c r="M110" s="1" t="s">
        <v>901</v>
      </c>
      <c r="AC110" s="1" t="s">
        <v>749</v>
      </c>
    </row>
    <row r="111" spans="1:30">
      <c r="AB111" s="2" t="s">
        <v>850</v>
      </c>
    </row>
    <row r="112" spans="1:30" ht="15" customHeight="1" thickBot="1">
      <c r="A112" s="110" t="s">
        <v>264</v>
      </c>
      <c r="B112" s="110" t="s">
        <v>263</v>
      </c>
      <c r="C112" s="110" t="s">
        <v>262</v>
      </c>
      <c r="D112" s="110" t="s">
        <v>261</v>
      </c>
      <c r="E112" s="110" t="s">
        <v>260</v>
      </c>
      <c r="F112" s="110" t="s">
        <v>259</v>
      </c>
      <c r="G112" s="6" t="s">
        <v>269</v>
      </c>
      <c r="P112" s="2" t="s">
        <v>1657</v>
      </c>
      <c r="AC112" s="2" t="s">
        <v>750</v>
      </c>
    </row>
    <row r="113" spans="1:30" ht="15" customHeight="1">
      <c r="A113" s="109">
        <v>296.91000000000003</v>
      </c>
      <c r="B113" s="109">
        <v>301.14999999999998</v>
      </c>
      <c r="C113" s="109">
        <v>293.32</v>
      </c>
      <c r="D113" s="109">
        <v>297.44</v>
      </c>
      <c r="E113" s="109">
        <v>572291</v>
      </c>
      <c r="F113" s="109" t="s">
        <v>907</v>
      </c>
      <c r="G113" s="5">
        <f>A113/D113-1</f>
        <v>-1.7818719741795608E-3</v>
      </c>
      <c r="I113" s="115" t="s">
        <v>1642</v>
      </c>
      <c r="J113" s="115" t="s">
        <v>1644</v>
      </c>
      <c r="K113" s="109"/>
      <c r="L113" s="120" t="s">
        <v>1654</v>
      </c>
      <c r="M113" s="121" t="s">
        <v>1655</v>
      </c>
      <c r="P113" s="120" t="s">
        <v>1646</v>
      </c>
      <c r="Q113" s="121" t="s">
        <v>1647</v>
      </c>
      <c r="AC113" s="2" t="s">
        <v>748</v>
      </c>
    </row>
    <row r="114" spans="1:30" ht="15" customHeight="1">
      <c r="A114" s="109">
        <v>297.32</v>
      </c>
      <c r="B114" s="109">
        <v>302.99</v>
      </c>
      <c r="C114" s="109">
        <v>293.92</v>
      </c>
      <c r="D114" s="109">
        <v>300</v>
      </c>
      <c r="E114" s="109">
        <v>489790</v>
      </c>
      <c r="F114" s="109" t="s">
        <v>908</v>
      </c>
      <c r="G114" s="5">
        <f t="shared" ref="G114:G177" si="0">A114/D114-1</f>
        <v>-8.9333333333333487E-3</v>
      </c>
      <c r="I114" s="112">
        <v>-7.4999999999999997E-2</v>
      </c>
      <c r="J114" s="113">
        <v>1</v>
      </c>
      <c r="K114" s="109"/>
      <c r="L114" s="116">
        <v>-7.7499999999999999E-2</v>
      </c>
      <c r="M114" s="116">
        <f>_xlfn.NORM.DIST(L114,$K$106,$K$108,FALSE)</f>
        <v>0.12175671053333864</v>
      </c>
      <c r="O114" s="2" t="s">
        <v>268</v>
      </c>
      <c r="P114" s="5">
        <f>K106</f>
        <v>3.5008473359527444E-4</v>
      </c>
      <c r="Q114" s="2">
        <v>0</v>
      </c>
      <c r="AD114" s="2" t="s">
        <v>851</v>
      </c>
    </row>
    <row r="115" spans="1:30" ht="15">
      <c r="A115" s="109">
        <v>299.77999999999997</v>
      </c>
      <c r="B115" s="109">
        <v>305.74299999999999</v>
      </c>
      <c r="C115" s="109">
        <v>292.93939999999998</v>
      </c>
      <c r="D115" s="109">
        <v>300</v>
      </c>
      <c r="E115" s="109">
        <v>606068</v>
      </c>
      <c r="F115" s="109" t="s">
        <v>899</v>
      </c>
      <c r="G115" s="5">
        <f t="shared" si="0"/>
        <v>-7.3333333333347461E-4</v>
      </c>
      <c r="I115" s="112">
        <v>-7.2499999999999995E-2</v>
      </c>
      <c r="J115" s="113">
        <v>1</v>
      </c>
      <c r="K115" s="109"/>
      <c r="L115" s="116">
        <v>-7.4999999999999997E-2</v>
      </c>
      <c r="M115" s="116">
        <f>_xlfn.NORM.DIST(L115,$K$106,$K$108,FALSE)</f>
        <v>0.16572643532551629</v>
      </c>
      <c r="P115" s="5">
        <f>K106</f>
        <v>3.5008473359527444E-4</v>
      </c>
      <c r="Q115" s="2">
        <v>25</v>
      </c>
    </row>
    <row r="116" spans="1:30" ht="15">
      <c r="A116" s="109">
        <v>298.25</v>
      </c>
      <c r="B116" s="109">
        <v>300.60449999999997</v>
      </c>
      <c r="C116" s="109">
        <v>273.91340000000002</v>
      </c>
      <c r="D116" s="109">
        <v>300</v>
      </c>
      <c r="E116" s="109">
        <v>1574699</v>
      </c>
      <c r="F116" s="109" t="s">
        <v>898</v>
      </c>
      <c r="G116" s="5">
        <f t="shared" si="0"/>
        <v>-5.833333333333357E-3</v>
      </c>
      <c r="I116" s="112">
        <v>-6.9999999999999993E-2</v>
      </c>
      <c r="J116" s="113">
        <v>1</v>
      </c>
      <c r="K116" s="109"/>
      <c r="L116" s="116">
        <f>L115+0.0025</f>
        <v>-7.2499999999999995E-2</v>
      </c>
      <c r="M116" s="116">
        <f>_xlfn.NORM.DIST(L116,$K$106,$K$108,FALSE)</f>
        <v>0.22331639508899631</v>
      </c>
      <c r="O116" s="117" t="s">
        <v>1648</v>
      </c>
      <c r="P116" s="5">
        <f>$K$106+$K$108*-3</f>
        <v>-7.4416847802588157E-2</v>
      </c>
      <c r="Q116" s="2">
        <v>0</v>
      </c>
    </row>
    <row r="117" spans="1:30" ht="15">
      <c r="A117" s="109">
        <v>278.77</v>
      </c>
      <c r="B117" s="109">
        <v>285.64999999999998</v>
      </c>
      <c r="C117" s="109">
        <v>275.7201</v>
      </c>
      <c r="D117" s="109">
        <v>282.74</v>
      </c>
      <c r="E117" s="109">
        <v>834790</v>
      </c>
      <c r="F117" s="109" t="s">
        <v>897</v>
      </c>
      <c r="G117" s="5">
        <f t="shared" si="0"/>
        <v>-1.4041168564759232E-2</v>
      </c>
      <c r="I117" s="112">
        <v>-6.7499999999999991E-2</v>
      </c>
      <c r="J117" s="113">
        <v>0</v>
      </c>
      <c r="K117" s="109"/>
      <c r="L117" s="116">
        <f t="shared" ref="L117:L176" si="1">L116+0.0025</f>
        <v>-6.9999999999999993E-2</v>
      </c>
      <c r="M117" s="116">
        <f>_xlfn.NORM.DIST(L117,$K$106,$K$108,FALSE)</f>
        <v>0.29790607870469921</v>
      </c>
      <c r="O117" s="15"/>
      <c r="P117" s="5">
        <f>$K$106+$K$108*-3</f>
        <v>-7.4416847802588157E-2</v>
      </c>
      <c r="Q117" s="2">
        <v>1</v>
      </c>
    </row>
    <row r="118" spans="1:30" ht="15">
      <c r="A118" s="109">
        <v>277.22000000000003</v>
      </c>
      <c r="B118" s="109">
        <v>277.22000000000003</v>
      </c>
      <c r="C118" s="109">
        <v>270.02</v>
      </c>
      <c r="D118" s="109">
        <v>274</v>
      </c>
      <c r="E118" s="109">
        <v>728380</v>
      </c>
      <c r="F118" s="109" t="s">
        <v>896</v>
      </c>
      <c r="G118" s="5">
        <f t="shared" si="0"/>
        <v>1.1751824817518353E-2</v>
      </c>
      <c r="I118" s="112">
        <v>-6.4999999999999988E-2</v>
      </c>
      <c r="J118" s="113">
        <v>2</v>
      </c>
      <c r="K118" s="109"/>
      <c r="L118" s="116">
        <f t="shared" si="1"/>
        <v>-6.7499999999999991E-2</v>
      </c>
      <c r="M118" s="116">
        <f>_xlfn.NORM.DIST(L118,$K$106,$K$108,FALSE)</f>
        <v>0.39343053030094327</v>
      </c>
      <c r="O118" s="117" t="s">
        <v>1649</v>
      </c>
      <c r="P118" s="5">
        <f>$K$106+$K$108*-2</f>
        <v>-4.9494536957193677E-2</v>
      </c>
      <c r="Q118" s="2">
        <v>0</v>
      </c>
      <c r="AB118" s="1" t="s">
        <v>845</v>
      </c>
    </row>
    <row r="119" spans="1:30" ht="15">
      <c r="A119" s="109">
        <v>270.64</v>
      </c>
      <c r="B119" s="109">
        <v>278.58999999999997</v>
      </c>
      <c r="C119" s="109">
        <v>268.14999999999998</v>
      </c>
      <c r="D119" s="109">
        <v>277</v>
      </c>
      <c r="E119" s="109">
        <v>502045</v>
      </c>
      <c r="F119" s="109" t="s">
        <v>895</v>
      </c>
      <c r="G119" s="5">
        <f t="shared" si="0"/>
        <v>-2.2960288808664298E-2</v>
      </c>
      <c r="I119" s="112">
        <v>-6.2499999999999986E-2</v>
      </c>
      <c r="J119" s="113">
        <v>0</v>
      </c>
      <c r="K119" s="109"/>
      <c r="L119" s="116">
        <f t="shared" si="1"/>
        <v>-6.4999999999999988E-2</v>
      </c>
      <c r="M119" s="116">
        <f>_xlfn.NORM.DIST(L119,$K$106,$K$108,FALSE)</f>
        <v>0.51438309634328894</v>
      </c>
      <c r="O119" s="15"/>
      <c r="P119" s="5">
        <f>$K$106+$K$108*-2</f>
        <v>-4.9494536957193677E-2</v>
      </c>
      <c r="Q119" s="2">
        <v>7</v>
      </c>
    </row>
    <row r="120" spans="1:30" ht="15">
      <c r="A120" s="109">
        <v>277.35000000000002</v>
      </c>
      <c r="B120" s="109">
        <v>280.77</v>
      </c>
      <c r="C120" s="109">
        <v>273.03469999999999</v>
      </c>
      <c r="D120" s="109">
        <v>277.5</v>
      </c>
      <c r="E120" s="109">
        <v>326830</v>
      </c>
      <c r="F120" s="109" t="s">
        <v>894</v>
      </c>
      <c r="G120" s="5">
        <f t="shared" si="0"/>
        <v>-5.40540540540424E-4</v>
      </c>
      <c r="I120" s="112">
        <v>-5.9999999999999984E-2</v>
      </c>
      <c r="J120" s="113">
        <v>2</v>
      </c>
      <c r="K120" s="109"/>
      <c r="L120" s="116">
        <f t="shared" si="1"/>
        <v>-6.2499999999999986E-2</v>
      </c>
      <c r="M120" s="116">
        <f>_xlfn.NORM.DIST(L120,$K$106,$K$108,FALSE)</f>
        <v>0.6657869147290929</v>
      </c>
      <c r="O120" s="118" t="s">
        <v>1650</v>
      </c>
      <c r="P120" s="5">
        <f>$K$106+$K$108*-1</f>
        <v>-2.4572226111799201E-2</v>
      </c>
      <c r="Q120" s="2">
        <v>0</v>
      </c>
    </row>
    <row r="121" spans="1:30" ht="15">
      <c r="A121" s="109">
        <v>277.79000000000002</v>
      </c>
      <c r="B121" s="109">
        <v>278.74</v>
      </c>
      <c r="C121" s="109">
        <v>271.13</v>
      </c>
      <c r="D121" s="109">
        <v>272.01</v>
      </c>
      <c r="E121" s="109">
        <v>433558</v>
      </c>
      <c r="F121" s="109" t="s">
        <v>893</v>
      </c>
      <c r="G121" s="5">
        <f t="shared" si="0"/>
        <v>2.1249218778721435E-2</v>
      </c>
      <c r="I121" s="112">
        <v>-5.7499999999999982E-2</v>
      </c>
      <c r="J121" s="113">
        <v>0</v>
      </c>
      <c r="K121" s="109"/>
      <c r="L121" s="116">
        <f t="shared" si="1"/>
        <v>-5.9999999999999984E-2</v>
      </c>
      <c r="M121" s="116">
        <f>_xlfn.NORM.DIST(L121,$K$106,$K$108,FALSE)</f>
        <v>0.85312714212129315</v>
      </c>
      <c r="P121" s="5">
        <f>$K$106+$K$108*-1</f>
        <v>-2.4572226111799201E-2</v>
      </c>
      <c r="Q121" s="2">
        <v>15</v>
      </c>
    </row>
    <row r="122" spans="1:30" ht="15">
      <c r="A122" s="109">
        <v>272.26</v>
      </c>
      <c r="B122" s="109">
        <v>275</v>
      </c>
      <c r="C122" s="109">
        <v>269.58999999999997</v>
      </c>
      <c r="D122" s="109">
        <v>271.20999999999998</v>
      </c>
      <c r="E122" s="109">
        <v>343522</v>
      </c>
      <c r="F122" s="109" t="s">
        <v>892</v>
      </c>
      <c r="G122" s="5">
        <f t="shared" si="0"/>
        <v>3.8715386600789436E-3</v>
      </c>
      <c r="I122" s="112">
        <v>-5.4999999999999979E-2</v>
      </c>
      <c r="J122" s="113">
        <v>2</v>
      </c>
      <c r="K122" s="109"/>
      <c r="L122" s="116">
        <f t="shared" si="1"/>
        <v>-5.7499999999999982E-2</v>
      </c>
      <c r="M122" s="116">
        <f>_xlfn.NORM.DIST(L122,$K$106,$K$108,FALSE)</f>
        <v>1.082236556927398</v>
      </c>
      <c r="O122" s="2" t="s">
        <v>1651</v>
      </c>
      <c r="P122" s="5">
        <f>$K$106+$K$108*1</f>
        <v>2.5272395578989752E-2</v>
      </c>
      <c r="Q122" s="2">
        <v>0</v>
      </c>
    </row>
    <row r="123" spans="1:30" ht="15">
      <c r="A123" s="109">
        <v>270.27</v>
      </c>
      <c r="B123" s="109">
        <v>278.39</v>
      </c>
      <c r="C123" s="109">
        <v>266.75</v>
      </c>
      <c r="D123" s="109">
        <v>278.39</v>
      </c>
      <c r="E123" s="109">
        <v>394203</v>
      </c>
      <c r="F123" s="109" t="s">
        <v>891</v>
      </c>
      <c r="G123" s="5">
        <f t="shared" si="0"/>
        <v>-2.9167714357555941E-2</v>
      </c>
      <c r="I123" s="112">
        <v>-5.2499999999999977E-2</v>
      </c>
      <c r="J123" s="113">
        <v>7</v>
      </c>
      <c r="K123" s="109"/>
      <c r="L123" s="116">
        <f t="shared" si="1"/>
        <v>-5.4999999999999979E-2</v>
      </c>
      <c r="M123" s="116">
        <f>_xlfn.NORM.DIST(L123,$K$106,$K$108,FALSE)</f>
        <v>1.3591286816430226</v>
      </c>
      <c r="P123" s="5">
        <f>$K$106+$K$108*1</f>
        <v>2.5272395578989752E-2</v>
      </c>
      <c r="Q123" s="2">
        <v>15</v>
      </c>
    </row>
    <row r="124" spans="1:30" ht="15">
      <c r="A124" s="109">
        <v>272.32</v>
      </c>
      <c r="B124" s="109">
        <v>277.25</v>
      </c>
      <c r="C124" s="109">
        <v>264.45499999999998</v>
      </c>
      <c r="D124" s="109">
        <v>269.60000000000002</v>
      </c>
      <c r="E124" s="109">
        <v>388806</v>
      </c>
      <c r="F124" s="109" t="s">
        <v>890</v>
      </c>
      <c r="G124" s="5">
        <f t="shared" si="0"/>
        <v>1.0089020771513191E-2</v>
      </c>
      <c r="I124" s="112">
        <v>-4.9999999999999975E-2</v>
      </c>
      <c r="J124" s="113">
        <v>2</v>
      </c>
      <c r="K124" s="109"/>
      <c r="L124" s="116">
        <f t="shared" si="1"/>
        <v>-5.2499999999999977E-2</v>
      </c>
      <c r="M124" s="116">
        <f>_xlfn.NORM.DIST(L124,$K$106,$K$108,FALSE)</f>
        <v>1.6897750443815549</v>
      </c>
      <c r="O124" s="119" t="s">
        <v>1652</v>
      </c>
      <c r="P124" s="5">
        <f>$K$106+$K$108*2</f>
        <v>5.0194706424384228E-2</v>
      </c>
      <c r="Q124" s="2">
        <v>0</v>
      </c>
    </row>
    <row r="125" spans="1:30" ht="15">
      <c r="A125" s="109">
        <v>268.57</v>
      </c>
      <c r="B125" s="109">
        <v>275.38</v>
      </c>
      <c r="C125" s="109">
        <v>261.52</v>
      </c>
      <c r="D125" s="109">
        <v>271.45999999999998</v>
      </c>
      <c r="E125" s="109">
        <v>509513</v>
      </c>
      <c r="F125" s="109" t="s">
        <v>889</v>
      </c>
      <c r="G125" s="5">
        <f t="shared" si="0"/>
        <v>-1.0646135710601912E-2</v>
      </c>
      <c r="I125" s="112">
        <v>-4.7499999999999973E-2</v>
      </c>
      <c r="J125" s="113">
        <v>7</v>
      </c>
      <c r="K125" s="109"/>
      <c r="L125" s="116">
        <f t="shared" si="1"/>
        <v>-4.9999999999999975E-2</v>
      </c>
      <c r="M125" s="116">
        <f>_xlfn.NORM.DIST(L125,$K$106,$K$108,FALSE)</f>
        <v>2.0798266711855637</v>
      </c>
      <c r="P125" s="5">
        <f>$K$106+$K$108*2</f>
        <v>5.0194706424384228E-2</v>
      </c>
      <c r="Q125" s="2">
        <v>7</v>
      </c>
    </row>
    <row r="126" spans="1:30" ht="15">
      <c r="A126" s="109">
        <v>275.45999999999998</v>
      </c>
      <c r="B126" s="109">
        <v>279.06</v>
      </c>
      <c r="C126" s="109">
        <v>253.27</v>
      </c>
      <c r="D126" s="109">
        <v>253.27</v>
      </c>
      <c r="E126" s="109">
        <v>685564</v>
      </c>
      <c r="F126" s="109" t="s">
        <v>888</v>
      </c>
      <c r="G126" s="5">
        <f t="shared" si="0"/>
        <v>8.7614008765349194E-2</v>
      </c>
      <c r="I126" s="112">
        <v>-4.4999999999999971E-2</v>
      </c>
      <c r="J126" s="113">
        <v>5</v>
      </c>
      <c r="K126" s="109"/>
      <c r="L126" s="116">
        <f t="shared" si="1"/>
        <v>-4.7499999999999973E-2</v>
      </c>
      <c r="M126" s="116">
        <f>_xlfn.NORM.DIST(L126,$K$106,$K$108,FALSE)</f>
        <v>2.5342842896496385</v>
      </c>
      <c r="O126" s="119" t="s">
        <v>1653</v>
      </c>
      <c r="P126" s="5">
        <f>$K$106+$K$108*3</f>
        <v>7.5117017269778694E-2</v>
      </c>
      <c r="Q126" s="2">
        <v>0</v>
      </c>
    </row>
    <row r="127" spans="1:30" ht="15">
      <c r="A127" s="109">
        <v>255.82</v>
      </c>
      <c r="B127" s="109">
        <v>274.47879999999998</v>
      </c>
      <c r="C127" s="109">
        <v>254.49</v>
      </c>
      <c r="D127" s="109">
        <v>270</v>
      </c>
      <c r="E127" s="109">
        <v>434838</v>
      </c>
      <c r="F127" s="109" t="s">
        <v>887</v>
      </c>
      <c r="G127" s="5">
        <f t="shared" si="0"/>
        <v>-5.251851851851852E-2</v>
      </c>
      <c r="I127" s="112">
        <v>-4.2499999999999968E-2</v>
      </c>
      <c r="J127" s="113">
        <v>2</v>
      </c>
      <c r="K127" s="109"/>
      <c r="L127" s="116">
        <f t="shared" si="1"/>
        <v>-4.4999999999999971E-2</v>
      </c>
      <c r="M127" s="116">
        <f>_xlfn.NORM.DIST(L127,$K$106,$K$108,FALSE)</f>
        <v>3.0571268288032196</v>
      </c>
      <c r="O127" s="119"/>
      <c r="P127" s="5">
        <f>$K$106+$K$108*3</f>
        <v>7.5117017269778694E-2</v>
      </c>
      <c r="Q127" s="2">
        <v>1</v>
      </c>
    </row>
    <row r="128" spans="1:30" ht="15">
      <c r="A128" s="109">
        <v>263.49</v>
      </c>
      <c r="B128" s="109">
        <v>275.8</v>
      </c>
      <c r="C128" s="109">
        <v>246.45</v>
      </c>
      <c r="D128" s="109">
        <v>252</v>
      </c>
      <c r="E128" s="109">
        <v>501999</v>
      </c>
      <c r="F128" s="109" t="s">
        <v>886</v>
      </c>
      <c r="G128" s="5">
        <f t="shared" si="0"/>
        <v>4.5595238095238022E-2</v>
      </c>
      <c r="I128" s="112">
        <v>-3.9999999999999966E-2</v>
      </c>
      <c r="J128" s="113">
        <v>12</v>
      </c>
      <c r="K128" s="109"/>
      <c r="L128" s="116">
        <f t="shared" si="1"/>
        <v>-4.2499999999999968E-2</v>
      </c>
      <c r="M128" s="116">
        <f>_xlfn.NORM.DIST(L128,$K$106,$K$108,FALSE)</f>
        <v>3.6509132879381645</v>
      </c>
    </row>
    <row r="129" spans="1:13" ht="15">
      <c r="A129" s="109">
        <v>262.27999999999997</v>
      </c>
      <c r="B129" s="109">
        <v>267.46499999999997</v>
      </c>
      <c r="C129" s="109">
        <v>255</v>
      </c>
      <c r="D129" s="109">
        <v>263.38</v>
      </c>
      <c r="E129" s="109">
        <v>576802</v>
      </c>
      <c r="F129" s="109" t="s">
        <v>885</v>
      </c>
      <c r="G129" s="5">
        <f t="shared" si="0"/>
        <v>-4.1764750550535856E-3</v>
      </c>
      <c r="I129" s="112">
        <v>-3.7499999999999964E-2</v>
      </c>
      <c r="J129" s="113">
        <v>8</v>
      </c>
      <c r="K129" s="109"/>
      <c r="L129" s="116">
        <f t="shared" si="1"/>
        <v>-3.9999999999999966E-2</v>
      </c>
      <c r="M129" s="116">
        <f>_xlfn.NORM.DIST(L129,$K$106,$K$108,FALSE)</f>
        <v>4.3163784635877072</v>
      </c>
    </row>
    <row r="130" spans="1:13" ht="15">
      <c r="A130" s="109">
        <v>273.24</v>
      </c>
      <c r="B130" s="109">
        <v>278.7</v>
      </c>
      <c r="C130" s="109">
        <v>265.05</v>
      </c>
      <c r="D130" s="109">
        <v>265.05</v>
      </c>
      <c r="E130" s="109">
        <v>542229</v>
      </c>
      <c r="F130" s="109" t="s">
        <v>884</v>
      </c>
      <c r="G130" s="5">
        <f t="shared" si="0"/>
        <v>3.0899830220713076E-2</v>
      </c>
      <c r="I130" s="112">
        <v>-3.4999999999999962E-2</v>
      </c>
      <c r="J130" s="113">
        <v>10</v>
      </c>
      <c r="K130" s="109"/>
      <c r="L130" s="116">
        <f t="shared" si="1"/>
        <v>-3.7499999999999964E-2</v>
      </c>
      <c r="M130" s="116">
        <f>_xlfn.NORM.DIST(L130,$K$106,$K$108,FALSE)</f>
        <v>5.0520478185070772</v>
      </c>
    </row>
    <row r="131" spans="1:13" ht="15">
      <c r="A131" s="109">
        <v>277.35000000000002</v>
      </c>
      <c r="B131" s="109">
        <v>279.79000000000002</v>
      </c>
      <c r="C131" s="109">
        <v>265.76</v>
      </c>
      <c r="D131" s="109">
        <v>266.93</v>
      </c>
      <c r="E131" s="109">
        <v>361870</v>
      </c>
      <c r="F131" s="109" t="s">
        <v>883</v>
      </c>
      <c r="G131" s="5">
        <f t="shared" si="0"/>
        <v>3.9036451504139702E-2</v>
      </c>
      <c r="I131" s="112">
        <v>-3.2499999999999959E-2</v>
      </c>
      <c r="J131" s="113">
        <v>6</v>
      </c>
      <c r="K131" s="109"/>
      <c r="L131" s="116">
        <f t="shared" si="1"/>
        <v>-3.4999999999999962E-2</v>
      </c>
      <c r="M131" s="116">
        <f>_xlfn.NORM.DIST(L131,$K$106,$K$108,FALSE)</f>
        <v>5.8539003473180768</v>
      </c>
    </row>
    <row r="132" spans="1:13" ht="15">
      <c r="A132" s="109">
        <v>271.13</v>
      </c>
      <c r="B132" s="109">
        <v>272.77999999999997</v>
      </c>
      <c r="C132" s="109">
        <v>264.67</v>
      </c>
      <c r="D132" s="109">
        <v>267.17</v>
      </c>
      <c r="E132" s="109">
        <v>411680</v>
      </c>
      <c r="F132" s="109" t="s">
        <v>882</v>
      </c>
      <c r="G132" s="5">
        <f t="shared" si="0"/>
        <v>1.4822023430774323E-2</v>
      </c>
      <c r="I132" s="112">
        <v>-2.9999999999999961E-2</v>
      </c>
      <c r="J132" s="113">
        <v>11</v>
      </c>
      <c r="K132" s="109"/>
      <c r="L132" s="116">
        <f t="shared" si="1"/>
        <v>-3.2499999999999959E-2</v>
      </c>
      <c r="M132" s="116">
        <f>_xlfn.NORM.DIST(L132,$K$106,$K$108,FALSE)</f>
        <v>6.7151100484493975</v>
      </c>
    </row>
    <row r="133" spans="1:13" ht="15">
      <c r="A133" s="109">
        <v>267.41000000000003</v>
      </c>
      <c r="B133" s="109">
        <v>273.8</v>
      </c>
      <c r="C133" s="109">
        <v>258.95</v>
      </c>
      <c r="D133" s="109">
        <v>264.58</v>
      </c>
      <c r="E133" s="109">
        <v>370000</v>
      </c>
      <c r="F133" s="109" t="s">
        <v>881</v>
      </c>
      <c r="G133" s="5">
        <f t="shared" si="0"/>
        <v>1.0696197747373404E-2</v>
      </c>
      <c r="I133" s="112">
        <v>-2.7499999999999962E-2</v>
      </c>
      <c r="J133" s="113">
        <v>9</v>
      </c>
      <c r="K133" s="25"/>
      <c r="L133" s="116">
        <f t="shared" si="1"/>
        <v>-2.9999999999999961E-2</v>
      </c>
      <c r="M133" s="116">
        <f>_xlfn.NORM.DIST(L133,$K$106,$K$108,FALSE)</f>
        <v>7.6258960414977723</v>
      </c>
    </row>
    <row r="134" spans="1:13" ht="15">
      <c r="A134" s="109">
        <v>267.56</v>
      </c>
      <c r="B134" s="109">
        <v>269.59500000000003</v>
      </c>
      <c r="C134" s="109">
        <v>264.45</v>
      </c>
      <c r="D134" s="109">
        <v>267.70999999999998</v>
      </c>
      <c r="E134" s="109">
        <v>304934</v>
      </c>
      <c r="F134" s="109" t="s">
        <v>258</v>
      </c>
      <c r="G134" s="5">
        <f t="shared" si="0"/>
        <v>-5.6030779574900436E-4</v>
      </c>
      <c r="I134" s="112">
        <v>-2.4999999999999963E-2</v>
      </c>
      <c r="J134" s="113">
        <v>25</v>
      </c>
      <c r="K134" s="25"/>
      <c r="L134" s="116">
        <f t="shared" si="1"/>
        <v>-2.7499999999999962E-2</v>
      </c>
      <c r="M134" s="116">
        <f>_xlfn.NORM.DIST(L134,$K$106,$K$108,FALSE)</f>
        <v>8.5735081215953706</v>
      </c>
    </row>
    <row r="135" spans="1:13" ht="15">
      <c r="A135" s="109">
        <v>269.62</v>
      </c>
      <c r="B135" s="109">
        <v>275.02999999999997</v>
      </c>
      <c r="C135" s="109">
        <v>267.77</v>
      </c>
      <c r="D135" s="109">
        <v>274.44</v>
      </c>
      <c r="E135" s="109">
        <v>471362</v>
      </c>
      <c r="F135" s="109" t="s">
        <v>257</v>
      </c>
      <c r="G135" s="5">
        <f t="shared" si="0"/>
        <v>-1.7563037458096509E-2</v>
      </c>
      <c r="I135" s="112">
        <v>-2.2499999999999964E-2</v>
      </c>
      <c r="J135" s="113">
        <v>32</v>
      </c>
      <c r="K135" s="25"/>
      <c r="L135" s="116">
        <f t="shared" si="1"/>
        <v>-2.4999999999999963E-2</v>
      </c>
      <c r="M135" s="116">
        <f>_xlfn.NORM.DIST(L135,$K$106,$K$108,FALSE)</f>
        <v>9.5423684933312458</v>
      </c>
    </row>
    <row r="136" spans="1:13" ht="15">
      <c r="A136" s="109">
        <v>275.14999999999998</v>
      </c>
      <c r="B136" s="109">
        <v>282.33999999999997</v>
      </c>
      <c r="C136" s="109">
        <v>272.98</v>
      </c>
      <c r="D136" s="109">
        <v>282.33999999999997</v>
      </c>
      <c r="E136" s="109">
        <v>433245</v>
      </c>
      <c r="F136" s="109" t="s">
        <v>256</v>
      </c>
      <c r="G136" s="5">
        <f t="shared" si="0"/>
        <v>-2.5465750513565144E-2</v>
      </c>
      <c r="I136" s="112">
        <v>-1.9999999999999966E-2</v>
      </c>
      <c r="J136" s="113">
        <v>18</v>
      </c>
      <c r="K136" s="25"/>
      <c r="L136" s="116">
        <f t="shared" si="1"/>
        <v>-2.2499999999999964E-2</v>
      </c>
      <c r="M136" s="116">
        <f>_xlfn.NORM.DIST(L136,$K$106,$K$108,FALSE)</f>
        <v>10.51438173045598</v>
      </c>
    </row>
    <row r="137" spans="1:13" ht="15">
      <c r="A137" s="109">
        <v>283.42</v>
      </c>
      <c r="B137" s="109">
        <v>288.56990000000002</v>
      </c>
      <c r="C137" s="109">
        <v>280.45</v>
      </c>
      <c r="D137" s="109">
        <v>286.88</v>
      </c>
      <c r="E137" s="109">
        <v>542655</v>
      </c>
      <c r="F137" s="109" t="s">
        <v>255</v>
      </c>
      <c r="G137" s="5">
        <f t="shared" si="0"/>
        <v>-1.2060791968767304E-2</v>
      </c>
      <c r="I137" s="112">
        <v>-1.7499999999999967E-2</v>
      </c>
      <c r="J137" s="113">
        <v>27</v>
      </c>
      <c r="K137" s="25"/>
      <c r="L137" s="116">
        <f t="shared" si="1"/>
        <v>-1.9999999999999966E-2</v>
      </c>
      <c r="M137" s="116">
        <f>_xlfn.NORM.DIST(L137,$K$106,$K$108,FALSE)</f>
        <v>11.469414121105958</v>
      </c>
    </row>
    <row r="138" spans="1:13" ht="15">
      <c r="A138" s="109">
        <v>286.23</v>
      </c>
      <c r="B138" s="109">
        <v>287.70999999999998</v>
      </c>
      <c r="C138" s="109">
        <v>282.43</v>
      </c>
      <c r="D138" s="109">
        <v>285.02</v>
      </c>
      <c r="E138" s="109">
        <v>259517</v>
      </c>
      <c r="F138" s="109" t="s">
        <v>254</v>
      </c>
      <c r="G138" s="5">
        <f t="shared" si="0"/>
        <v>4.2453161181672527E-3</v>
      </c>
      <c r="I138" s="112">
        <v>-1.4999999999999966E-2</v>
      </c>
      <c r="J138" s="113">
        <v>24</v>
      </c>
      <c r="K138" s="25"/>
      <c r="L138" s="116">
        <f t="shared" si="1"/>
        <v>-1.7499999999999967E-2</v>
      </c>
      <c r="M138" s="116">
        <f>_xlfn.NORM.DIST(L138,$K$106,$K$108,FALSE)</f>
        <v>12.385931230979054</v>
      </c>
    </row>
    <row r="139" spans="1:13" ht="15">
      <c r="A139" s="109">
        <v>280.38</v>
      </c>
      <c r="B139" s="109">
        <v>282.08</v>
      </c>
      <c r="C139" s="109">
        <v>273</v>
      </c>
      <c r="D139" s="109">
        <v>277.98</v>
      </c>
      <c r="E139" s="109">
        <v>737372</v>
      </c>
      <c r="F139" s="109" t="s">
        <v>253</v>
      </c>
      <c r="G139" s="5">
        <f t="shared" si="0"/>
        <v>8.6337146557304845E-3</v>
      </c>
      <c r="I139" s="112">
        <v>-1.2499999999999966E-2</v>
      </c>
      <c r="J139" s="113">
        <v>42</v>
      </c>
      <c r="K139" s="25"/>
      <c r="L139" s="116">
        <f t="shared" si="1"/>
        <v>-1.4999999999999966E-2</v>
      </c>
      <c r="M139" s="116">
        <f>_xlfn.NORM.DIST(L139,$K$106,$K$108,FALSE)</f>
        <v>13.241769741499533</v>
      </c>
    </row>
    <row r="140" spans="1:13" ht="15">
      <c r="A140" s="109">
        <v>281.33</v>
      </c>
      <c r="B140" s="109">
        <v>283.40499999999997</v>
      </c>
      <c r="C140" s="109">
        <v>276.31</v>
      </c>
      <c r="D140" s="109">
        <v>276.31</v>
      </c>
      <c r="E140" s="109">
        <v>353789</v>
      </c>
      <c r="F140" s="109" t="s">
        <v>252</v>
      </c>
      <c r="G140" s="5">
        <f t="shared" si="0"/>
        <v>1.8167999710470006E-2</v>
      </c>
      <c r="I140" s="112">
        <v>-9.9999999999999655E-3</v>
      </c>
      <c r="J140" s="113">
        <v>53</v>
      </c>
      <c r="K140" s="25"/>
      <c r="L140" s="116">
        <f t="shared" si="1"/>
        <v>-1.2499999999999966E-2</v>
      </c>
      <c r="M140" s="116">
        <f>_xlfn.NORM.DIST(L140,$K$106,$K$108,FALSE)</f>
        <v>14.01500754718894</v>
      </c>
    </row>
    <row r="141" spans="1:13" ht="15">
      <c r="A141" s="109">
        <v>279.48</v>
      </c>
      <c r="B141" s="109">
        <v>281.16000000000003</v>
      </c>
      <c r="C141" s="109">
        <v>271.07</v>
      </c>
      <c r="D141" s="109">
        <v>276.07</v>
      </c>
      <c r="E141" s="109">
        <v>532310</v>
      </c>
      <c r="F141" s="109" t="s">
        <v>251</v>
      </c>
      <c r="G141" s="5">
        <f t="shared" si="0"/>
        <v>1.2351939725432137E-2</v>
      </c>
      <c r="I141" s="112">
        <v>-7.499999999999965E-3</v>
      </c>
      <c r="J141" s="113">
        <v>48</v>
      </c>
      <c r="K141" s="25"/>
      <c r="L141" s="116">
        <f t="shared" si="1"/>
        <v>-9.9999999999999655E-3</v>
      </c>
      <c r="M141" s="116">
        <f>_xlfn.NORM.DIST(L141,$K$106,$K$108,FALSE)</f>
        <v>14.684885920138573</v>
      </c>
    </row>
    <row r="142" spans="1:13" ht="15">
      <c r="A142" s="109">
        <v>275.29000000000002</v>
      </c>
      <c r="B142" s="109">
        <v>276.685</v>
      </c>
      <c r="C142" s="109">
        <v>272.45999999999998</v>
      </c>
      <c r="D142" s="109">
        <v>275.12</v>
      </c>
      <c r="E142" s="109">
        <v>431903</v>
      </c>
      <c r="F142" s="109" t="s">
        <v>250</v>
      </c>
      <c r="G142" s="5">
        <f t="shared" si="0"/>
        <v>6.1791218377438284E-4</v>
      </c>
      <c r="I142" s="112">
        <v>-4.9999999999999645E-3</v>
      </c>
      <c r="J142" s="113">
        <v>47</v>
      </c>
      <c r="K142" s="25"/>
      <c r="L142" s="116">
        <f t="shared" si="1"/>
        <v>-7.499999999999965E-3</v>
      </c>
      <c r="M142" s="116">
        <f>_xlfn.NORM.DIST(L142,$K$106,$K$108,FALSE)</f>
        <v>15.23273037524465</v>
      </c>
    </row>
    <row r="143" spans="1:13" ht="15">
      <c r="A143" s="109">
        <v>276.07</v>
      </c>
      <c r="B143" s="109">
        <v>278.27</v>
      </c>
      <c r="C143" s="109">
        <v>268.846</v>
      </c>
      <c r="D143" s="109">
        <v>270.23</v>
      </c>
      <c r="E143" s="109">
        <v>242610</v>
      </c>
      <c r="F143" s="109" t="s">
        <v>249</v>
      </c>
      <c r="G143" s="5">
        <f t="shared" si="0"/>
        <v>2.1611220071790616E-2</v>
      </c>
      <c r="I143" s="112">
        <v>-2.4999999999999645E-3</v>
      </c>
      <c r="J143" s="113">
        <v>49</v>
      </c>
      <c r="K143" s="25"/>
      <c r="L143" s="116">
        <f t="shared" si="1"/>
        <v>-4.9999999999999645E-3</v>
      </c>
      <c r="M143" s="116">
        <f>_xlfn.NORM.DIST(L143,$K$106,$K$108,FALSE)</f>
        <v>15.642813582443607</v>
      </c>
    </row>
    <row r="144" spans="1:13" ht="15">
      <c r="A144" s="109">
        <v>272.62</v>
      </c>
      <c r="B144" s="109">
        <v>274.86</v>
      </c>
      <c r="C144" s="109">
        <v>264.92500000000001</v>
      </c>
      <c r="D144" s="109">
        <v>268.19</v>
      </c>
      <c r="E144" s="109">
        <v>307499</v>
      </c>
      <c r="F144" s="109" t="s">
        <v>248</v>
      </c>
      <c r="G144" s="5">
        <f t="shared" si="0"/>
        <v>1.6518140124538672E-2</v>
      </c>
      <c r="I144" s="112">
        <v>3.5561831257524545E-17</v>
      </c>
      <c r="J144" s="113">
        <v>51</v>
      </c>
      <c r="K144" s="25"/>
      <c r="L144" s="116">
        <f t="shared" si="1"/>
        <v>-2.4999999999999645E-3</v>
      </c>
      <c r="M144" s="116">
        <f>_xlfn.NORM.DIST(L144,$K$106,$K$108,FALSE)</f>
        <v>15.903104819568272</v>
      </c>
    </row>
    <row r="145" spans="1:31" ht="15">
      <c r="A145" s="109">
        <v>260.63</v>
      </c>
      <c r="B145" s="109">
        <v>266.93</v>
      </c>
      <c r="C145" s="109">
        <v>256.54000000000002</v>
      </c>
      <c r="D145" s="109">
        <v>266.93</v>
      </c>
      <c r="E145" s="109">
        <v>281756</v>
      </c>
      <c r="F145" s="109" t="s">
        <v>247</v>
      </c>
      <c r="G145" s="5">
        <f t="shared" si="0"/>
        <v>-2.3601693327838791E-2</v>
      </c>
      <c r="I145" s="112">
        <v>2.5000000000000356E-3</v>
      </c>
      <c r="J145" s="113">
        <v>42</v>
      </c>
      <c r="K145" s="25"/>
      <c r="L145" s="116">
        <f t="shared" si="1"/>
        <v>3.5561831257524545E-17</v>
      </c>
      <c r="M145" s="116">
        <f>_xlfn.NORM.DIST(L145,$K$106,$K$108,FALSE)</f>
        <v>16.005856170285302</v>
      </c>
    </row>
    <row r="146" spans="1:31" ht="15">
      <c r="A146" s="109">
        <v>267.13</v>
      </c>
      <c r="B146" s="109">
        <v>272.71499999999997</v>
      </c>
      <c r="C146" s="109">
        <v>264.11</v>
      </c>
      <c r="D146" s="109">
        <v>266.01</v>
      </c>
      <c r="E146" s="109">
        <v>470259</v>
      </c>
      <c r="F146" s="109" t="s">
        <v>246</v>
      </c>
      <c r="G146" s="5">
        <f t="shared" si="0"/>
        <v>4.2103680312770564E-3</v>
      </c>
      <c r="I146" s="112">
        <v>5.0000000000000357E-3</v>
      </c>
      <c r="J146" s="113">
        <v>61</v>
      </c>
      <c r="K146" s="25"/>
      <c r="L146" s="116">
        <f t="shared" si="1"/>
        <v>2.5000000000000356E-3</v>
      </c>
      <c r="M146" s="116">
        <f>_xlfn.NORM.DIST(L146,$K$106,$K$108,FALSE)</f>
        <v>15.947985618787614</v>
      </c>
      <c r="AB146" s="2" t="s">
        <v>708</v>
      </c>
    </row>
    <row r="147" spans="1:31" ht="15">
      <c r="A147" s="109">
        <v>262.33999999999997</v>
      </c>
      <c r="B147" s="109">
        <v>265.38</v>
      </c>
      <c r="C147" s="109">
        <v>254.5</v>
      </c>
      <c r="D147" s="109">
        <v>257.24</v>
      </c>
      <c r="E147" s="109">
        <v>508894</v>
      </c>
      <c r="F147" s="109" t="s">
        <v>245</v>
      </c>
      <c r="G147" s="5">
        <f t="shared" si="0"/>
        <v>1.982584357020678E-2</v>
      </c>
      <c r="I147" s="112">
        <v>7.5000000000000362E-3</v>
      </c>
      <c r="J147" s="113">
        <v>43</v>
      </c>
      <c r="K147" s="25"/>
      <c r="L147" s="116">
        <f t="shared" si="1"/>
        <v>5.0000000000000357E-3</v>
      </c>
      <c r="M147" s="116">
        <f>_xlfn.NORM.DIST(L147,$K$106,$K$108,FALSE)</f>
        <v>15.731230610744719</v>
      </c>
      <c r="AC147" s="2" t="s">
        <v>737</v>
      </c>
    </row>
    <row r="148" spans="1:31" ht="15">
      <c r="A148" s="109">
        <v>257.24</v>
      </c>
      <c r="B148" s="109">
        <v>272.50209999999998</v>
      </c>
      <c r="C148" s="109">
        <v>256.17</v>
      </c>
      <c r="D148" s="109">
        <v>272.05</v>
      </c>
      <c r="E148" s="109">
        <v>693380</v>
      </c>
      <c r="F148" s="109" t="s">
        <v>244</v>
      </c>
      <c r="G148" s="5">
        <f t="shared" si="0"/>
        <v>-5.4438522330453987E-2</v>
      </c>
      <c r="I148" s="112">
        <v>1.0000000000000037E-2</v>
      </c>
      <c r="J148" s="113">
        <v>41</v>
      </c>
      <c r="K148" s="25"/>
      <c r="L148" s="116">
        <f t="shared" si="1"/>
        <v>7.5000000000000362E-3</v>
      </c>
      <c r="M148" s="116">
        <f>_xlfn.NORM.DIST(L148,$K$106,$K$108,FALSE)</f>
        <v>15.362061404536385</v>
      </c>
      <c r="AC148" s="2" t="s">
        <v>709</v>
      </c>
    </row>
    <row r="149" spans="1:31" ht="15">
      <c r="A149" s="109">
        <v>274.79000000000002</v>
      </c>
      <c r="B149" s="109">
        <v>278.81</v>
      </c>
      <c r="C149" s="109">
        <v>269.42</v>
      </c>
      <c r="D149" s="109">
        <v>275.58999999999997</v>
      </c>
      <c r="E149" s="109">
        <v>347006</v>
      </c>
      <c r="F149" s="109" t="s">
        <v>243</v>
      </c>
      <c r="G149" s="5">
        <f t="shared" si="0"/>
        <v>-2.902862948582885E-3</v>
      </c>
      <c r="I149" s="112">
        <v>1.2500000000000037E-2</v>
      </c>
      <c r="J149" s="113">
        <v>41</v>
      </c>
      <c r="K149" s="25"/>
      <c r="L149" s="116">
        <f t="shared" si="1"/>
        <v>1.0000000000000037E-2</v>
      </c>
      <c r="M149" s="116">
        <f>_xlfn.NORM.DIST(L149,$K$106,$K$108,FALSE)</f>
        <v>14.851360242436012</v>
      </c>
      <c r="AD149" s="2" t="s">
        <v>712</v>
      </c>
    </row>
    <row r="150" spans="1:31" ht="15">
      <c r="A150" s="109">
        <v>277.69</v>
      </c>
      <c r="B150" s="109">
        <v>287.86</v>
      </c>
      <c r="C150" s="109">
        <v>276.23</v>
      </c>
      <c r="D150" s="109">
        <v>282.24</v>
      </c>
      <c r="E150" s="109">
        <v>263249</v>
      </c>
      <c r="F150" s="109" t="s">
        <v>242</v>
      </c>
      <c r="G150" s="5">
        <f t="shared" si="0"/>
        <v>-1.6121031746031744E-2</v>
      </c>
      <c r="I150" s="112">
        <v>1.5000000000000038E-2</v>
      </c>
      <c r="J150" s="113">
        <v>38</v>
      </c>
      <c r="K150" s="25"/>
      <c r="L150" s="116">
        <f t="shared" si="1"/>
        <v>1.2500000000000037E-2</v>
      </c>
      <c r="M150" s="116">
        <f>_xlfn.NORM.DIST(L150,$K$106,$K$108,FALSE)</f>
        <v>14.213888539371403</v>
      </c>
      <c r="AE150" s="2" t="s">
        <v>713</v>
      </c>
    </row>
    <row r="151" spans="1:31" ht="15">
      <c r="A151" s="109">
        <v>286.38</v>
      </c>
      <c r="B151" s="109">
        <v>287.35000000000002</v>
      </c>
      <c r="C151" s="109">
        <v>280.44</v>
      </c>
      <c r="D151" s="109">
        <v>281.76</v>
      </c>
      <c r="E151" s="109">
        <v>393198</v>
      </c>
      <c r="F151" s="109" t="s">
        <v>241</v>
      </c>
      <c r="G151" s="5">
        <f t="shared" si="0"/>
        <v>1.6396933560477001E-2</v>
      </c>
      <c r="I151" s="112">
        <v>1.7500000000000036E-2</v>
      </c>
      <c r="J151" s="113">
        <v>33</v>
      </c>
      <c r="K151" s="25"/>
      <c r="L151" s="116">
        <f t="shared" si="1"/>
        <v>1.5000000000000038E-2</v>
      </c>
      <c r="M151" s="116">
        <f>_xlfn.NORM.DIST(L151,$K$106,$K$108,FALSE)</f>
        <v>13.467578486782354</v>
      </c>
      <c r="AE151" s="2" t="s">
        <v>738</v>
      </c>
    </row>
    <row r="152" spans="1:31" ht="15">
      <c r="A152" s="109">
        <v>283.62</v>
      </c>
      <c r="B152" s="109">
        <v>287.69</v>
      </c>
      <c r="C152" s="109">
        <v>278.62</v>
      </c>
      <c r="D152" s="109">
        <v>282.88</v>
      </c>
      <c r="E152" s="109">
        <v>437027</v>
      </c>
      <c r="F152" s="109" t="s">
        <v>240</v>
      </c>
      <c r="G152" s="5">
        <f t="shared" si="0"/>
        <v>2.6159502262443901E-3</v>
      </c>
      <c r="I152" s="112">
        <v>2.0000000000000035E-2</v>
      </c>
      <c r="J152" s="113">
        <v>33</v>
      </c>
      <c r="K152" s="25"/>
      <c r="L152" s="116">
        <f t="shared" si="1"/>
        <v>1.7500000000000036E-2</v>
      </c>
      <c r="M152" s="116">
        <f>_xlfn.NORM.DIST(L152,$K$106,$K$108,FALSE)</f>
        <v>12.632696483086278</v>
      </c>
      <c r="AB152" s="2" t="s">
        <v>724</v>
      </c>
    </row>
    <row r="153" spans="1:31" ht="15">
      <c r="A153" s="109">
        <v>285.88</v>
      </c>
      <c r="B153" s="109">
        <v>292.14</v>
      </c>
      <c r="C153" s="109">
        <v>281.89</v>
      </c>
      <c r="D153" s="109">
        <v>285.48</v>
      </c>
      <c r="E153" s="109">
        <v>434432</v>
      </c>
      <c r="F153" s="109" t="s">
        <v>239</v>
      </c>
      <c r="G153" s="5">
        <f t="shared" si="0"/>
        <v>1.4011489421323908E-3</v>
      </c>
      <c r="I153" s="112">
        <v>2.2500000000000034E-2</v>
      </c>
      <c r="J153" s="113">
        <v>28</v>
      </c>
      <c r="K153" s="25"/>
      <c r="L153" s="116">
        <f t="shared" si="1"/>
        <v>2.0000000000000035E-2</v>
      </c>
      <c r="M153" s="116">
        <f>_xlfn.NORM.DIST(L153,$K$106,$K$108,FALSE)</f>
        <v>11.730932752199603</v>
      </c>
      <c r="AC153" s="2" t="s">
        <v>725</v>
      </c>
    </row>
    <row r="154" spans="1:31" ht="15">
      <c r="A154" s="109">
        <v>285.44</v>
      </c>
      <c r="B154" s="109">
        <v>285.44</v>
      </c>
      <c r="C154" s="109">
        <v>278.41000000000003</v>
      </c>
      <c r="D154" s="109">
        <v>280.22000000000003</v>
      </c>
      <c r="E154" s="109">
        <v>323048</v>
      </c>
      <c r="F154" s="109" t="s">
        <v>238</v>
      </c>
      <c r="G154" s="5">
        <f t="shared" si="0"/>
        <v>1.8628220683748475E-2</v>
      </c>
      <c r="I154" s="112">
        <v>2.5000000000000033E-2</v>
      </c>
      <c r="J154" s="113">
        <v>17</v>
      </c>
      <c r="K154" s="25"/>
      <c r="L154" s="116">
        <f t="shared" si="1"/>
        <v>2.2500000000000034E-2</v>
      </c>
      <c r="M154" s="116">
        <f>_xlfn.NORM.DIST(L154,$K$106,$K$108,FALSE)</f>
        <v>10.78447394341967</v>
      </c>
      <c r="AD154" s="2" t="s">
        <v>714</v>
      </c>
    </row>
    <row r="155" spans="1:31" ht="15">
      <c r="A155" s="109">
        <v>281.45999999999998</v>
      </c>
      <c r="B155" s="109">
        <v>292.78500000000003</v>
      </c>
      <c r="C155" s="109">
        <v>280.77</v>
      </c>
      <c r="D155" s="109">
        <v>291.8</v>
      </c>
      <c r="E155" s="109">
        <v>361612</v>
      </c>
      <c r="F155" s="109" t="s">
        <v>237</v>
      </c>
      <c r="G155" s="5">
        <f t="shared" si="0"/>
        <v>-3.543522960932155E-2</v>
      </c>
      <c r="I155" s="112">
        <v>2.7500000000000031E-2</v>
      </c>
      <c r="J155" s="113">
        <v>15</v>
      </c>
      <c r="K155" s="25"/>
      <c r="L155" s="116">
        <f t="shared" si="1"/>
        <v>2.5000000000000033E-2</v>
      </c>
      <c r="M155" s="116">
        <f>_xlfn.NORM.DIST(L155,$K$106,$K$108,FALSE)</f>
        <v>9.815113422208432</v>
      </c>
      <c r="AD155" s="2" t="s">
        <v>603</v>
      </c>
    </row>
    <row r="156" spans="1:31" ht="15">
      <c r="A156" s="109">
        <v>291.83999999999997</v>
      </c>
      <c r="B156" s="109">
        <v>294.27999999999997</v>
      </c>
      <c r="C156" s="109">
        <v>280.74</v>
      </c>
      <c r="D156" s="109">
        <v>280.74</v>
      </c>
      <c r="E156" s="109">
        <v>448981</v>
      </c>
      <c r="F156" s="109" t="s">
        <v>236</v>
      </c>
      <c r="G156" s="5">
        <f t="shared" si="0"/>
        <v>3.9538362898055013E-2</v>
      </c>
      <c r="I156" s="112">
        <v>3.000000000000003E-2</v>
      </c>
      <c r="J156" s="113">
        <v>17</v>
      </c>
      <c r="K156" s="25"/>
      <c r="L156" s="116">
        <f t="shared" si="1"/>
        <v>2.7500000000000031E-2</v>
      </c>
      <c r="M156" s="116">
        <f>_xlfn.NORM.DIST(L156,$K$106,$K$108,FALSE)</f>
        <v>8.8434477991250784</v>
      </c>
      <c r="AB156" s="2" t="s">
        <v>675</v>
      </c>
    </row>
    <row r="157" spans="1:31" ht="15">
      <c r="A157" s="109">
        <v>281.62</v>
      </c>
      <c r="B157" s="109">
        <v>288.48500000000001</v>
      </c>
      <c r="C157" s="109">
        <v>275.27</v>
      </c>
      <c r="D157" s="109">
        <v>288.18</v>
      </c>
      <c r="E157" s="109">
        <v>502240</v>
      </c>
      <c r="F157" s="109" t="s">
        <v>235</v>
      </c>
      <c r="G157" s="5">
        <f t="shared" si="0"/>
        <v>-2.2763550558678625E-2</v>
      </c>
      <c r="I157" s="112">
        <v>3.2500000000000029E-2</v>
      </c>
      <c r="J157" s="113">
        <v>12</v>
      </c>
      <c r="K157" s="25"/>
      <c r="L157" s="116">
        <f t="shared" si="1"/>
        <v>3.000000000000003E-2</v>
      </c>
      <c r="M157" s="116">
        <f>_xlfn.NORM.DIST(L157,$K$106,$K$108,FALSE)</f>
        <v>7.8881988042839817</v>
      </c>
      <c r="AB157" s="2" t="s">
        <v>719</v>
      </c>
    </row>
    <row r="158" spans="1:31" ht="15">
      <c r="A158" s="109">
        <v>287.7</v>
      </c>
      <c r="B158" s="109">
        <v>294.58999999999997</v>
      </c>
      <c r="C158" s="109">
        <v>286.2</v>
      </c>
      <c r="D158" s="109">
        <v>291.27999999999997</v>
      </c>
      <c r="E158" s="109">
        <v>561488</v>
      </c>
      <c r="F158" s="109" t="s">
        <v>234</v>
      </c>
      <c r="G158" s="5">
        <f t="shared" si="0"/>
        <v>-1.2290579511123223E-2</v>
      </c>
      <c r="I158" s="112">
        <v>3.5000000000000031E-2</v>
      </c>
      <c r="J158" s="113">
        <v>12</v>
      </c>
      <c r="K158" s="25"/>
      <c r="L158" s="116">
        <f t="shared" si="1"/>
        <v>3.2500000000000029E-2</v>
      </c>
      <c r="M158" s="116">
        <f>_xlfn.NORM.DIST(L158,$K$106,$K$108,FALSE)</f>
        <v>6.9656879539684651</v>
      </c>
      <c r="AC158" s="2" t="s">
        <v>739</v>
      </c>
    </row>
    <row r="159" spans="1:31" ht="15">
      <c r="A159" s="109">
        <v>291.68</v>
      </c>
      <c r="B159" s="109">
        <v>304.11</v>
      </c>
      <c r="C159" s="109">
        <v>290.55</v>
      </c>
      <c r="D159" s="109">
        <v>303</v>
      </c>
      <c r="E159" s="109">
        <v>635329</v>
      </c>
      <c r="F159" s="109" t="s">
        <v>233</v>
      </c>
      <c r="G159" s="5">
        <f t="shared" si="0"/>
        <v>-3.7359735973597319E-2</v>
      </c>
      <c r="I159" s="112">
        <v>3.7500000000000033E-2</v>
      </c>
      <c r="J159" s="113">
        <v>11</v>
      </c>
      <c r="K159" s="25"/>
      <c r="L159" s="116">
        <f t="shared" si="1"/>
        <v>3.5000000000000031E-2</v>
      </c>
      <c r="M159" s="116">
        <f>_xlfn.NORM.DIST(L159,$K$106,$K$108,FALSE)</f>
        <v>6.0894787572207258</v>
      </c>
      <c r="AC159" s="2" t="s">
        <v>718</v>
      </c>
    </row>
    <row r="160" spans="1:31" ht="15">
      <c r="A160" s="109">
        <v>303.12</v>
      </c>
      <c r="B160" s="109">
        <v>309.08</v>
      </c>
      <c r="C160" s="109">
        <v>300</v>
      </c>
      <c r="D160" s="109">
        <v>303.22000000000003</v>
      </c>
      <c r="E160" s="109">
        <v>683701</v>
      </c>
      <c r="F160" s="109" t="s">
        <v>232</v>
      </c>
      <c r="G160" s="5">
        <f t="shared" si="0"/>
        <v>-3.2979354923823312E-4</v>
      </c>
      <c r="I160" s="112">
        <v>4.0000000000000036E-2</v>
      </c>
      <c r="J160" s="113">
        <v>6</v>
      </c>
      <c r="K160" s="25"/>
      <c r="L160" s="116">
        <f t="shared" si="1"/>
        <v>3.7500000000000033E-2</v>
      </c>
      <c r="M160" s="116">
        <f>_xlfn.NORM.DIST(L160,$K$106,$K$108,FALSE)</f>
        <v>5.2701886486886487</v>
      </c>
      <c r="AC160" s="2" t="s">
        <v>720</v>
      </c>
    </row>
    <row r="161" spans="1:29" ht="15">
      <c r="A161" s="109">
        <v>303.76</v>
      </c>
      <c r="B161" s="109">
        <v>310</v>
      </c>
      <c r="C161" s="109">
        <v>290.11</v>
      </c>
      <c r="D161" s="109">
        <v>296.10000000000002</v>
      </c>
      <c r="E161" s="109">
        <v>1816341</v>
      </c>
      <c r="F161" s="109" t="s">
        <v>231</v>
      </c>
      <c r="G161" s="5">
        <f t="shared" si="0"/>
        <v>2.5869638635595882E-2</v>
      </c>
      <c r="I161" s="112">
        <v>4.2500000000000038E-2</v>
      </c>
      <c r="J161" s="113">
        <v>8</v>
      </c>
      <c r="K161" s="25"/>
      <c r="L161" s="116">
        <f t="shared" si="1"/>
        <v>4.0000000000000036E-2</v>
      </c>
      <c r="M161" s="116">
        <f>_xlfn.NORM.DIST(L161,$K$106,$K$108,FALSE)</f>
        <v>4.5154614567481204</v>
      </c>
      <c r="AC161" s="2" t="s">
        <v>721</v>
      </c>
    </row>
    <row r="162" spans="1:29" ht="15">
      <c r="A162" s="109">
        <v>271.14</v>
      </c>
      <c r="B162" s="109">
        <v>273.55500000000001</v>
      </c>
      <c r="C162" s="109">
        <v>264.815</v>
      </c>
      <c r="D162" s="109">
        <v>266.5</v>
      </c>
      <c r="E162" s="109">
        <v>716997</v>
      </c>
      <c r="F162" s="109" t="s">
        <v>230</v>
      </c>
      <c r="G162" s="5">
        <f t="shared" si="0"/>
        <v>1.7410881801125599E-2</v>
      </c>
      <c r="I162" s="112">
        <v>4.500000000000004E-2</v>
      </c>
      <c r="J162" s="113">
        <v>4</v>
      </c>
      <c r="K162" s="25"/>
      <c r="L162" s="116">
        <f t="shared" si="1"/>
        <v>4.2500000000000038E-2</v>
      </c>
      <c r="M162" s="116">
        <f>_xlfn.NORM.DIST(L162,$K$106,$K$108,FALSE)</f>
        <v>3.8300818470335583</v>
      </c>
      <c r="AB162" s="2" t="s">
        <v>716</v>
      </c>
    </row>
    <row r="163" spans="1:29" ht="15">
      <c r="A163" s="109">
        <v>268.67</v>
      </c>
      <c r="B163" s="109">
        <v>274.75290000000001</v>
      </c>
      <c r="C163" s="109">
        <v>266.86</v>
      </c>
      <c r="D163" s="109">
        <v>272.85000000000002</v>
      </c>
      <c r="E163" s="109">
        <v>400891</v>
      </c>
      <c r="F163" s="109" t="s">
        <v>229</v>
      </c>
      <c r="G163" s="5">
        <f t="shared" si="0"/>
        <v>-1.5319772768920714E-2</v>
      </c>
      <c r="I163" s="112">
        <v>4.7500000000000042E-2</v>
      </c>
      <c r="J163" s="113">
        <v>4</v>
      </c>
      <c r="K163" s="25"/>
      <c r="L163" s="116">
        <f t="shared" si="1"/>
        <v>4.500000000000004E-2</v>
      </c>
      <c r="M163" s="116">
        <f>_xlfn.NORM.DIST(L163,$K$106,$K$108,FALSE)</f>
        <v>3.2162063626533604</v>
      </c>
      <c r="AC163" s="2" t="s">
        <v>740</v>
      </c>
    </row>
    <row r="164" spans="1:29" ht="15">
      <c r="A164" s="109">
        <v>272.89</v>
      </c>
      <c r="B164" s="109">
        <v>273.07</v>
      </c>
      <c r="C164" s="109">
        <v>267.36660000000001</v>
      </c>
      <c r="D164" s="109">
        <v>267.97000000000003</v>
      </c>
      <c r="E164" s="109">
        <v>301641</v>
      </c>
      <c r="F164" s="109" t="s">
        <v>228</v>
      </c>
      <c r="G164" s="5">
        <f t="shared" si="0"/>
        <v>1.8360264208679977E-2</v>
      </c>
      <c r="I164" s="112">
        <v>5.0000000000000044E-2</v>
      </c>
      <c r="J164" s="113">
        <v>4</v>
      </c>
      <c r="K164" s="25"/>
      <c r="L164" s="116">
        <f t="shared" si="1"/>
        <v>4.7500000000000042E-2</v>
      </c>
      <c r="M164" s="116">
        <f>_xlfn.NORM.DIST(L164,$K$106,$K$108,FALSE)</f>
        <v>2.6736816515361874</v>
      </c>
      <c r="AC164" s="2" t="s">
        <v>715</v>
      </c>
    </row>
    <row r="165" spans="1:29" ht="15">
      <c r="A165" s="109">
        <v>267.06</v>
      </c>
      <c r="B165" s="109">
        <v>267.64</v>
      </c>
      <c r="C165" s="109">
        <v>260.51</v>
      </c>
      <c r="D165" s="109">
        <v>264</v>
      </c>
      <c r="E165" s="109">
        <v>350865</v>
      </c>
      <c r="F165" s="109" t="s">
        <v>227</v>
      </c>
      <c r="G165" s="5">
        <f t="shared" si="0"/>
        <v>1.1590909090909207E-2</v>
      </c>
      <c r="I165" s="112">
        <v>5.2500000000000047E-2</v>
      </c>
      <c r="J165" s="113">
        <v>4</v>
      </c>
      <c r="K165" s="25"/>
      <c r="L165" s="116">
        <f t="shared" si="1"/>
        <v>5.0000000000000044E-2</v>
      </c>
      <c r="M165" s="116">
        <f>_xlfn.NORM.DIST(L165,$K$106,$K$108,FALSE)</f>
        <v>2.2004191779406992</v>
      </c>
      <c r="AB165" s="2" t="s">
        <v>612</v>
      </c>
    </row>
    <row r="166" spans="1:29" ht="15">
      <c r="A166" s="109">
        <v>268.3</v>
      </c>
      <c r="B166" s="109">
        <v>270.91500000000002</v>
      </c>
      <c r="C166" s="109">
        <v>258.82</v>
      </c>
      <c r="D166" s="109">
        <v>259.14999999999998</v>
      </c>
      <c r="E166" s="109">
        <v>779003</v>
      </c>
      <c r="F166" s="109" t="s">
        <v>226</v>
      </c>
      <c r="G166" s="5">
        <f t="shared" si="0"/>
        <v>3.5307736831950765E-2</v>
      </c>
      <c r="I166" s="112">
        <v>5.5000000000000049E-2</v>
      </c>
      <c r="J166" s="113">
        <v>6</v>
      </c>
      <c r="K166" s="25"/>
      <c r="L166" s="116">
        <f t="shared" si="1"/>
        <v>5.2500000000000047E-2</v>
      </c>
      <c r="M166" s="116">
        <f>_xlfn.NORM.DIST(L166,$K$106,$K$108,FALSE)</f>
        <v>1.7927968648030317</v>
      </c>
      <c r="AC166" s="2" t="s">
        <v>717</v>
      </c>
    </row>
    <row r="167" spans="1:29" ht="15">
      <c r="A167" s="109">
        <v>261.05</v>
      </c>
      <c r="B167" s="109">
        <v>262.315</v>
      </c>
      <c r="C167" s="109">
        <v>259.43</v>
      </c>
      <c r="D167" s="109">
        <v>260.31</v>
      </c>
      <c r="E167" s="109">
        <v>300754</v>
      </c>
      <c r="F167" s="109" t="s">
        <v>225</v>
      </c>
      <c r="G167" s="5">
        <f t="shared" si="0"/>
        <v>2.8427643962967153E-3</v>
      </c>
      <c r="I167" s="112">
        <v>5.7500000000000051E-2</v>
      </c>
      <c r="J167" s="113">
        <v>2</v>
      </c>
      <c r="K167" s="25"/>
      <c r="L167" s="116">
        <f t="shared" si="1"/>
        <v>5.5000000000000049E-2</v>
      </c>
      <c r="M167" s="116">
        <f>_xlfn.NORM.DIST(L167,$K$106,$K$108,FALSE)</f>
        <v>1.4460612333913916</v>
      </c>
      <c r="AB167" s="2" t="s">
        <v>722</v>
      </c>
    </row>
    <row r="168" spans="1:29" ht="15">
      <c r="A168" s="109">
        <v>260.67</v>
      </c>
      <c r="B168" s="109">
        <v>263.11</v>
      </c>
      <c r="C168" s="109">
        <v>259.20999999999998</v>
      </c>
      <c r="D168" s="109">
        <v>261.08999999999997</v>
      </c>
      <c r="E168" s="109">
        <v>266249</v>
      </c>
      <c r="F168" s="109" t="s">
        <v>224</v>
      </c>
      <c r="G168" s="5">
        <f t="shared" si="0"/>
        <v>-1.6086406986095536E-3</v>
      </c>
      <c r="I168" s="112">
        <v>6.0000000000000053E-2</v>
      </c>
      <c r="J168" s="113">
        <v>1</v>
      </c>
      <c r="K168" s="25"/>
      <c r="L168" s="116">
        <f t="shared" si="1"/>
        <v>5.7500000000000051E-2</v>
      </c>
      <c r="M168" s="116">
        <f>_xlfn.NORM.DIST(L168,$K$106,$K$108,FALSE)</f>
        <v>1.1547081201353255</v>
      </c>
      <c r="AC168" s="2" t="s">
        <v>723</v>
      </c>
    </row>
    <row r="169" spans="1:29" ht="15">
      <c r="A169" s="109">
        <v>261.5</v>
      </c>
      <c r="B169" s="109">
        <v>265.56</v>
      </c>
      <c r="C169" s="109">
        <v>259.79000000000002</v>
      </c>
      <c r="D169" s="109">
        <v>265.56</v>
      </c>
      <c r="E169" s="109">
        <v>342922</v>
      </c>
      <c r="F169" s="109" t="s">
        <v>223</v>
      </c>
      <c r="G169" s="5">
        <f t="shared" si="0"/>
        <v>-1.528844705527943E-2</v>
      </c>
      <c r="I169" s="112">
        <v>6.2500000000000056E-2</v>
      </c>
      <c r="J169" s="113">
        <v>1</v>
      </c>
      <c r="K169" s="25"/>
      <c r="L169" s="116">
        <f t="shared" si="1"/>
        <v>6.0000000000000053E-2</v>
      </c>
      <c r="M169" s="116">
        <f>_xlfn.NORM.DIST(L169,$K$106,$K$108,FALSE)</f>
        <v>0.91282535155394096</v>
      </c>
      <c r="AB169" s="2" t="s">
        <v>602</v>
      </c>
    </row>
    <row r="170" spans="1:29" ht="15">
      <c r="A170" s="109">
        <v>265.94</v>
      </c>
      <c r="B170" s="109">
        <v>266.64999999999998</v>
      </c>
      <c r="C170" s="109">
        <v>263.05</v>
      </c>
      <c r="D170" s="109">
        <v>266.44</v>
      </c>
      <c r="E170" s="109">
        <v>367115</v>
      </c>
      <c r="F170" s="109" t="s">
        <v>222</v>
      </c>
      <c r="G170" s="5">
        <f t="shared" si="0"/>
        <v>-1.8765951058399288E-3</v>
      </c>
      <c r="I170" s="112">
        <v>6.5000000000000058E-2</v>
      </c>
      <c r="J170" s="113">
        <v>1</v>
      </c>
      <c r="K170" s="25"/>
      <c r="L170" s="116">
        <f t="shared" si="1"/>
        <v>6.2500000000000056E-2</v>
      </c>
      <c r="M170" s="116">
        <f>_xlfn.NORM.DIST(L170,$K$106,$K$108,FALSE)</f>
        <v>0.71438627660229692</v>
      </c>
      <c r="AC170" s="2" t="s">
        <v>611</v>
      </c>
    </row>
    <row r="171" spans="1:29" ht="15">
      <c r="A171" s="109">
        <v>262.11</v>
      </c>
      <c r="B171" s="109">
        <v>266.48989999999998</v>
      </c>
      <c r="C171" s="109">
        <v>259.58</v>
      </c>
      <c r="D171" s="109">
        <v>264.64999999999998</v>
      </c>
      <c r="E171" s="109">
        <v>886098</v>
      </c>
      <c r="F171" s="109" t="s">
        <v>221</v>
      </c>
      <c r="G171" s="5">
        <f t="shared" si="0"/>
        <v>-9.5975817116945583E-3</v>
      </c>
      <c r="I171" s="112">
        <v>6.750000000000006E-2</v>
      </c>
      <c r="J171" s="113">
        <v>2</v>
      </c>
      <c r="K171" s="25"/>
      <c r="L171" s="116">
        <f t="shared" si="1"/>
        <v>6.5000000000000058E-2</v>
      </c>
      <c r="M171" s="116">
        <f>_xlfn.NORM.DIST(L171,$K$106,$K$108,FALSE)</f>
        <v>0.55348830657618131</v>
      </c>
      <c r="AB171" s="2" t="s">
        <v>741</v>
      </c>
    </row>
    <row r="172" spans="1:29" ht="15">
      <c r="A172" s="109">
        <v>265</v>
      </c>
      <c r="B172" s="109">
        <v>267</v>
      </c>
      <c r="C172" s="109">
        <v>263.16000000000003</v>
      </c>
      <c r="D172" s="109">
        <v>264.89999999999998</v>
      </c>
      <c r="E172" s="109">
        <v>536800</v>
      </c>
      <c r="F172" s="109" t="s">
        <v>220</v>
      </c>
      <c r="G172" s="5">
        <f t="shared" si="0"/>
        <v>3.7750094375255117E-4</v>
      </c>
      <c r="I172" s="112">
        <v>7.0000000000000062E-2</v>
      </c>
      <c r="J172" s="113">
        <v>0</v>
      </c>
      <c r="K172" s="25"/>
      <c r="L172" s="116">
        <f t="shared" si="1"/>
        <v>6.750000000000006E-2</v>
      </c>
      <c r="M172" s="116">
        <f>_xlfn.NORM.DIST(L172,$K$106,$K$108,FALSE)</f>
        <v>0.42453522796025961</v>
      </c>
    </row>
    <row r="173" spans="1:29" ht="15">
      <c r="A173" s="109">
        <v>266.97000000000003</v>
      </c>
      <c r="B173" s="109">
        <v>271.53100000000001</v>
      </c>
      <c r="C173" s="109">
        <v>266.62</v>
      </c>
      <c r="D173" s="109">
        <v>270.07</v>
      </c>
      <c r="E173" s="109">
        <v>490013</v>
      </c>
      <c r="F173" s="109" t="s">
        <v>219</v>
      </c>
      <c r="G173" s="5">
        <f t="shared" si="0"/>
        <v>-1.1478505572629194E-2</v>
      </c>
      <c r="I173" s="112">
        <v>7.2500000000000064E-2</v>
      </c>
      <c r="J173" s="113">
        <v>0</v>
      </c>
      <c r="K173" s="25"/>
      <c r="L173" s="116">
        <f t="shared" si="1"/>
        <v>7.0000000000000062E-2</v>
      </c>
      <c r="M173" s="116">
        <f>_xlfn.NORM.DIST(L173,$K$106,$K$108,FALSE)</f>
        <v>0.32236579519097253</v>
      </c>
    </row>
    <row r="174" spans="1:29" ht="15">
      <c r="A174" s="109">
        <v>269</v>
      </c>
      <c r="B174" s="109">
        <v>272.5</v>
      </c>
      <c r="C174" s="109">
        <v>267.27999999999997</v>
      </c>
      <c r="D174" s="109">
        <v>270.20999999999998</v>
      </c>
      <c r="E174" s="109">
        <v>259519</v>
      </c>
      <c r="F174" s="109" t="s">
        <v>218</v>
      </c>
      <c r="G174" s="5">
        <f t="shared" si="0"/>
        <v>-4.4779985936863609E-3</v>
      </c>
      <c r="I174" s="112">
        <v>7.5000000000000067E-2</v>
      </c>
      <c r="J174" s="113">
        <v>1</v>
      </c>
      <c r="K174" s="25"/>
      <c r="L174" s="116">
        <f t="shared" si="1"/>
        <v>7.2500000000000064E-2</v>
      </c>
      <c r="M174" s="116">
        <f>_xlfn.NORM.DIST(L174,$K$106,$K$108,FALSE)</f>
        <v>0.24233386671084864</v>
      </c>
    </row>
    <row r="175" spans="1:29" ht="15.75" thickBot="1">
      <c r="A175" s="109">
        <v>269.73</v>
      </c>
      <c r="B175" s="109">
        <v>271.57</v>
      </c>
      <c r="C175" s="109">
        <v>266.37</v>
      </c>
      <c r="D175" s="109">
        <v>271.57</v>
      </c>
      <c r="E175" s="109">
        <v>371690</v>
      </c>
      <c r="F175" s="109" t="s">
        <v>217</v>
      </c>
      <c r="G175" s="5">
        <f t="shared" si="0"/>
        <v>-6.7754170195528651E-3</v>
      </c>
      <c r="I175" s="114" t="s">
        <v>1643</v>
      </c>
      <c r="J175" s="114">
        <v>8</v>
      </c>
      <c r="K175" s="25"/>
      <c r="L175" s="116">
        <f t="shared" si="1"/>
        <v>7.5000000000000067E-2</v>
      </c>
      <c r="M175" s="116">
        <f>_xlfn.NORM.DIST(L175,$K$106,$K$108,FALSE)</f>
        <v>0.18034711793455815</v>
      </c>
    </row>
    <row r="176" spans="1:29">
      <c r="A176" s="109">
        <v>270.82</v>
      </c>
      <c r="B176" s="109">
        <v>275.18</v>
      </c>
      <c r="C176" s="109">
        <v>269.51</v>
      </c>
      <c r="D176" s="109">
        <v>273.10000000000002</v>
      </c>
      <c r="E176" s="109">
        <v>317563</v>
      </c>
      <c r="F176" s="109" t="s">
        <v>216</v>
      </c>
      <c r="G176" s="5">
        <f t="shared" si="0"/>
        <v>-8.3485902599781392E-3</v>
      </c>
      <c r="I176" s="25"/>
      <c r="J176" s="25"/>
      <c r="K176" s="25"/>
      <c r="L176" s="116">
        <f t="shared" si="1"/>
        <v>7.7500000000000069E-2</v>
      </c>
      <c r="M176" s="116">
        <f>_xlfn.NORM.DIST(L176,$K$106,$K$108,FALSE)</f>
        <v>0.13287223421836855</v>
      </c>
    </row>
    <row r="177" spans="1:15">
      <c r="A177" s="109">
        <v>272.73</v>
      </c>
      <c r="B177" s="109">
        <v>275</v>
      </c>
      <c r="C177" s="109">
        <v>270.54500000000002</v>
      </c>
      <c r="D177" s="109">
        <v>274.04000000000002</v>
      </c>
      <c r="E177" s="109">
        <v>258097</v>
      </c>
      <c r="F177" s="109" t="s">
        <v>215</v>
      </c>
      <c r="G177" s="5">
        <f t="shared" si="0"/>
        <v>-4.7803240402860547E-3</v>
      </c>
    </row>
    <row r="178" spans="1:15">
      <c r="A178" s="109">
        <v>274.06</v>
      </c>
      <c r="B178" s="109">
        <v>275.49</v>
      </c>
      <c r="C178" s="109">
        <v>271.0136</v>
      </c>
      <c r="D178" s="109">
        <v>272.36</v>
      </c>
      <c r="E178" s="109">
        <v>409593</v>
      </c>
      <c r="F178" s="109" t="s">
        <v>214</v>
      </c>
      <c r="G178" s="5">
        <f t="shared" ref="G178:G241" si="2">A178/D178-1</f>
        <v>6.2417388750182212E-3</v>
      </c>
      <c r="I178" s="111"/>
      <c r="J178" s="25"/>
      <c r="K178" s="25"/>
      <c r="L178" s="25"/>
      <c r="M178" s="25"/>
      <c r="N178" s="25"/>
      <c r="O178" s="5"/>
    </row>
    <row r="179" spans="1:15">
      <c r="A179" s="109">
        <v>273.77999999999997</v>
      </c>
      <c r="B179" s="109">
        <v>275.64999999999998</v>
      </c>
      <c r="C179" s="109">
        <v>270.04000000000002</v>
      </c>
      <c r="D179" s="109">
        <v>275.64999999999998</v>
      </c>
      <c r="E179" s="109">
        <v>639072</v>
      </c>
      <c r="F179" s="109" t="s">
        <v>213</v>
      </c>
      <c r="G179" s="5">
        <f t="shared" si="2"/>
        <v>-6.7839651732268802E-3</v>
      </c>
      <c r="I179" s="111"/>
      <c r="J179" s="25"/>
      <c r="K179" s="25"/>
      <c r="L179" s="25"/>
      <c r="M179" s="25"/>
      <c r="N179" s="25"/>
      <c r="O179" s="5"/>
    </row>
    <row r="180" spans="1:15">
      <c r="A180" s="109">
        <v>275.83999999999997</v>
      </c>
      <c r="B180" s="109">
        <v>277.89</v>
      </c>
      <c r="C180" s="109">
        <v>266.23</v>
      </c>
      <c r="D180" s="109">
        <v>267.43</v>
      </c>
      <c r="E180" s="109">
        <v>745591</v>
      </c>
      <c r="F180" s="109" t="s">
        <v>212</v>
      </c>
      <c r="G180" s="5">
        <f t="shared" si="2"/>
        <v>3.1447481583965819E-2</v>
      </c>
      <c r="I180" s="111"/>
      <c r="J180" s="25"/>
      <c r="K180" s="25"/>
      <c r="L180" s="25"/>
      <c r="M180" s="25"/>
      <c r="N180" s="25"/>
      <c r="O180" s="5"/>
    </row>
    <row r="181" spans="1:15">
      <c r="A181" s="109">
        <v>268.2</v>
      </c>
      <c r="B181" s="109">
        <v>270.69</v>
      </c>
      <c r="C181" s="109">
        <v>265.14</v>
      </c>
      <c r="D181" s="109">
        <v>270</v>
      </c>
      <c r="E181" s="109">
        <v>448904</v>
      </c>
      <c r="F181" s="109" t="s">
        <v>211</v>
      </c>
      <c r="G181" s="5">
        <f t="shared" si="2"/>
        <v>-6.6666666666667096E-3</v>
      </c>
      <c r="I181" s="25"/>
      <c r="J181" s="25"/>
      <c r="K181" s="25"/>
      <c r="L181" s="25"/>
      <c r="M181" s="25"/>
      <c r="N181" s="25"/>
      <c r="O181" s="5"/>
    </row>
    <row r="182" spans="1:15">
      <c r="A182" s="109">
        <v>263.69</v>
      </c>
      <c r="B182" s="109">
        <v>264.93</v>
      </c>
      <c r="C182" s="109">
        <v>259.31</v>
      </c>
      <c r="D182" s="109">
        <v>264.93</v>
      </c>
      <c r="E182" s="109">
        <v>433780</v>
      </c>
      <c r="F182" s="109" t="s">
        <v>210</v>
      </c>
      <c r="G182" s="5">
        <f t="shared" si="2"/>
        <v>-4.6804816366587954E-3</v>
      </c>
      <c r="I182" s="25"/>
      <c r="J182" s="25"/>
      <c r="K182" s="25"/>
      <c r="L182" s="25"/>
      <c r="M182" s="25"/>
      <c r="N182" s="25"/>
      <c r="O182" s="5"/>
    </row>
    <row r="183" spans="1:15">
      <c r="A183" s="109">
        <v>262.31</v>
      </c>
      <c r="B183" s="109">
        <v>263.77</v>
      </c>
      <c r="C183" s="109">
        <v>257.89</v>
      </c>
      <c r="D183" s="109">
        <v>261.17</v>
      </c>
      <c r="E183" s="109">
        <v>490394</v>
      </c>
      <c r="F183" s="109" t="s">
        <v>209</v>
      </c>
      <c r="G183" s="5">
        <f t="shared" si="2"/>
        <v>4.3649730060879577E-3</v>
      </c>
      <c r="I183" s="25"/>
      <c r="J183" s="25"/>
      <c r="K183" s="25"/>
      <c r="L183" s="25"/>
      <c r="M183" s="25"/>
      <c r="N183" s="25"/>
      <c r="O183" s="5"/>
    </row>
    <row r="184" spans="1:15">
      <c r="A184" s="109">
        <v>261.77</v>
      </c>
      <c r="B184" s="109">
        <v>262.74</v>
      </c>
      <c r="C184" s="109">
        <v>253.93</v>
      </c>
      <c r="D184" s="109">
        <v>254.64</v>
      </c>
      <c r="E184" s="109">
        <v>617648</v>
      </c>
      <c r="F184" s="109" t="s">
        <v>208</v>
      </c>
      <c r="G184" s="5">
        <f t="shared" si="2"/>
        <v>2.8000314169022822E-2</v>
      </c>
      <c r="I184" s="25"/>
      <c r="J184" s="25"/>
      <c r="K184" s="25"/>
      <c r="L184" s="25"/>
      <c r="M184" s="25"/>
      <c r="N184" s="25"/>
      <c r="O184" s="5"/>
    </row>
    <row r="185" spans="1:15">
      <c r="A185" s="109">
        <v>252.89</v>
      </c>
      <c r="B185" s="109">
        <v>254</v>
      </c>
      <c r="C185" s="109">
        <v>245.27</v>
      </c>
      <c r="D185" s="109">
        <v>248.32</v>
      </c>
      <c r="E185" s="109">
        <v>450393</v>
      </c>
      <c r="F185" s="109" t="s">
        <v>207</v>
      </c>
      <c r="G185" s="5">
        <f t="shared" si="2"/>
        <v>1.8403672680412431E-2</v>
      </c>
      <c r="I185" s="25"/>
      <c r="J185" s="25"/>
      <c r="K185" s="25"/>
      <c r="L185" s="25"/>
      <c r="M185" s="25"/>
      <c r="N185" s="25"/>
      <c r="O185" s="5"/>
    </row>
    <row r="186" spans="1:15">
      <c r="A186" s="109">
        <v>246.93</v>
      </c>
      <c r="B186" s="109">
        <v>248.54</v>
      </c>
      <c r="C186" s="109">
        <v>237.65</v>
      </c>
      <c r="D186" s="109">
        <v>238.63</v>
      </c>
      <c r="E186" s="109">
        <v>425411</v>
      </c>
      <c r="F186" s="109" t="s">
        <v>206</v>
      </c>
      <c r="G186" s="5">
        <f t="shared" si="2"/>
        <v>3.4781879897749723E-2</v>
      </c>
      <c r="I186" s="25"/>
      <c r="J186" s="25"/>
      <c r="K186" s="25"/>
      <c r="L186" s="25"/>
      <c r="M186" s="25"/>
      <c r="N186" s="25"/>
      <c r="O186" s="5"/>
    </row>
    <row r="187" spans="1:15">
      <c r="A187" s="109">
        <v>250.62</v>
      </c>
      <c r="B187" s="109">
        <v>255.625</v>
      </c>
      <c r="C187" s="109">
        <v>247.94</v>
      </c>
      <c r="D187" s="109">
        <v>254.45</v>
      </c>
      <c r="E187" s="109">
        <v>467204</v>
      </c>
      <c r="F187" s="109" t="s">
        <v>205</v>
      </c>
      <c r="G187" s="5">
        <f t="shared" si="2"/>
        <v>-1.5052073098840602E-2</v>
      </c>
      <c r="I187" s="25"/>
      <c r="J187" s="25"/>
      <c r="K187" s="25"/>
      <c r="L187" s="25"/>
      <c r="M187" s="25"/>
      <c r="N187" s="25"/>
      <c r="O187" s="5"/>
    </row>
    <row r="188" spans="1:15">
      <c r="A188" s="109">
        <v>257.81</v>
      </c>
      <c r="B188" s="109">
        <v>258.52</v>
      </c>
      <c r="C188" s="109">
        <v>248.70500000000001</v>
      </c>
      <c r="D188" s="109">
        <v>252.19</v>
      </c>
      <c r="E188" s="109">
        <v>445238</v>
      </c>
      <c r="F188" s="109" t="s">
        <v>204</v>
      </c>
      <c r="G188" s="5">
        <f t="shared" si="2"/>
        <v>2.2284785280938912E-2</v>
      </c>
      <c r="I188" s="25"/>
      <c r="J188" s="25"/>
      <c r="K188" s="25"/>
      <c r="L188" s="25"/>
      <c r="M188" s="25"/>
      <c r="N188" s="25"/>
      <c r="O188" s="5"/>
    </row>
    <row r="189" spans="1:15">
      <c r="A189" s="109">
        <v>252.23</v>
      </c>
      <c r="B189" s="109">
        <v>260.875</v>
      </c>
      <c r="C189" s="109">
        <v>238</v>
      </c>
      <c r="D189" s="109">
        <v>240.2</v>
      </c>
      <c r="E189" s="109">
        <v>1052684</v>
      </c>
      <c r="F189" s="109" t="s">
        <v>203</v>
      </c>
      <c r="G189" s="5">
        <f t="shared" si="2"/>
        <v>5.0083263946711032E-2</v>
      </c>
      <c r="I189" s="25"/>
      <c r="J189" s="25"/>
      <c r="K189" s="25"/>
      <c r="L189" s="25"/>
      <c r="M189" s="25"/>
      <c r="N189" s="25"/>
      <c r="O189" s="5"/>
    </row>
    <row r="190" spans="1:15">
      <c r="A190" s="109">
        <v>237.28</v>
      </c>
      <c r="B190" s="109">
        <v>252.9</v>
      </c>
      <c r="C190" s="109">
        <v>222.59</v>
      </c>
      <c r="D190" s="109">
        <v>243.35</v>
      </c>
      <c r="E190" s="109">
        <v>1023630</v>
      </c>
      <c r="F190" s="109" t="s">
        <v>202</v>
      </c>
      <c r="G190" s="5">
        <f t="shared" si="2"/>
        <v>-2.4943497020751937E-2</v>
      </c>
      <c r="I190" s="25"/>
      <c r="J190" s="25"/>
      <c r="K190" s="25"/>
      <c r="L190" s="25"/>
      <c r="M190" s="25"/>
      <c r="N190" s="25"/>
      <c r="O190" s="5"/>
    </row>
    <row r="191" spans="1:15">
      <c r="A191" s="109">
        <v>241.97</v>
      </c>
      <c r="B191" s="109">
        <v>243.375</v>
      </c>
      <c r="C191" s="109">
        <v>239.76</v>
      </c>
      <c r="D191" s="109">
        <v>241.28</v>
      </c>
      <c r="E191" s="109">
        <v>170597</v>
      </c>
      <c r="F191" s="109" t="s">
        <v>201</v>
      </c>
      <c r="G191" s="5">
        <f t="shared" si="2"/>
        <v>2.8597480106100637E-3</v>
      </c>
      <c r="I191" s="25"/>
      <c r="J191" s="25"/>
      <c r="K191" s="25"/>
      <c r="L191" s="25"/>
      <c r="M191" s="25"/>
      <c r="N191" s="25"/>
      <c r="O191" s="5"/>
    </row>
    <row r="192" spans="1:15">
      <c r="A192" s="109">
        <v>239.99</v>
      </c>
      <c r="B192" s="109">
        <v>243.15</v>
      </c>
      <c r="C192" s="109">
        <v>237.63499999999999</v>
      </c>
      <c r="D192" s="109">
        <v>238.84</v>
      </c>
      <c r="E192" s="109">
        <v>145808</v>
      </c>
      <c r="F192" s="109" t="s">
        <v>200</v>
      </c>
      <c r="G192" s="5">
        <f t="shared" si="2"/>
        <v>4.8149388712108721E-3</v>
      </c>
      <c r="I192" s="25"/>
      <c r="J192" s="25"/>
      <c r="K192" s="25"/>
      <c r="L192" s="25"/>
      <c r="M192" s="25"/>
      <c r="N192" s="25"/>
      <c r="O192" s="5"/>
    </row>
    <row r="193" spans="1:28">
      <c r="A193" s="109">
        <v>237.48</v>
      </c>
      <c r="B193" s="109">
        <v>241.89</v>
      </c>
      <c r="C193" s="109">
        <v>236.62</v>
      </c>
      <c r="D193" s="109">
        <v>241.04</v>
      </c>
      <c r="E193" s="109">
        <v>189833</v>
      </c>
      <c r="F193" s="109" t="s">
        <v>199</v>
      </c>
      <c r="G193" s="5">
        <f t="shared" si="2"/>
        <v>-1.4769332890806508E-2</v>
      </c>
      <c r="I193" s="25"/>
      <c r="J193" s="25"/>
      <c r="K193" s="25"/>
      <c r="L193" s="25"/>
      <c r="M193" s="25"/>
      <c r="N193" s="25"/>
      <c r="O193" s="5"/>
    </row>
    <row r="194" spans="1:28">
      <c r="A194" s="109">
        <v>238.18</v>
      </c>
      <c r="B194" s="109">
        <v>240.51</v>
      </c>
      <c r="C194" s="109">
        <v>234.55</v>
      </c>
      <c r="D194" s="109">
        <v>238.35</v>
      </c>
      <c r="E194" s="109">
        <v>196502</v>
      </c>
      <c r="F194" s="109" t="s">
        <v>198</v>
      </c>
      <c r="G194" s="5">
        <f t="shared" si="2"/>
        <v>-7.132368365847519E-4</v>
      </c>
      <c r="I194" s="25"/>
      <c r="J194" s="25"/>
      <c r="K194" s="25"/>
      <c r="L194" s="25"/>
      <c r="M194" s="25"/>
      <c r="N194" s="25"/>
      <c r="O194" s="5"/>
    </row>
    <row r="195" spans="1:28">
      <c r="A195" s="109">
        <v>239.85</v>
      </c>
      <c r="B195" s="109">
        <v>241.89</v>
      </c>
      <c r="C195" s="109">
        <v>236.93</v>
      </c>
      <c r="D195" s="109">
        <v>238.47</v>
      </c>
      <c r="E195" s="109">
        <v>294374</v>
      </c>
      <c r="F195" s="109" t="s">
        <v>197</v>
      </c>
      <c r="G195" s="5">
        <f t="shared" si="2"/>
        <v>5.7868914328846888E-3</v>
      </c>
      <c r="I195" s="25"/>
      <c r="J195" s="25"/>
      <c r="K195" s="25"/>
      <c r="L195" s="25"/>
      <c r="M195" s="25"/>
      <c r="N195" s="25"/>
      <c r="O195" s="5"/>
    </row>
    <row r="196" spans="1:28">
      <c r="A196" s="109">
        <v>240.54</v>
      </c>
      <c r="B196" s="109">
        <v>241.92</v>
      </c>
      <c r="C196" s="109">
        <v>238.54</v>
      </c>
      <c r="D196" s="109">
        <v>238.79</v>
      </c>
      <c r="E196" s="109">
        <v>180617</v>
      </c>
      <c r="F196" s="109" t="s">
        <v>196</v>
      </c>
      <c r="G196" s="5">
        <f t="shared" si="2"/>
        <v>7.3286151011349165E-3</v>
      </c>
      <c r="I196" s="25"/>
      <c r="J196" s="25"/>
      <c r="K196" s="25"/>
      <c r="L196" s="25"/>
      <c r="M196" s="25"/>
      <c r="N196" s="25"/>
      <c r="O196" s="5"/>
    </row>
    <row r="197" spans="1:28">
      <c r="A197" s="109">
        <v>240.36</v>
      </c>
      <c r="B197" s="109">
        <v>241.82</v>
      </c>
      <c r="C197" s="109">
        <v>239.59</v>
      </c>
      <c r="D197" s="109">
        <v>241.82</v>
      </c>
      <c r="E197" s="109">
        <v>88821</v>
      </c>
      <c r="F197" s="109" t="s">
        <v>195</v>
      </c>
      <c r="G197" s="5">
        <f t="shared" si="2"/>
        <v>-6.0375485898601644E-3</v>
      </c>
      <c r="I197" s="25"/>
      <c r="J197" s="25"/>
      <c r="K197" s="25"/>
      <c r="L197" s="25"/>
      <c r="M197" s="25"/>
      <c r="N197" s="25"/>
      <c r="O197" s="5"/>
    </row>
    <row r="198" spans="1:28">
      <c r="A198" s="109">
        <v>240.55</v>
      </c>
      <c r="B198" s="109">
        <v>245.74</v>
      </c>
      <c r="C198" s="109">
        <v>237.68010000000001</v>
      </c>
      <c r="D198" s="109">
        <v>243</v>
      </c>
      <c r="E198" s="109">
        <v>213495</v>
      </c>
      <c r="F198" s="109" t="s">
        <v>194</v>
      </c>
      <c r="G198" s="5">
        <f t="shared" si="2"/>
        <v>-1.0082304526748964E-2</v>
      </c>
      <c r="I198" s="25"/>
      <c r="J198" s="25"/>
      <c r="K198" s="25"/>
      <c r="L198" s="25"/>
      <c r="M198" s="25"/>
      <c r="N198" s="25"/>
      <c r="O198" s="5"/>
    </row>
    <row r="199" spans="1:28">
      <c r="A199" s="109">
        <v>242.54</v>
      </c>
      <c r="B199" s="109">
        <v>245.89</v>
      </c>
      <c r="C199" s="109">
        <v>241.23500000000001</v>
      </c>
      <c r="D199" s="109">
        <v>242</v>
      </c>
      <c r="E199" s="109">
        <v>948331</v>
      </c>
      <c r="F199" s="109" t="s">
        <v>193</v>
      </c>
      <c r="G199" s="5">
        <f t="shared" si="2"/>
        <v>2.2314049586775742E-3</v>
      </c>
      <c r="I199" s="25"/>
      <c r="J199" s="25"/>
      <c r="K199" s="25"/>
      <c r="L199" s="25"/>
      <c r="M199" s="25"/>
      <c r="N199" s="25"/>
      <c r="O199" s="5"/>
    </row>
    <row r="200" spans="1:28">
      <c r="A200" s="109">
        <v>243.52</v>
      </c>
      <c r="B200" s="109">
        <v>245.56</v>
      </c>
      <c r="C200" s="109">
        <v>235.75479999999999</v>
      </c>
      <c r="D200" s="109">
        <v>238.71</v>
      </c>
      <c r="E200" s="109">
        <v>439284</v>
      </c>
      <c r="F200" s="109" t="s">
        <v>192</v>
      </c>
      <c r="G200" s="5">
        <f t="shared" si="2"/>
        <v>2.0149972770307167E-2</v>
      </c>
      <c r="I200" s="25"/>
      <c r="J200" s="25"/>
      <c r="K200" s="25"/>
      <c r="L200" s="25"/>
      <c r="M200" s="25"/>
      <c r="N200" s="25"/>
      <c r="O200" s="5"/>
    </row>
    <row r="201" spans="1:28">
      <c r="A201" s="109">
        <v>238.9</v>
      </c>
      <c r="B201" s="109">
        <v>247.92500000000001</v>
      </c>
      <c r="C201" s="109">
        <v>238.7</v>
      </c>
      <c r="D201" s="109">
        <v>246.54</v>
      </c>
      <c r="E201" s="109">
        <v>472034</v>
      </c>
      <c r="F201" s="109" t="s">
        <v>191</v>
      </c>
      <c r="G201" s="5">
        <f t="shared" si="2"/>
        <v>-3.0988886184797559E-2</v>
      </c>
      <c r="I201" s="25"/>
      <c r="J201" s="25"/>
      <c r="K201" s="25"/>
      <c r="L201" s="25"/>
      <c r="M201" s="25"/>
      <c r="N201" s="25"/>
      <c r="O201" s="5"/>
    </row>
    <row r="202" spans="1:28">
      <c r="A202" s="109">
        <v>247.55</v>
      </c>
      <c r="B202" s="109">
        <v>251.28</v>
      </c>
      <c r="C202" s="109">
        <v>244.64</v>
      </c>
      <c r="D202" s="109">
        <v>250.08</v>
      </c>
      <c r="E202" s="109">
        <v>336442</v>
      </c>
      <c r="F202" s="109" t="s">
        <v>190</v>
      </c>
      <c r="G202" s="5">
        <f t="shared" si="2"/>
        <v>-1.0116762635956511E-2</v>
      </c>
      <c r="I202" s="25"/>
      <c r="J202" s="25"/>
      <c r="K202" s="25"/>
      <c r="L202" s="25"/>
      <c r="M202" s="25"/>
      <c r="N202" s="25"/>
      <c r="O202" s="5"/>
    </row>
    <row r="203" spans="1:28">
      <c r="A203" s="109">
        <v>247.24</v>
      </c>
      <c r="B203" s="109">
        <v>250.37</v>
      </c>
      <c r="C203" s="109">
        <v>243.7354</v>
      </c>
      <c r="D203" s="109">
        <v>245</v>
      </c>
      <c r="E203" s="109">
        <v>324263</v>
      </c>
      <c r="F203" s="109" t="s">
        <v>189</v>
      </c>
      <c r="G203" s="5">
        <f t="shared" si="2"/>
        <v>9.1428571428571193E-3</v>
      </c>
      <c r="I203" s="25"/>
      <c r="J203" s="25"/>
      <c r="K203" s="25"/>
      <c r="L203" s="25"/>
      <c r="M203" s="25"/>
      <c r="N203" s="25"/>
      <c r="O203" s="5"/>
    </row>
    <row r="204" spans="1:28">
      <c r="A204" s="109">
        <v>245.55</v>
      </c>
      <c r="B204" s="109">
        <v>251.74</v>
      </c>
      <c r="C204" s="109">
        <v>244.37</v>
      </c>
      <c r="D204" s="109">
        <v>251.59</v>
      </c>
      <c r="E204" s="109">
        <v>240273</v>
      </c>
      <c r="F204" s="109" t="s">
        <v>188</v>
      </c>
      <c r="G204" s="5">
        <f t="shared" si="2"/>
        <v>-2.4007313486227533E-2</v>
      </c>
      <c r="I204" s="25"/>
      <c r="J204" s="25"/>
      <c r="K204" s="25"/>
      <c r="L204" s="25"/>
      <c r="M204" s="25"/>
      <c r="N204" s="25"/>
      <c r="O204" s="5"/>
    </row>
    <row r="205" spans="1:28">
      <c r="A205" s="109">
        <v>252.26</v>
      </c>
      <c r="B205" s="109">
        <v>254.57499999999999</v>
      </c>
      <c r="C205" s="109">
        <v>243.36</v>
      </c>
      <c r="D205" s="109">
        <v>251.08</v>
      </c>
      <c r="E205" s="109">
        <v>409509</v>
      </c>
      <c r="F205" s="109" t="s">
        <v>187</v>
      </c>
      <c r="G205" s="5">
        <f t="shared" si="2"/>
        <v>4.6996973076309789E-3</v>
      </c>
      <c r="I205" s="25"/>
      <c r="J205" s="25"/>
      <c r="K205" s="25"/>
      <c r="L205" s="25"/>
      <c r="M205" s="25"/>
      <c r="N205" s="25"/>
      <c r="O205" s="5"/>
    </row>
    <row r="206" spans="1:28">
      <c r="A206" s="109">
        <v>253.66</v>
      </c>
      <c r="B206" s="109">
        <v>259.27</v>
      </c>
      <c r="C206" s="109">
        <v>247.55500000000001</v>
      </c>
      <c r="D206" s="109">
        <v>250</v>
      </c>
      <c r="E206" s="109">
        <v>679290</v>
      </c>
      <c r="F206" s="109" t="s">
        <v>186</v>
      </c>
      <c r="G206" s="5">
        <f t="shared" si="2"/>
        <v>1.4639999999999986E-2</v>
      </c>
      <c r="I206" s="25"/>
      <c r="J206" s="25"/>
      <c r="K206" s="25"/>
      <c r="L206" s="25"/>
      <c r="M206" s="25"/>
      <c r="N206" s="25"/>
      <c r="O206" s="5"/>
    </row>
    <row r="207" spans="1:28">
      <c r="A207" s="109">
        <v>242.27</v>
      </c>
      <c r="B207" s="109">
        <v>245.3</v>
      </c>
      <c r="C207" s="109">
        <v>240.47</v>
      </c>
      <c r="D207" s="109">
        <v>244.29</v>
      </c>
      <c r="E207" s="109">
        <v>239072</v>
      </c>
      <c r="F207" s="109" t="s">
        <v>185</v>
      </c>
      <c r="G207" s="5">
        <f t="shared" si="2"/>
        <v>-8.2688607802201552E-3</v>
      </c>
      <c r="I207" s="25"/>
      <c r="J207" s="25"/>
      <c r="K207" s="25"/>
      <c r="L207" s="25"/>
      <c r="M207" s="25"/>
      <c r="N207" s="25"/>
      <c r="O207" s="5"/>
    </row>
    <row r="208" spans="1:28">
      <c r="A208" s="109">
        <v>240.86</v>
      </c>
      <c r="B208" s="109">
        <v>241.97499999999999</v>
      </c>
      <c r="C208" s="109">
        <v>236.62</v>
      </c>
      <c r="D208" s="109">
        <v>237.6</v>
      </c>
      <c r="E208" s="109">
        <v>170697</v>
      </c>
      <c r="F208" s="109" t="s">
        <v>184</v>
      </c>
      <c r="G208" s="5">
        <f t="shared" si="2"/>
        <v>1.37205387205388E-2</v>
      </c>
      <c r="I208" s="25"/>
      <c r="J208" s="25"/>
      <c r="K208" s="25"/>
      <c r="L208" s="25"/>
      <c r="M208" s="25"/>
      <c r="N208" s="25"/>
      <c r="O208" s="5"/>
      <c r="AB208" s="2" t="s">
        <v>751</v>
      </c>
    </row>
    <row r="209" spans="1:31">
      <c r="A209" s="109">
        <v>237.23</v>
      </c>
      <c r="B209" s="109">
        <v>245.3</v>
      </c>
      <c r="C209" s="109">
        <v>236.60499999999999</v>
      </c>
      <c r="D209" s="109">
        <v>244.97</v>
      </c>
      <c r="E209" s="109">
        <v>203865</v>
      </c>
      <c r="F209" s="109" t="s">
        <v>183</v>
      </c>
      <c r="G209" s="5">
        <f t="shared" si="2"/>
        <v>-3.159570559660374E-2</v>
      </c>
      <c r="I209" s="25"/>
      <c r="J209" s="25"/>
      <c r="K209" s="25"/>
      <c r="L209" s="25"/>
      <c r="M209" s="25"/>
      <c r="N209" s="25"/>
      <c r="O209" s="5"/>
      <c r="AC209" s="2" t="s">
        <v>752</v>
      </c>
    </row>
    <row r="210" spans="1:31">
      <c r="A210" s="109">
        <v>242.7</v>
      </c>
      <c r="B210" s="109">
        <v>248.60499999999999</v>
      </c>
      <c r="C210" s="109">
        <v>242.3</v>
      </c>
      <c r="D210" s="109">
        <v>247.42</v>
      </c>
      <c r="E210" s="109">
        <v>194691</v>
      </c>
      <c r="F210" s="109" t="s">
        <v>182</v>
      </c>
      <c r="G210" s="5">
        <f t="shared" si="2"/>
        <v>-1.9076873332794397E-2</v>
      </c>
      <c r="I210" s="25"/>
      <c r="J210" s="25"/>
      <c r="K210" s="25"/>
      <c r="L210" s="25"/>
      <c r="M210" s="25"/>
      <c r="N210" s="25"/>
      <c r="O210" s="5"/>
      <c r="AC210" s="2" t="s">
        <v>781</v>
      </c>
    </row>
    <row r="211" spans="1:31">
      <c r="A211" s="109">
        <v>249.08</v>
      </c>
      <c r="B211" s="109">
        <v>250.63</v>
      </c>
      <c r="C211" s="109">
        <v>244.1</v>
      </c>
      <c r="D211" s="109">
        <v>244.88</v>
      </c>
      <c r="E211" s="109">
        <v>233870</v>
      </c>
      <c r="F211" s="109" t="s">
        <v>181</v>
      </c>
      <c r="G211" s="5">
        <f t="shared" si="2"/>
        <v>1.7151257758902361E-2</v>
      </c>
      <c r="I211" s="25"/>
      <c r="J211" s="25"/>
      <c r="K211" s="25"/>
      <c r="L211" s="25"/>
      <c r="M211" s="25"/>
      <c r="N211" s="25"/>
      <c r="O211" s="5"/>
      <c r="AD211" s="2" t="s">
        <v>753</v>
      </c>
    </row>
    <row r="212" spans="1:31" ht="15">
      <c r="A212" s="109">
        <v>245.24</v>
      </c>
      <c r="B212" s="109">
        <v>246.77</v>
      </c>
      <c r="C212" s="109">
        <v>242.7</v>
      </c>
      <c r="D212" s="109">
        <v>244.11</v>
      </c>
      <c r="E212" s="109">
        <v>281939</v>
      </c>
      <c r="F212" s="109" t="s">
        <v>180</v>
      </c>
      <c r="G212" s="5">
        <f t="shared" si="2"/>
        <v>4.6290606693704106E-3</v>
      </c>
      <c r="I212" s="25"/>
      <c r="J212" s="25"/>
      <c r="K212" s="25"/>
      <c r="L212" s="25"/>
      <c r="M212" s="25"/>
      <c r="N212" s="25"/>
      <c r="O212" s="5"/>
      <c r="AE212" s="1" t="s">
        <v>783</v>
      </c>
    </row>
    <row r="213" spans="1:31">
      <c r="A213" s="109">
        <v>244.84</v>
      </c>
      <c r="B213" s="109">
        <v>245.66</v>
      </c>
      <c r="C213" s="109">
        <v>241.91</v>
      </c>
      <c r="D213" s="109">
        <v>243.01</v>
      </c>
      <c r="E213" s="109">
        <v>224078</v>
      </c>
      <c r="F213" s="109" t="s">
        <v>179</v>
      </c>
      <c r="G213" s="5">
        <f t="shared" si="2"/>
        <v>7.5305542981771723E-3</v>
      </c>
      <c r="I213" s="25"/>
      <c r="J213" s="25"/>
      <c r="K213" s="25"/>
      <c r="L213" s="25"/>
      <c r="M213" s="25"/>
      <c r="N213" s="25"/>
      <c r="O213" s="5"/>
      <c r="AB213" s="2" t="s">
        <v>632</v>
      </c>
    </row>
    <row r="214" spans="1:31">
      <c r="A214" s="109">
        <v>244.12</v>
      </c>
      <c r="B214" s="109">
        <v>246.61</v>
      </c>
      <c r="C214" s="109">
        <v>242.3</v>
      </c>
      <c r="D214" s="109">
        <v>242.56</v>
      </c>
      <c r="E214" s="109">
        <v>114677</v>
      </c>
      <c r="F214" s="109" t="s">
        <v>178</v>
      </c>
      <c r="G214" s="5">
        <f t="shared" si="2"/>
        <v>6.4313984168864469E-3</v>
      </c>
      <c r="I214" s="25"/>
      <c r="J214" s="25"/>
      <c r="K214" s="25"/>
      <c r="L214" s="25"/>
      <c r="M214" s="25"/>
      <c r="N214" s="25"/>
      <c r="O214" s="5"/>
      <c r="AC214" s="2" t="s">
        <v>613</v>
      </c>
    </row>
    <row r="215" spans="1:31">
      <c r="A215" s="109">
        <v>244.15</v>
      </c>
      <c r="B215" s="109">
        <v>250.81</v>
      </c>
      <c r="C215" s="109">
        <v>240.3</v>
      </c>
      <c r="D215" s="109">
        <v>249.86</v>
      </c>
      <c r="E215" s="109">
        <v>271479</v>
      </c>
      <c r="F215" s="109" t="s">
        <v>177</v>
      </c>
      <c r="G215" s="5">
        <f t="shared" si="2"/>
        <v>-2.2852797566637384E-2</v>
      </c>
      <c r="I215" s="25"/>
      <c r="J215" s="25"/>
      <c r="K215" s="25"/>
      <c r="L215" s="25"/>
      <c r="M215" s="25"/>
      <c r="N215" s="25"/>
      <c r="O215" s="5"/>
      <c r="AB215" s="2" t="s">
        <v>693</v>
      </c>
    </row>
    <row r="216" spans="1:31">
      <c r="A216" s="109">
        <v>248.96</v>
      </c>
      <c r="B216" s="109">
        <v>250.94499999999999</v>
      </c>
      <c r="C216" s="109">
        <v>244.02</v>
      </c>
      <c r="D216" s="109">
        <v>245.68</v>
      </c>
      <c r="E216" s="109">
        <v>297557</v>
      </c>
      <c r="F216" s="109" t="s">
        <v>176</v>
      </c>
      <c r="G216" s="5">
        <f t="shared" si="2"/>
        <v>1.3350700097688017E-2</v>
      </c>
      <c r="I216" s="25"/>
      <c r="J216" s="25"/>
      <c r="K216" s="25"/>
      <c r="L216" s="25"/>
      <c r="M216" s="25"/>
      <c r="N216" s="25"/>
      <c r="O216" s="5"/>
      <c r="AC216" s="2" t="s">
        <v>754</v>
      </c>
    </row>
    <row r="217" spans="1:31">
      <c r="A217" s="109">
        <v>244.68</v>
      </c>
      <c r="B217" s="109">
        <v>249.86</v>
      </c>
      <c r="C217" s="109">
        <v>243.875</v>
      </c>
      <c r="D217" s="109">
        <v>247.29</v>
      </c>
      <c r="E217" s="109">
        <v>422387</v>
      </c>
      <c r="F217" s="109" t="s">
        <v>175</v>
      </c>
      <c r="G217" s="5">
        <f t="shared" si="2"/>
        <v>-1.0554409802256415E-2</v>
      </c>
      <c r="I217" s="25"/>
      <c r="J217" s="25"/>
      <c r="K217" s="25"/>
      <c r="L217" s="25"/>
      <c r="M217" s="25"/>
      <c r="N217" s="25"/>
      <c r="O217" s="5"/>
      <c r="AC217" s="2" t="s">
        <v>755</v>
      </c>
    </row>
    <row r="218" spans="1:31">
      <c r="A218" s="109">
        <v>244.84</v>
      </c>
      <c r="B218" s="109">
        <v>245.21</v>
      </c>
      <c r="C218" s="109">
        <v>237.92</v>
      </c>
      <c r="D218" s="109">
        <v>240</v>
      </c>
      <c r="E218" s="109">
        <v>251999</v>
      </c>
      <c r="F218" s="109" t="s">
        <v>174</v>
      </c>
      <c r="G218" s="5">
        <f t="shared" si="2"/>
        <v>2.0166666666666666E-2</v>
      </c>
      <c r="I218" s="25"/>
      <c r="J218" s="25"/>
      <c r="K218" s="25"/>
      <c r="L218" s="25"/>
      <c r="M218" s="25"/>
      <c r="N218" s="25"/>
      <c r="O218" s="5"/>
      <c r="AB218" s="2" t="s">
        <v>756</v>
      </c>
    </row>
    <row r="219" spans="1:31">
      <c r="A219" s="109">
        <v>240.49</v>
      </c>
      <c r="B219" s="109">
        <v>241</v>
      </c>
      <c r="C219" s="109">
        <v>235.93</v>
      </c>
      <c r="D219" s="109">
        <v>237.29</v>
      </c>
      <c r="E219" s="109">
        <v>203330</v>
      </c>
      <c r="F219" s="109" t="s">
        <v>173</v>
      </c>
      <c r="G219" s="5">
        <f t="shared" si="2"/>
        <v>1.3485608327363119E-2</v>
      </c>
      <c r="I219" s="25"/>
      <c r="J219" s="25"/>
      <c r="K219" s="25"/>
      <c r="L219" s="25"/>
      <c r="M219" s="25"/>
      <c r="N219" s="25"/>
      <c r="O219" s="5"/>
      <c r="AC219" s="2" t="s">
        <v>694</v>
      </c>
    </row>
    <row r="220" spans="1:31" ht="15">
      <c r="A220" s="109">
        <v>239.2</v>
      </c>
      <c r="B220" s="109">
        <v>242.95</v>
      </c>
      <c r="C220" s="109">
        <v>235.29</v>
      </c>
      <c r="D220" s="109">
        <v>235.29</v>
      </c>
      <c r="E220" s="109">
        <v>248896</v>
      </c>
      <c r="F220" s="109" t="s">
        <v>172</v>
      </c>
      <c r="G220" s="5">
        <f t="shared" si="2"/>
        <v>1.6617790811339184E-2</v>
      </c>
      <c r="I220" s="25"/>
      <c r="J220" s="25"/>
      <c r="K220" s="25"/>
      <c r="L220" s="25"/>
      <c r="M220" s="25"/>
      <c r="N220" s="25"/>
      <c r="O220" s="5"/>
      <c r="AC220" s="2" t="s">
        <v>697</v>
      </c>
    </row>
    <row r="221" spans="1:31">
      <c r="A221" s="109">
        <v>237.11</v>
      </c>
      <c r="B221" s="109">
        <v>239.35</v>
      </c>
      <c r="C221" s="109">
        <v>234.62</v>
      </c>
      <c r="D221" s="109">
        <v>237.16</v>
      </c>
      <c r="E221" s="109">
        <v>203426</v>
      </c>
      <c r="F221" s="109" t="s">
        <v>171</v>
      </c>
      <c r="G221" s="5">
        <f t="shared" si="2"/>
        <v>-2.1082813290596025E-4</v>
      </c>
      <c r="I221" s="25"/>
      <c r="J221" s="25"/>
      <c r="K221" s="25"/>
      <c r="L221" s="25"/>
      <c r="M221" s="25"/>
      <c r="N221" s="25"/>
      <c r="O221" s="5"/>
      <c r="AD221" s="2" t="s">
        <v>696</v>
      </c>
    </row>
    <row r="222" spans="1:31">
      <c r="A222" s="109">
        <v>240.48</v>
      </c>
      <c r="B222" s="109">
        <v>241.82</v>
      </c>
      <c r="C222" s="109">
        <v>235.30500000000001</v>
      </c>
      <c r="D222" s="109">
        <v>236.48</v>
      </c>
      <c r="E222" s="109">
        <v>643266</v>
      </c>
      <c r="F222" s="109" t="s">
        <v>170</v>
      </c>
      <c r="G222" s="5">
        <f t="shared" si="2"/>
        <v>1.6914749661705031E-2</v>
      </c>
      <c r="I222" s="25"/>
      <c r="J222" s="25"/>
      <c r="K222" s="25"/>
      <c r="L222" s="25"/>
      <c r="M222" s="25"/>
      <c r="N222" s="25"/>
      <c r="O222" s="5"/>
      <c r="AD222" s="2" t="s">
        <v>695</v>
      </c>
    </row>
    <row r="223" spans="1:31">
      <c r="A223" s="109">
        <v>237.84</v>
      </c>
      <c r="B223" s="109">
        <v>239.73</v>
      </c>
      <c r="C223" s="109">
        <v>231.27</v>
      </c>
      <c r="D223" s="109">
        <v>233.88</v>
      </c>
      <c r="E223" s="109">
        <v>382919</v>
      </c>
      <c r="F223" s="109" t="s">
        <v>169</v>
      </c>
      <c r="G223" s="5">
        <f t="shared" si="2"/>
        <v>1.6931759876859909E-2</v>
      </c>
      <c r="I223" s="25"/>
      <c r="J223" s="25"/>
      <c r="K223" s="25"/>
      <c r="L223" s="25"/>
      <c r="M223" s="25"/>
      <c r="N223" s="25"/>
      <c r="O223" s="5"/>
    </row>
    <row r="224" spans="1:31">
      <c r="A224" s="109">
        <v>233.51</v>
      </c>
      <c r="B224" s="109">
        <v>237.25</v>
      </c>
      <c r="C224" s="109">
        <v>232.505</v>
      </c>
      <c r="D224" s="109">
        <v>236</v>
      </c>
      <c r="E224" s="109">
        <v>195676</v>
      </c>
      <c r="F224" s="109" t="s">
        <v>168</v>
      </c>
      <c r="G224" s="5">
        <f t="shared" si="2"/>
        <v>-1.0550847457627133E-2</v>
      </c>
      <c r="I224" s="25"/>
      <c r="J224" s="25"/>
      <c r="K224" s="25"/>
      <c r="L224" s="25"/>
      <c r="M224" s="25"/>
      <c r="N224" s="25"/>
      <c r="O224" s="5"/>
    </row>
    <row r="225" spans="1:15">
      <c r="A225" s="109">
        <v>236.05</v>
      </c>
      <c r="B225" s="109">
        <v>238.29</v>
      </c>
      <c r="C225" s="109">
        <v>235.13</v>
      </c>
      <c r="D225" s="109">
        <v>237.77</v>
      </c>
      <c r="E225" s="109">
        <v>180913</v>
      </c>
      <c r="F225" s="109" t="s">
        <v>167</v>
      </c>
      <c r="G225" s="5">
        <f t="shared" si="2"/>
        <v>-7.233881482104576E-3</v>
      </c>
      <c r="I225" s="25"/>
      <c r="J225" s="25"/>
      <c r="K225" s="25"/>
      <c r="L225" s="25"/>
      <c r="M225" s="25"/>
      <c r="N225" s="25"/>
      <c r="O225" s="5"/>
    </row>
    <row r="226" spans="1:15">
      <c r="A226" s="109">
        <v>236.22</v>
      </c>
      <c r="B226" s="109">
        <v>242.65</v>
      </c>
      <c r="C226" s="109">
        <v>236.01</v>
      </c>
      <c r="D226" s="109">
        <v>240.28</v>
      </c>
      <c r="E226" s="109">
        <v>274564</v>
      </c>
      <c r="F226" s="109" t="s">
        <v>166</v>
      </c>
      <c r="G226" s="5">
        <f t="shared" si="2"/>
        <v>-1.6896953554186744E-2</v>
      </c>
      <c r="I226" s="25"/>
      <c r="J226" s="25"/>
      <c r="K226" s="25"/>
      <c r="L226" s="25"/>
      <c r="M226" s="25"/>
      <c r="N226" s="25"/>
      <c r="O226" s="5"/>
    </row>
    <row r="227" spans="1:15">
      <c r="A227" s="109">
        <v>242.07</v>
      </c>
      <c r="B227" s="109">
        <v>243.38499999999999</v>
      </c>
      <c r="C227" s="109">
        <v>236.71</v>
      </c>
      <c r="D227" s="109">
        <v>237.96</v>
      </c>
      <c r="E227" s="109">
        <v>446469</v>
      </c>
      <c r="F227" s="109" t="s">
        <v>165</v>
      </c>
      <c r="G227" s="5">
        <f t="shared" si="2"/>
        <v>1.7271810388300501E-2</v>
      </c>
      <c r="I227" s="25"/>
      <c r="J227" s="25"/>
      <c r="K227" s="25"/>
      <c r="L227" s="25"/>
      <c r="M227" s="25"/>
      <c r="N227" s="25"/>
      <c r="O227" s="5"/>
    </row>
    <row r="228" spans="1:15">
      <c r="A228" s="109">
        <v>236.45</v>
      </c>
      <c r="B228" s="109">
        <v>236.54</v>
      </c>
      <c r="C228" s="109">
        <v>231.93</v>
      </c>
      <c r="D228" s="109">
        <v>232.36</v>
      </c>
      <c r="E228" s="109">
        <v>318792</v>
      </c>
      <c r="F228" s="109" t="s">
        <v>164</v>
      </c>
      <c r="G228" s="5">
        <f t="shared" si="2"/>
        <v>1.7601996901359884E-2</v>
      </c>
      <c r="I228" s="25"/>
      <c r="J228" s="25"/>
      <c r="K228" s="25"/>
      <c r="L228" s="25"/>
      <c r="M228" s="25"/>
      <c r="N228" s="25"/>
      <c r="O228" s="5"/>
    </row>
    <row r="229" spans="1:15">
      <c r="A229" s="109">
        <v>233.07</v>
      </c>
      <c r="B229" s="109">
        <v>239.99</v>
      </c>
      <c r="C229" s="109">
        <v>232.92</v>
      </c>
      <c r="D229" s="109">
        <v>233.96</v>
      </c>
      <c r="E229" s="109">
        <v>381267</v>
      </c>
      <c r="F229" s="109" t="s">
        <v>163</v>
      </c>
      <c r="G229" s="5">
        <f t="shared" si="2"/>
        <v>-3.804069071636218E-3</v>
      </c>
      <c r="I229" s="25"/>
      <c r="J229" s="25"/>
      <c r="K229" s="25"/>
      <c r="L229" s="25"/>
      <c r="M229" s="25"/>
      <c r="N229" s="25"/>
      <c r="O229" s="5"/>
    </row>
    <row r="230" spans="1:15">
      <c r="A230" s="109">
        <v>233.7</v>
      </c>
      <c r="B230" s="109">
        <v>238.9</v>
      </c>
      <c r="C230" s="109">
        <v>228.9</v>
      </c>
      <c r="D230" s="109">
        <v>238.9</v>
      </c>
      <c r="E230" s="109">
        <v>463471</v>
      </c>
      <c r="F230" s="109" t="s">
        <v>162</v>
      </c>
      <c r="G230" s="5">
        <f t="shared" si="2"/>
        <v>-2.1766429468396908E-2</v>
      </c>
      <c r="I230" s="25"/>
      <c r="J230" s="25"/>
      <c r="K230" s="25"/>
      <c r="L230" s="25"/>
      <c r="M230" s="25"/>
      <c r="N230" s="25"/>
      <c r="O230" s="5"/>
    </row>
    <row r="231" spans="1:15">
      <c r="A231" s="109">
        <v>232.39</v>
      </c>
      <c r="B231" s="109">
        <v>235.47</v>
      </c>
      <c r="C231" s="109">
        <v>228.64500000000001</v>
      </c>
      <c r="D231" s="109">
        <v>229.01</v>
      </c>
      <c r="E231" s="109">
        <v>417594</v>
      </c>
      <c r="F231" s="109" t="s">
        <v>161</v>
      </c>
      <c r="G231" s="5">
        <f t="shared" si="2"/>
        <v>1.4759180821798168E-2</v>
      </c>
      <c r="I231" s="25"/>
      <c r="J231" s="25"/>
      <c r="K231" s="25"/>
      <c r="L231" s="25"/>
      <c r="M231" s="25"/>
      <c r="N231" s="25"/>
      <c r="O231" s="5"/>
    </row>
    <row r="232" spans="1:15">
      <c r="A232" s="109">
        <v>229.51</v>
      </c>
      <c r="B232" s="109">
        <v>237.46</v>
      </c>
      <c r="C232" s="109">
        <v>227.89</v>
      </c>
      <c r="D232" s="109">
        <v>233.84</v>
      </c>
      <c r="E232" s="109">
        <v>453739</v>
      </c>
      <c r="F232" s="109" t="s">
        <v>160</v>
      </c>
      <c r="G232" s="5">
        <f t="shared" si="2"/>
        <v>-1.851693465617521E-2</v>
      </c>
      <c r="I232" s="25"/>
      <c r="J232" s="25"/>
      <c r="K232" s="25"/>
      <c r="L232" s="25"/>
      <c r="M232" s="25"/>
      <c r="N232" s="25"/>
      <c r="O232" s="5"/>
    </row>
    <row r="233" spans="1:15">
      <c r="A233" s="109">
        <v>233.3</v>
      </c>
      <c r="B233" s="109">
        <v>236.56</v>
      </c>
      <c r="C233" s="109">
        <v>227.93</v>
      </c>
      <c r="D233" s="109">
        <v>231.08</v>
      </c>
      <c r="E233" s="109">
        <v>525994</v>
      </c>
      <c r="F233" s="109" t="s">
        <v>159</v>
      </c>
      <c r="G233" s="5">
        <f t="shared" si="2"/>
        <v>9.6070624891813061E-3</v>
      </c>
      <c r="I233" s="25"/>
      <c r="J233" s="25"/>
      <c r="K233" s="25"/>
      <c r="L233" s="25"/>
      <c r="M233" s="25"/>
      <c r="N233" s="25"/>
      <c r="O233" s="5"/>
    </row>
    <row r="234" spans="1:15">
      <c r="A234" s="109">
        <v>228.87</v>
      </c>
      <c r="B234" s="109">
        <v>230.75</v>
      </c>
      <c r="C234" s="109">
        <v>207.58</v>
      </c>
      <c r="D234" s="109">
        <v>207.58</v>
      </c>
      <c r="E234" s="109">
        <v>953178</v>
      </c>
      <c r="F234" s="109" t="s">
        <v>158</v>
      </c>
      <c r="G234" s="5">
        <f t="shared" si="2"/>
        <v>0.10256286732825903</v>
      </c>
      <c r="I234" s="25"/>
      <c r="J234" s="25"/>
      <c r="K234" s="25"/>
      <c r="L234" s="25"/>
      <c r="M234" s="25"/>
      <c r="N234" s="25"/>
      <c r="O234" s="5"/>
    </row>
    <row r="235" spans="1:15">
      <c r="A235" s="109">
        <v>211.29</v>
      </c>
      <c r="B235" s="109">
        <v>218.21</v>
      </c>
      <c r="C235" s="109">
        <v>208.18</v>
      </c>
      <c r="D235" s="109">
        <v>208.18</v>
      </c>
      <c r="E235" s="109">
        <v>734000</v>
      </c>
      <c r="F235" s="109" t="s">
        <v>157</v>
      </c>
      <c r="G235" s="5">
        <f t="shared" si="2"/>
        <v>1.4938995100393759E-2</v>
      </c>
      <c r="I235" s="25"/>
      <c r="J235" s="25"/>
      <c r="K235" s="25"/>
      <c r="L235" s="25"/>
      <c r="M235" s="25"/>
      <c r="N235" s="25"/>
      <c r="O235" s="5"/>
    </row>
    <row r="236" spans="1:15">
      <c r="A236" s="109">
        <v>209.63</v>
      </c>
      <c r="B236" s="109">
        <v>214.97</v>
      </c>
      <c r="C236" s="109">
        <v>206.51499999999999</v>
      </c>
      <c r="D236" s="109">
        <v>208.62</v>
      </c>
      <c r="E236" s="109">
        <v>585440</v>
      </c>
      <c r="F236" s="109" t="s">
        <v>156</v>
      </c>
      <c r="G236" s="5">
        <f t="shared" si="2"/>
        <v>4.8413383184737757E-3</v>
      </c>
      <c r="I236" s="25"/>
      <c r="J236" s="25"/>
      <c r="K236" s="25"/>
      <c r="L236" s="25"/>
      <c r="M236" s="25"/>
      <c r="N236" s="25"/>
      <c r="O236" s="5"/>
    </row>
    <row r="237" spans="1:15">
      <c r="A237" s="109">
        <v>208.74</v>
      </c>
      <c r="B237" s="109">
        <v>213.86</v>
      </c>
      <c r="C237" s="109">
        <v>205.8</v>
      </c>
      <c r="D237" s="109">
        <v>206.17</v>
      </c>
      <c r="E237" s="109">
        <v>536897</v>
      </c>
      <c r="F237" s="109" t="s">
        <v>155</v>
      </c>
      <c r="G237" s="5">
        <f t="shared" si="2"/>
        <v>1.2465441140806277E-2</v>
      </c>
      <c r="I237" s="25"/>
      <c r="J237" s="25"/>
      <c r="K237" s="25"/>
      <c r="L237" s="25"/>
      <c r="M237" s="25"/>
      <c r="N237" s="25"/>
      <c r="O237" s="5"/>
    </row>
    <row r="238" spans="1:15">
      <c r="A238" s="109">
        <v>204.71</v>
      </c>
      <c r="B238" s="109">
        <v>206.72370000000001</v>
      </c>
      <c r="C238" s="109">
        <v>203.72</v>
      </c>
      <c r="D238" s="109">
        <v>206</v>
      </c>
      <c r="E238" s="109">
        <v>244602</v>
      </c>
      <c r="F238" s="109" t="s">
        <v>154</v>
      </c>
      <c r="G238" s="5">
        <f t="shared" si="2"/>
        <v>-6.2621359223300477E-3</v>
      </c>
      <c r="I238" s="25"/>
      <c r="J238" s="25"/>
      <c r="K238" s="25"/>
      <c r="L238" s="25"/>
      <c r="M238" s="25"/>
      <c r="N238" s="25"/>
      <c r="O238" s="5"/>
    </row>
    <row r="239" spans="1:15">
      <c r="A239" s="109">
        <v>206.55</v>
      </c>
      <c r="B239" s="109">
        <v>208.22</v>
      </c>
      <c r="C239" s="109">
        <v>204.89</v>
      </c>
      <c r="D239" s="109">
        <v>204.89</v>
      </c>
      <c r="E239" s="109">
        <v>330421</v>
      </c>
      <c r="F239" s="109" t="s">
        <v>153</v>
      </c>
      <c r="G239" s="5">
        <f t="shared" si="2"/>
        <v>8.1019083410611703E-3</v>
      </c>
      <c r="I239" s="25"/>
      <c r="J239" s="25"/>
      <c r="K239" s="25"/>
      <c r="L239" s="25"/>
      <c r="M239" s="25"/>
      <c r="N239" s="25"/>
      <c r="O239" s="5"/>
    </row>
    <row r="240" spans="1:15">
      <c r="A240" s="109">
        <v>203.71</v>
      </c>
      <c r="B240" s="109">
        <v>205.36</v>
      </c>
      <c r="C240" s="109">
        <v>199.01</v>
      </c>
      <c r="D240" s="109">
        <v>205.36</v>
      </c>
      <c r="E240" s="109">
        <v>249777</v>
      </c>
      <c r="F240" s="109" t="s">
        <v>152</v>
      </c>
      <c r="G240" s="5">
        <f t="shared" si="2"/>
        <v>-8.0346708219711793E-3</v>
      </c>
      <c r="I240" s="25"/>
      <c r="J240" s="25"/>
      <c r="K240" s="25"/>
      <c r="L240" s="25"/>
      <c r="M240" s="25"/>
      <c r="N240" s="25"/>
      <c r="O240" s="5"/>
    </row>
    <row r="241" spans="1:15">
      <c r="A241" s="109">
        <v>205.62</v>
      </c>
      <c r="B241" s="109">
        <v>206.81</v>
      </c>
      <c r="C241" s="109">
        <v>202</v>
      </c>
      <c r="D241" s="109">
        <v>205.85</v>
      </c>
      <c r="E241" s="109">
        <v>228881</v>
      </c>
      <c r="F241" s="109" t="s">
        <v>151</v>
      </c>
      <c r="G241" s="5">
        <f t="shared" si="2"/>
        <v>-1.1173184357541333E-3</v>
      </c>
      <c r="I241" s="25"/>
      <c r="J241" s="25"/>
      <c r="K241" s="25"/>
      <c r="L241" s="25"/>
      <c r="M241" s="25"/>
      <c r="N241" s="25"/>
      <c r="O241" s="5"/>
    </row>
    <row r="242" spans="1:15">
      <c r="A242" s="109">
        <v>206.68</v>
      </c>
      <c r="B242" s="109">
        <v>209.91</v>
      </c>
      <c r="C242" s="109">
        <v>201.96</v>
      </c>
      <c r="D242" s="109">
        <v>208.35</v>
      </c>
      <c r="E242" s="109">
        <v>225223</v>
      </c>
      <c r="F242" s="109" t="s">
        <v>150</v>
      </c>
      <c r="G242" s="5">
        <f t="shared" ref="G242:G305" si="3">A242/D242-1</f>
        <v>-8.0153587712982199E-3</v>
      </c>
      <c r="I242" s="25"/>
      <c r="J242" s="25"/>
      <c r="K242" s="25"/>
      <c r="L242" s="25"/>
      <c r="M242" s="25"/>
      <c r="N242" s="25"/>
      <c r="O242" s="5"/>
    </row>
    <row r="243" spans="1:15">
      <c r="A243" s="109">
        <v>208.65</v>
      </c>
      <c r="B243" s="109">
        <v>209.69499999999999</v>
      </c>
      <c r="C243" s="109">
        <v>203.84</v>
      </c>
      <c r="D243" s="109">
        <v>204.29</v>
      </c>
      <c r="E243" s="109">
        <v>221677</v>
      </c>
      <c r="F243" s="109" t="s">
        <v>149</v>
      </c>
      <c r="G243" s="5">
        <f t="shared" si="3"/>
        <v>2.1342209603994355E-2</v>
      </c>
      <c r="I243" s="25"/>
      <c r="J243" s="25"/>
      <c r="K243" s="25"/>
      <c r="L243" s="25"/>
      <c r="M243" s="25"/>
      <c r="N243" s="25"/>
      <c r="O243" s="5"/>
    </row>
    <row r="244" spans="1:15">
      <c r="A244" s="109">
        <v>202.26</v>
      </c>
      <c r="B244" s="109">
        <v>206.28</v>
      </c>
      <c r="C244" s="109">
        <v>198.68</v>
      </c>
      <c r="D244" s="109">
        <v>205.43</v>
      </c>
      <c r="E244" s="109">
        <v>280298</v>
      </c>
      <c r="F244" s="109" t="s">
        <v>148</v>
      </c>
      <c r="G244" s="5">
        <f t="shared" si="3"/>
        <v>-1.5431047071995385E-2</v>
      </c>
      <c r="I244" s="25"/>
      <c r="J244" s="25"/>
      <c r="K244" s="25"/>
      <c r="L244" s="25"/>
      <c r="M244" s="25"/>
      <c r="N244" s="25"/>
      <c r="O244" s="5"/>
    </row>
    <row r="245" spans="1:15">
      <c r="A245" s="109">
        <v>205.43</v>
      </c>
      <c r="B245" s="109">
        <v>209.41</v>
      </c>
      <c r="C245" s="109">
        <v>203.79499999999999</v>
      </c>
      <c r="D245" s="109">
        <v>204.96</v>
      </c>
      <c r="E245" s="109">
        <v>272458</v>
      </c>
      <c r="F245" s="109" t="s">
        <v>147</v>
      </c>
      <c r="G245" s="5">
        <f t="shared" si="3"/>
        <v>2.2931303669009306E-3</v>
      </c>
      <c r="I245" s="25"/>
      <c r="J245" s="25"/>
      <c r="K245" s="25"/>
      <c r="L245" s="25"/>
      <c r="M245" s="25"/>
      <c r="N245" s="25"/>
      <c r="O245" s="5"/>
    </row>
    <row r="246" spans="1:15">
      <c r="A246" s="109">
        <v>206.62</v>
      </c>
      <c r="B246" s="109">
        <v>212.48</v>
      </c>
      <c r="C246" s="109">
        <v>204.87</v>
      </c>
      <c r="D246" s="109">
        <v>211.39</v>
      </c>
      <c r="E246" s="109">
        <v>361428</v>
      </c>
      <c r="F246" s="109" t="s">
        <v>146</v>
      </c>
      <c r="G246" s="5">
        <f t="shared" si="3"/>
        <v>-2.2564927385401279E-2</v>
      </c>
      <c r="I246" s="25"/>
      <c r="J246" s="25"/>
      <c r="K246" s="25"/>
      <c r="L246" s="25"/>
      <c r="M246" s="25"/>
      <c r="N246" s="25"/>
      <c r="O246" s="5"/>
    </row>
    <row r="247" spans="1:15">
      <c r="A247" s="109">
        <v>211.36</v>
      </c>
      <c r="B247" s="109">
        <v>217.44</v>
      </c>
      <c r="C247" s="109">
        <v>204.77</v>
      </c>
      <c r="D247" s="109">
        <v>205</v>
      </c>
      <c r="E247" s="109">
        <v>586871</v>
      </c>
      <c r="F247" s="109" t="s">
        <v>145</v>
      </c>
      <c r="G247" s="5">
        <f t="shared" si="3"/>
        <v>3.1024390243902467E-2</v>
      </c>
      <c r="I247" s="25"/>
      <c r="J247" s="25"/>
      <c r="K247" s="25"/>
      <c r="L247" s="25"/>
      <c r="M247" s="25"/>
      <c r="N247" s="25"/>
      <c r="O247" s="5"/>
    </row>
    <row r="248" spans="1:15">
      <c r="A248" s="109">
        <v>203.19</v>
      </c>
      <c r="B248" s="109">
        <v>203.86</v>
      </c>
      <c r="C248" s="109">
        <v>193.495</v>
      </c>
      <c r="D248" s="109">
        <v>193.7</v>
      </c>
      <c r="E248" s="109">
        <v>387667</v>
      </c>
      <c r="F248" s="109" t="s">
        <v>144</v>
      </c>
      <c r="G248" s="5">
        <f t="shared" si="3"/>
        <v>4.8993288590604145E-2</v>
      </c>
      <c r="I248" s="25"/>
      <c r="J248" s="25"/>
      <c r="K248" s="25"/>
      <c r="L248" s="25"/>
      <c r="M248" s="25"/>
      <c r="N248" s="25"/>
      <c r="O248" s="5"/>
    </row>
    <row r="249" spans="1:15">
      <c r="A249" s="109">
        <v>192.58</v>
      </c>
      <c r="B249" s="109">
        <v>197.22</v>
      </c>
      <c r="C249" s="109">
        <v>192.54</v>
      </c>
      <c r="D249" s="109">
        <v>197.22</v>
      </c>
      <c r="E249" s="109">
        <v>295550</v>
      </c>
      <c r="F249" s="109" t="s">
        <v>143</v>
      </c>
      <c r="G249" s="5">
        <f t="shared" si="3"/>
        <v>-2.352702565662701E-2</v>
      </c>
      <c r="I249" s="25"/>
      <c r="J249" s="25"/>
      <c r="K249" s="25"/>
      <c r="L249" s="25"/>
      <c r="M249" s="25"/>
      <c r="N249" s="25"/>
      <c r="O249" s="5"/>
    </row>
    <row r="250" spans="1:15">
      <c r="A250" s="109">
        <v>197.55</v>
      </c>
      <c r="B250" s="109">
        <v>197.82</v>
      </c>
      <c r="C250" s="109">
        <v>193.66</v>
      </c>
      <c r="D250" s="109">
        <v>194.75</v>
      </c>
      <c r="E250" s="109">
        <v>272446</v>
      </c>
      <c r="F250" s="109" t="s">
        <v>142</v>
      </c>
      <c r="G250" s="5">
        <f t="shared" si="3"/>
        <v>1.4377406931964209E-2</v>
      </c>
      <c r="I250" s="25"/>
      <c r="J250" s="25"/>
      <c r="K250" s="25"/>
      <c r="L250" s="25"/>
      <c r="M250" s="25"/>
      <c r="N250" s="25"/>
      <c r="O250" s="5"/>
    </row>
    <row r="251" spans="1:15">
      <c r="A251" s="109">
        <v>194.81</v>
      </c>
      <c r="B251" s="109">
        <v>196.41</v>
      </c>
      <c r="C251" s="109">
        <v>190.51</v>
      </c>
      <c r="D251" s="109">
        <v>191.96</v>
      </c>
      <c r="E251" s="109">
        <v>273502</v>
      </c>
      <c r="F251" s="109" t="s">
        <v>141</v>
      </c>
      <c r="G251" s="5">
        <f t="shared" si="3"/>
        <v>1.4846843092310769E-2</v>
      </c>
      <c r="I251" s="25"/>
      <c r="J251" s="25"/>
      <c r="K251" s="25"/>
      <c r="L251" s="25"/>
      <c r="M251" s="25"/>
      <c r="N251" s="25"/>
      <c r="O251" s="5"/>
    </row>
    <row r="252" spans="1:15">
      <c r="A252" s="109">
        <v>190.81</v>
      </c>
      <c r="B252" s="109">
        <v>194.64</v>
      </c>
      <c r="C252" s="109">
        <v>190.08</v>
      </c>
      <c r="D252" s="109">
        <v>194.64</v>
      </c>
      <c r="E252" s="109">
        <v>244036</v>
      </c>
      <c r="F252" s="109" t="s">
        <v>140</v>
      </c>
      <c r="G252" s="5">
        <f t="shared" si="3"/>
        <v>-1.9677353062063196E-2</v>
      </c>
      <c r="I252" s="25"/>
      <c r="J252" s="25"/>
      <c r="K252" s="25"/>
      <c r="L252" s="25"/>
      <c r="M252" s="25"/>
      <c r="N252" s="25"/>
      <c r="O252" s="5"/>
    </row>
    <row r="253" spans="1:15">
      <c r="A253" s="109">
        <v>194.73</v>
      </c>
      <c r="B253" s="109">
        <v>198.89</v>
      </c>
      <c r="C253" s="109">
        <v>192.26</v>
      </c>
      <c r="D253" s="109">
        <v>197.59</v>
      </c>
      <c r="E253" s="109">
        <v>243639</v>
      </c>
      <c r="F253" s="109" t="s">
        <v>139</v>
      </c>
      <c r="G253" s="5">
        <f t="shared" si="3"/>
        <v>-1.4474416721494077E-2</v>
      </c>
      <c r="I253" s="25"/>
      <c r="J253" s="25"/>
      <c r="K253" s="25"/>
      <c r="L253" s="25"/>
      <c r="M253" s="25"/>
      <c r="N253" s="25"/>
      <c r="O253" s="5"/>
    </row>
    <row r="254" spans="1:15">
      <c r="A254" s="109">
        <v>194.99</v>
      </c>
      <c r="B254" s="109">
        <v>197.09</v>
      </c>
      <c r="C254" s="109">
        <v>189.94</v>
      </c>
      <c r="D254" s="109">
        <v>192.18</v>
      </c>
      <c r="E254" s="109">
        <v>304184</v>
      </c>
      <c r="F254" s="109" t="s">
        <v>138</v>
      </c>
      <c r="G254" s="5">
        <f t="shared" si="3"/>
        <v>1.4621708814652967E-2</v>
      </c>
      <c r="I254" s="25"/>
      <c r="J254" s="25"/>
      <c r="K254" s="25"/>
      <c r="L254" s="25"/>
      <c r="M254" s="25"/>
      <c r="N254" s="25"/>
      <c r="O254" s="5"/>
    </row>
    <row r="255" spans="1:15">
      <c r="A255" s="109">
        <v>193.02</v>
      </c>
      <c r="B255" s="109">
        <v>194.01</v>
      </c>
      <c r="C255" s="109">
        <v>187.84</v>
      </c>
      <c r="D255" s="109">
        <v>190.83</v>
      </c>
      <c r="E255" s="109">
        <v>248342</v>
      </c>
      <c r="F255" s="109" t="s">
        <v>137</v>
      </c>
      <c r="G255" s="5">
        <f t="shared" si="3"/>
        <v>1.1476182990095785E-2</v>
      </c>
      <c r="I255" s="25"/>
      <c r="J255" s="25"/>
      <c r="K255" s="25"/>
      <c r="L255" s="25"/>
      <c r="M255" s="25"/>
      <c r="N255" s="25"/>
      <c r="O255" s="5"/>
    </row>
    <row r="256" spans="1:15">
      <c r="A256" s="109">
        <v>191.56</v>
      </c>
      <c r="B256" s="109">
        <v>194.55</v>
      </c>
      <c r="C256" s="109">
        <v>186.965</v>
      </c>
      <c r="D256" s="109">
        <v>193.93</v>
      </c>
      <c r="E256" s="109">
        <v>274310</v>
      </c>
      <c r="F256" s="109" t="s">
        <v>136</v>
      </c>
      <c r="G256" s="5">
        <f t="shared" si="3"/>
        <v>-1.22209044500593E-2</v>
      </c>
      <c r="I256" s="25"/>
      <c r="J256" s="25"/>
      <c r="K256" s="25"/>
      <c r="L256" s="25"/>
      <c r="M256" s="25"/>
      <c r="N256" s="25"/>
      <c r="O256" s="5"/>
    </row>
    <row r="257" spans="1:15">
      <c r="A257" s="109">
        <v>194.31</v>
      </c>
      <c r="B257" s="109">
        <v>194.44</v>
      </c>
      <c r="C257" s="109">
        <v>191.12</v>
      </c>
      <c r="D257" s="109">
        <v>191.12</v>
      </c>
      <c r="E257" s="109">
        <v>296876</v>
      </c>
      <c r="F257" s="109" t="s">
        <v>135</v>
      </c>
      <c r="G257" s="5">
        <f t="shared" si="3"/>
        <v>1.6691084135621592E-2</v>
      </c>
      <c r="I257" s="25"/>
      <c r="J257" s="25"/>
      <c r="K257" s="25"/>
      <c r="L257" s="25"/>
      <c r="M257" s="25"/>
      <c r="N257" s="25"/>
      <c r="O257" s="5"/>
    </row>
    <row r="258" spans="1:15">
      <c r="A258" s="109">
        <v>191.55</v>
      </c>
      <c r="B258" s="109">
        <v>195.02</v>
      </c>
      <c r="C258" s="109">
        <v>189.47</v>
      </c>
      <c r="D258" s="109">
        <v>193.27</v>
      </c>
      <c r="E258" s="109">
        <v>159095</v>
      </c>
      <c r="F258" s="109" t="s">
        <v>134</v>
      </c>
      <c r="G258" s="5">
        <f t="shared" si="3"/>
        <v>-8.8994670667977838E-3</v>
      </c>
      <c r="I258" s="25"/>
      <c r="J258" s="25"/>
      <c r="K258" s="25"/>
      <c r="L258" s="25"/>
      <c r="M258" s="25"/>
      <c r="N258" s="25"/>
      <c r="O258" s="5"/>
    </row>
    <row r="259" spans="1:15">
      <c r="A259" s="109">
        <v>191.63</v>
      </c>
      <c r="B259" s="109">
        <v>192.1</v>
      </c>
      <c r="C259" s="109">
        <v>186.09</v>
      </c>
      <c r="D259" s="109">
        <v>189.71</v>
      </c>
      <c r="E259" s="109">
        <v>282054</v>
      </c>
      <c r="F259" s="109" t="s">
        <v>133</v>
      </c>
      <c r="G259" s="5">
        <f t="shared" si="3"/>
        <v>1.0120710558220392E-2</v>
      </c>
      <c r="I259" s="25"/>
      <c r="J259" s="25"/>
      <c r="K259" s="25"/>
      <c r="L259" s="25"/>
      <c r="M259" s="25"/>
      <c r="N259" s="25"/>
      <c r="O259" s="5"/>
    </row>
    <row r="260" spans="1:15">
      <c r="A260" s="109">
        <v>186.89</v>
      </c>
      <c r="B260" s="109">
        <v>191.96</v>
      </c>
      <c r="C260" s="109">
        <v>185.13</v>
      </c>
      <c r="D260" s="109">
        <v>191.96</v>
      </c>
      <c r="E260" s="109">
        <v>380320</v>
      </c>
      <c r="F260" s="109" t="s">
        <v>132</v>
      </c>
      <c r="G260" s="5">
        <f t="shared" si="3"/>
        <v>-2.6411752448426862E-2</v>
      </c>
      <c r="I260" s="25"/>
      <c r="J260" s="25"/>
      <c r="K260" s="25"/>
      <c r="L260" s="25"/>
      <c r="M260" s="25"/>
      <c r="N260" s="25"/>
      <c r="O260" s="5"/>
    </row>
    <row r="261" spans="1:15">
      <c r="A261" s="109">
        <v>191.4</v>
      </c>
      <c r="B261" s="109">
        <v>195.95</v>
      </c>
      <c r="C261" s="109">
        <v>191.35</v>
      </c>
      <c r="D261" s="109">
        <v>195.86</v>
      </c>
      <c r="E261" s="109">
        <v>332508</v>
      </c>
      <c r="F261" s="109" t="s">
        <v>131</v>
      </c>
      <c r="G261" s="5">
        <f t="shared" si="3"/>
        <v>-2.2771367303175749E-2</v>
      </c>
      <c r="I261" s="25"/>
      <c r="J261" s="25"/>
      <c r="K261" s="25"/>
      <c r="L261" s="25"/>
      <c r="M261" s="25"/>
      <c r="N261" s="25"/>
      <c r="O261" s="5"/>
    </row>
    <row r="262" spans="1:15">
      <c r="A262" s="109">
        <v>194.9</v>
      </c>
      <c r="B262" s="109">
        <v>198.95750000000001</v>
      </c>
      <c r="C262" s="109">
        <v>194.655</v>
      </c>
      <c r="D262" s="109">
        <v>196.09</v>
      </c>
      <c r="E262" s="109">
        <v>276361</v>
      </c>
      <c r="F262" s="109" t="s">
        <v>130</v>
      </c>
      <c r="G262" s="5">
        <f t="shared" si="3"/>
        <v>-6.0686419501249089E-3</v>
      </c>
      <c r="I262" s="25"/>
      <c r="J262" s="25"/>
      <c r="K262" s="25"/>
      <c r="L262" s="25"/>
      <c r="M262" s="25"/>
      <c r="N262" s="25"/>
      <c r="O262" s="5"/>
    </row>
    <row r="263" spans="1:15">
      <c r="A263" s="109">
        <v>195</v>
      </c>
      <c r="B263" s="109">
        <v>200.77500000000001</v>
      </c>
      <c r="C263" s="109">
        <v>194.72499999999999</v>
      </c>
      <c r="D263" s="109">
        <v>200.22</v>
      </c>
      <c r="E263" s="109">
        <v>835823</v>
      </c>
      <c r="F263" s="109" t="s">
        <v>129</v>
      </c>
      <c r="G263" s="5">
        <f t="shared" si="3"/>
        <v>-2.6071321546299098E-2</v>
      </c>
      <c r="I263" s="25"/>
      <c r="J263" s="25"/>
      <c r="K263" s="25"/>
      <c r="L263" s="25"/>
      <c r="M263" s="25"/>
      <c r="N263" s="25"/>
      <c r="O263" s="5"/>
    </row>
    <row r="264" spans="1:15">
      <c r="A264" s="109">
        <v>200.82</v>
      </c>
      <c r="B264" s="109">
        <v>203.28</v>
      </c>
      <c r="C264" s="109">
        <v>198.09559999999999</v>
      </c>
      <c r="D264" s="109">
        <v>201</v>
      </c>
      <c r="E264" s="109">
        <v>370035</v>
      </c>
      <c r="F264" s="109" t="s">
        <v>128</v>
      </c>
      <c r="G264" s="5">
        <f t="shared" si="3"/>
        <v>-8.9552238805978845E-4</v>
      </c>
      <c r="I264" s="25"/>
      <c r="J264" s="25"/>
      <c r="K264" s="25"/>
      <c r="L264" s="25"/>
      <c r="M264" s="25"/>
      <c r="N264" s="25"/>
      <c r="O264" s="5"/>
    </row>
    <row r="265" spans="1:15">
      <c r="A265" s="109">
        <v>195.58</v>
      </c>
      <c r="B265" s="109">
        <v>199.66</v>
      </c>
      <c r="C265" s="109">
        <v>188.75</v>
      </c>
      <c r="D265" s="109">
        <v>189.71</v>
      </c>
      <c r="E265" s="109">
        <v>464298</v>
      </c>
      <c r="F265" s="109" t="s">
        <v>127</v>
      </c>
      <c r="G265" s="5">
        <f t="shared" si="3"/>
        <v>3.0941964050392734E-2</v>
      </c>
      <c r="I265" s="25"/>
      <c r="J265" s="25"/>
      <c r="K265" s="25"/>
      <c r="L265" s="25"/>
      <c r="M265" s="25"/>
      <c r="N265" s="25"/>
      <c r="O265" s="5"/>
    </row>
    <row r="266" spans="1:15">
      <c r="A266" s="109">
        <v>187.06</v>
      </c>
      <c r="B266" s="109">
        <v>192.92</v>
      </c>
      <c r="C266" s="109">
        <v>185.07</v>
      </c>
      <c r="D266" s="109">
        <v>188.18</v>
      </c>
      <c r="E266" s="109">
        <v>406336</v>
      </c>
      <c r="F266" s="109" t="s">
        <v>126</v>
      </c>
      <c r="G266" s="5">
        <f t="shared" si="3"/>
        <v>-5.9517483260708159E-3</v>
      </c>
      <c r="I266" s="25"/>
      <c r="J266" s="25"/>
      <c r="K266" s="25"/>
      <c r="L266" s="25"/>
      <c r="M266" s="25"/>
      <c r="N266" s="25"/>
      <c r="O266" s="5"/>
    </row>
    <row r="267" spans="1:15">
      <c r="A267" s="109">
        <v>187.65</v>
      </c>
      <c r="B267" s="109">
        <v>191.29</v>
      </c>
      <c r="C267" s="109">
        <v>184.8</v>
      </c>
      <c r="D267" s="109">
        <v>187.29</v>
      </c>
      <c r="E267" s="109">
        <v>497037</v>
      </c>
      <c r="F267" s="109" t="s">
        <v>125</v>
      </c>
      <c r="G267" s="5">
        <f t="shared" si="3"/>
        <v>1.922152811148603E-3</v>
      </c>
      <c r="I267" s="25"/>
      <c r="J267" s="25"/>
      <c r="K267" s="25"/>
      <c r="L267" s="25"/>
      <c r="M267" s="25"/>
      <c r="N267" s="25"/>
      <c r="O267" s="5"/>
    </row>
    <row r="268" spans="1:15">
      <c r="A268" s="109">
        <v>186.94</v>
      </c>
      <c r="B268" s="109">
        <v>200.01</v>
      </c>
      <c r="C268" s="109">
        <v>186.78</v>
      </c>
      <c r="D268" s="109">
        <v>199.31</v>
      </c>
      <c r="E268" s="109">
        <v>601133</v>
      </c>
      <c r="F268" s="109" t="s">
        <v>124</v>
      </c>
      <c r="G268" s="5">
        <f t="shared" si="3"/>
        <v>-6.2064121218202817E-2</v>
      </c>
      <c r="I268" s="25"/>
      <c r="J268" s="25"/>
      <c r="K268" s="25"/>
      <c r="L268" s="25"/>
      <c r="M268" s="25"/>
      <c r="N268" s="25"/>
      <c r="O268" s="5"/>
    </row>
    <row r="269" spans="1:15">
      <c r="A269" s="109">
        <v>200.01</v>
      </c>
      <c r="B269" s="109">
        <v>203.63</v>
      </c>
      <c r="C269" s="109">
        <v>198.06</v>
      </c>
      <c r="D269" s="109">
        <v>202.03</v>
      </c>
      <c r="E269" s="109">
        <v>257034</v>
      </c>
      <c r="F269" s="109" t="s">
        <v>123</v>
      </c>
      <c r="G269" s="5">
        <f t="shared" si="3"/>
        <v>-9.9985150720190985E-3</v>
      </c>
      <c r="I269" s="25"/>
      <c r="J269" s="25"/>
      <c r="K269" s="25"/>
      <c r="L269" s="25"/>
      <c r="M269" s="25"/>
      <c r="N269" s="25"/>
      <c r="O269" s="5"/>
    </row>
    <row r="270" spans="1:15">
      <c r="A270" s="109">
        <v>202.31</v>
      </c>
      <c r="B270" s="109">
        <v>205.23</v>
      </c>
      <c r="C270" s="109">
        <v>198.87</v>
      </c>
      <c r="D270" s="109">
        <v>201.88</v>
      </c>
      <c r="E270" s="109">
        <v>393491</v>
      </c>
      <c r="F270" s="109" t="s">
        <v>122</v>
      </c>
      <c r="G270" s="5">
        <f t="shared" si="3"/>
        <v>2.129978204874261E-3</v>
      </c>
      <c r="I270" s="25"/>
      <c r="J270" s="25"/>
      <c r="K270" s="25"/>
      <c r="L270" s="25"/>
      <c r="M270" s="25"/>
      <c r="N270" s="25"/>
      <c r="O270" s="5"/>
    </row>
    <row r="271" spans="1:15">
      <c r="A271" s="109">
        <v>204.12</v>
      </c>
      <c r="B271" s="109">
        <v>207.81</v>
      </c>
      <c r="C271" s="109">
        <v>194.78</v>
      </c>
      <c r="D271" s="109">
        <v>194.78</v>
      </c>
      <c r="E271" s="109">
        <v>445925</v>
      </c>
      <c r="F271" s="109" t="s">
        <v>121</v>
      </c>
      <c r="G271" s="5">
        <f t="shared" si="3"/>
        <v>4.7951535065201778E-2</v>
      </c>
      <c r="I271" s="25"/>
      <c r="J271" s="25"/>
      <c r="K271" s="25"/>
      <c r="L271" s="25"/>
      <c r="M271" s="25"/>
      <c r="N271" s="25"/>
      <c r="O271" s="5"/>
    </row>
    <row r="272" spans="1:15">
      <c r="A272" s="109">
        <v>195.08</v>
      </c>
      <c r="B272" s="109">
        <v>204.8</v>
      </c>
      <c r="C272" s="109">
        <v>194.86</v>
      </c>
      <c r="D272" s="109">
        <v>203.98</v>
      </c>
      <c r="E272" s="109">
        <v>550892</v>
      </c>
      <c r="F272" s="109" t="s">
        <v>120</v>
      </c>
      <c r="G272" s="5">
        <f t="shared" si="3"/>
        <v>-4.3631728600843078E-2</v>
      </c>
      <c r="I272" s="25"/>
      <c r="J272" s="25"/>
      <c r="K272" s="25"/>
      <c r="L272" s="25"/>
      <c r="M272" s="25"/>
      <c r="N272" s="25"/>
      <c r="O272" s="5"/>
    </row>
    <row r="273" spans="1:15">
      <c r="A273" s="109">
        <v>203.73</v>
      </c>
      <c r="B273" s="109">
        <v>205.99590000000001</v>
      </c>
      <c r="C273" s="109">
        <v>199.93</v>
      </c>
      <c r="D273" s="109">
        <v>204.46</v>
      </c>
      <c r="E273" s="109">
        <v>539207</v>
      </c>
      <c r="F273" s="109" t="s">
        <v>119</v>
      </c>
      <c r="G273" s="5">
        <f t="shared" si="3"/>
        <v>-3.5703805145261835E-3</v>
      </c>
      <c r="I273" s="25"/>
      <c r="J273" s="25"/>
      <c r="K273" s="25"/>
      <c r="L273" s="25"/>
      <c r="M273" s="25"/>
      <c r="N273" s="25"/>
      <c r="O273" s="5"/>
    </row>
    <row r="274" spans="1:15">
      <c r="A274" s="109">
        <v>204.04</v>
      </c>
      <c r="B274" s="109">
        <v>205.51</v>
      </c>
      <c r="C274" s="109">
        <v>199.99</v>
      </c>
      <c r="D274" s="109">
        <v>202.39</v>
      </c>
      <c r="E274" s="109">
        <v>306028</v>
      </c>
      <c r="F274" s="109" t="s">
        <v>118</v>
      </c>
      <c r="G274" s="5">
        <f t="shared" si="3"/>
        <v>8.1525767083354683E-3</v>
      </c>
      <c r="I274" s="25"/>
      <c r="J274" s="25"/>
      <c r="K274" s="25"/>
      <c r="L274" s="25"/>
      <c r="M274" s="25"/>
      <c r="N274" s="25"/>
      <c r="O274" s="5"/>
    </row>
    <row r="275" spans="1:15">
      <c r="A275" s="109">
        <v>202.55</v>
      </c>
      <c r="B275" s="109">
        <v>209.68</v>
      </c>
      <c r="C275" s="109">
        <v>202.17</v>
      </c>
      <c r="D275" s="109">
        <v>204.11</v>
      </c>
      <c r="E275" s="109">
        <v>340274</v>
      </c>
      <c r="F275" s="109" t="s">
        <v>117</v>
      </c>
      <c r="G275" s="5">
        <f t="shared" si="3"/>
        <v>-7.6429376316692332E-3</v>
      </c>
      <c r="I275" s="25"/>
      <c r="J275" s="25"/>
      <c r="K275" s="25"/>
      <c r="L275" s="25"/>
      <c r="M275" s="25"/>
      <c r="N275" s="25"/>
      <c r="O275" s="5"/>
    </row>
    <row r="276" spans="1:15">
      <c r="A276" s="109">
        <v>204.97</v>
      </c>
      <c r="B276" s="109">
        <v>209.245</v>
      </c>
      <c r="C276" s="109">
        <v>203.01</v>
      </c>
      <c r="D276" s="109">
        <v>203.01</v>
      </c>
      <c r="E276" s="109">
        <v>358909</v>
      </c>
      <c r="F276" s="109" t="s">
        <v>116</v>
      </c>
      <c r="G276" s="5">
        <f t="shared" si="3"/>
        <v>9.6546968129649358E-3</v>
      </c>
      <c r="I276" s="25"/>
      <c r="J276" s="25"/>
      <c r="K276" s="25"/>
      <c r="L276" s="25"/>
      <c r="M276" s="25"/>
      <c r="N276" s="25"/>
      <c r="O276" s="5"/>
    </row>
    <row r="277" spans="1:15">
      <c r="A277" s="109">
        <v>202.32</v>
      </c>
      <c r="B277" s="109">
        <v>203.83500000000001</v>
      </c>
      <c r="C277" s="109">
        <v>199.86</v>
      </c>
      <c r="D277" s="109">
        <v>202.35</v>
      </c>
      <c r="E277" s="109">
        <v>267470</v>
      </c>
      <c r="F277" s="109" t="s">
        <v>115</v>
      </c>
      <c r="G277" s="5">
        <f t="shared" si="3"/>
        <v>-1.482579688658614E-4</v>
      </c>
      <c r="I277" s="25"/>
      <c r="J277" s="25"/>
      <c r="K277" s="25"/>
      <c r="L277" s="25"/>
      <c r="M277" s="25"/>
      <c r="N277" s="25"/>
      <c r="O277" s="5"/>
    </row>
    <row r="278" spans="1:15">
      <c r="A278" s="109">
        <v>202.4</v>
      </c>
      <c r="B278" s="109">
        <v>204.93</v>
      </c>
      <c r="C278" s="109">
        <v>201.4</v>
      </c>
      <c r="D278" s="109">
        <v>202.24</v>
      </c>
      <c r="E278" s="109">
        <v>286392</v>
      </c>
      <c r="F278" s="109" t="s">
        <v>114</v>
      </c>
      <c r="G278" s="5">
        <f t="shared" si="3"/>
        <v>7.9113924050622231E-4</v>
      </c>
      <c r="I278" s="25"/>
      <c r="J278" s="25"/>
      <c r="K278" s="25"/>
      <c r="L278" s="25"/>
      <c r="M278" s="25"/>
      <c r="N278" s="25"/>
      <c r="O278" s="5"/>
    </row>
    <row r="279" spans="1:15">
      <c r="A279" s="109">
        <v>200.46</v>
      </c>
      <c r="B279" s="109">
        <v>204.35</v>
      </c>
      <c r="C279" s="109">
        <v>197.98</v>
      </c>
      <c r="D279" s="109">
        <v>203.36</v>
      </c>
      <c r="E279" s="109">
        <v>323259</v>
      </c>
      <c r="F279" s="109" t="s">
        <v>113</v>
      </c>
      <c r="G279" s="5">
        <f t="shared" si="3"/>
        <v>-1.4260424862313159E-2</v>
      </c>
      <c r="I279" s="25"/>
      <c r="J279" s="25"/>
      <c r="K279" s="25"/>
      <c r="L279" s="25"/>
      <c r="M279" s="25"/>
      <c r="N279" s="25"/>
      <c r="O279" s="5"/>
    </row>
    <row r="280" spans="1:15">
      <c r="A280" s="109">
        <v>203.16</v>
      </c>
      <c r="B280" s="109">
        <v>203.99</v>
      </c>
      <c r="C280" s="109">
        <v>199.39500000000001</v>
      </c>
      <c r="D280" s="109">
        <v>200.53</v>
      </c>
      <c r="E280" s="109">
        <v>334792</v>
      </c>
      <c r="F280" s="109" t="s">
        <v>112</v>
      </c>
      <c r="G280" s="5">
        <f t="shared" si="3"/>
        <v>1.3115244601805243E-2</v>
      </c>
      <c r="I280" s="25"/>
      <c r="J280" s="25"/>
      <c r="K280" s="25"/>
      <c r="L280" s="25"/>
      <c r="M280" s="25"/>
      <c r="N280" s="25"/>
      <c r="O280" s="5"/>
    </row>
    <row r="281" spans="1:15">
      <c r="A281" s="109">
        <v>202.07</v>
      </c>
      <c r="B281" s="109">
        <v>210.01499999999999</v>
      </c>
      <c r="C281" s="109">
        <v>201.98</v>
      </c>
      <c r="D281" s="109">
        <v>209.54</v>
      </c>
      <c r="E281" s="109">
        <v>420489</v>
      </c>
      <c r="F281" s="109" t="s">
        <v>111</v>
      </c>
      <c r="G281" s="5">
        <f t="shared" si="3"/>
        <v>-3.5649517991791502E-2</v>
      </c>
      <c r="I281" s="25"/>
      <c r="J281" s="25"/>
      <c r="K281" s="25"/>
      <c r="L281" s="25"/>
      <c r="M281" s="25"/>
      <c r="N281" s="25"/>
      <c r="O281" s="5"/>
    </row>
    <row r="282" spans="1:15">
      <c r="A282" s="109">
        <v>210.12</v>
      </c>
      <c r="B282" s="109">
        <v>211.185</v>
      </c>
      <c r="C282" s="109">
        <v>198.66</v>
      </c>
      <c r="D282" s="109">
        <v>199.24</v>
      </c>
      <c r="E282" s="109">
        <v>983455</v>
      </c>
      <c r="F282" s="109" t="s">
        <v>110</v>
      </c>
      <c r="G282" s="5">
        <f t="shared" si="3"/>
        <v>5.4607508532423132E-2</v>
      </c>
      <c r="I282" s="25"/>
      <c r="J282" s="25"/>
      <c r="K282" s="25"/>
      <c r="L282" s="25"/>
      <c r="M282" s="25"/>
      <c r="N282" s="25"/>
      <c r="O282" s="5"/>
    </row>
    <row r="283" spans="1:15">
      <c r="A283" s="109">
        <v>197.57</v>
      </c>
      <c r="B283" s="109">
        <v>200.16</v>
      </c>
      <c r="C283" s="109">
        <v>195.03</v>
      </c>
      <c r="D283" s="109">
        <v>196</v>
      </c>
      <c r="E283" s="109">
        <v>382720</v>
      </c>
      <c r="F283" s="109" t="s">
        <v>109</v>
      </c>
      <c r="G283" s="5">
        <f t="shared" si="3"/>
        <v>8.0102040816325548E-3</v>
      </c>
      <c r="I283" s="25"/>
      <c r="J283" s="25"/>
      <c r="K283" s="25"/>
      <c r="L283" s="25"/>
      <c r="M283" s="25"/>
      <c r="N283" s="25"/>
      <c r="O283" s="5"/>
    </row>
    <row r="284" spans="1:15">
      <c r="A284" s="109">
        <v>195.21</v>
      </c>
      <c r="B284" s="109">
        <v>195.94499999999999</v>
      </c>
      <c r="C284" s="109">
        <v>191.52</v>
      </c>
      <c r="D284" s="109">
        <v>193.19</v>
      </c>
      <c r="E284" s="109">
        <v>331885</v>
      </c>
      <c r="F284" s="109" t="s">
        <v>108</v>
      </c>
      <c r="G284" s="5">
        <f t="shared" si="3"/>
        <v>1.0456027744707441E-2</v>
      </c>
      <c r="I284" s="25"/>
      <c r="J284" s="25"/>
      <c r="K284" s="25"/>
      <c r="L284" s="25"/>
      <c r="M284" s="25"/>
      <c r="N284" s="25"/>
      <c r="O284" s="5"/>
    </row>
    <row r="285" spans="1:15">
      <c r="A285" s="109">
        <v>192.07</v>
      </c>
      <c r="B285" s="109">
        <v>192.77</v>
      </c>
      <c r="C285" s="109">
        <v>187.99</v>
      </c>
      <c r="D285" s="109">
        <v>190.67</v>
      </c>
      <c r="E285" s="109">
        <v>550211</v>
      </c>
      <c r="F285" s="109" t="s">
        <v>107</v>
      </c>
      <c r="G285" s="5">
        <f t="shared" si="3"/>
        <v>7.3425289767661273E-3</v>
      </c>
      <c r="I285" s="25"/>
      <c r="J285" s="25"/>
      <c r="K285" s="25"/>
      <c r="L285" s="25"/>
      <c r="M285" s="25"/>
      <c r="N285" s="25"/>
      <c r="O285" s="5"/>
    </row>
    <row r="286" spans="1:15">
      <c r="A286" s="109">
        <v>191.45</v>
      </c>
      <c r="B286" s="109">
        <v>194.44</v>
      </c>
      <c r="C286" s="109">
        <v>188.62</v>
      </c>
      <c r="D286" s="109">
        <v>190.23</v>
      </c>
      <c r="E286" s="109">
        <v>419716</v>
      </c>
      <c r="F286" s="109" t="s">
        <v>106</v>
      </c>
      <c r="G286" s="5">
        <f t="shared" si="3"/>
        <v>6.4132891762602728E-3</v>
      </c>
      <c r="I286" s="25"/>
      <c r="J286" s="25"/>
      <c r="K286" s="25"/>
      <c r="L286" s="25"/>
      <c r="M286" s="25"/>
      <c r="N286" s="25"/>
      <c r="O286" s="5"/>
    </row>
    <row r="287" spans="1:15">
      <c r="A287" s="109">
        <v>190.51</v>
      </c>
      <c r="B287" s="109">
        <v>191.16</v>
      </c>
      <c r="C287" s="109">
        <v>186.68</v>
      </c>
      <c r="D287" s="109">
        <v>188.88</v>
      </c>
      <c r="E287" s="109">
        <v>320096</v>
      </c>
      <c r="F287" s="109" t="s">
        <v>105</v>
      </c>
      <c r="G287" s="5">
        <f t="shared" si="3"/>
        <v>8.6298178737822528E-3</v>
      </c>
      <c r="I287" s="25"/>
      <c r="J287" s="25"/>
      <c r="K287" s="25"/>
      <c r="L287" s="25"/>
      <c r="M287" s="25"/>
      <c r="N287" s="25"/>
      <c r="O287" s="5"/>
    </row>
    <row r="288" spans="1:15">
      <c r="A288" s="109">
        <v>189.26</v>
      </c>
      <c r="B288" s="109">
        <v>192.05</v>
      </c>
      <c r="C288" s="109">
        <v>184.19</v>
      </c>
      <c r="D288" s="109">
        <v>184.29</v>
      </c>
      <c r="E288" s="109">
        <v>520750</v>
      </c>
      <c r="F288" s="109" t="s">
        <v>104</v>
      </c>
      <c r="G288" s="5">
        <f t="shared" si="3"/>
        <v>2.6968365076781131E-2</v>
      </c>
      <c r="I288" s="25"/>
      <c r="J288" s="25"/>
      <c r="K288" s="25"/>
      <c r="L288" s="25"/>
      <c r="M288" s="25"/>
      <c r="N288" s="25"/>
      <c r="O288" s="5"/>
    </row>
    <row r="289" spans="1:15">
      <c r="A289" s="109">
        <v>183.1</v>
      </c>
      <c r="B289" s="109">
        <v>187.845</v>
      </c>
      <c r="C289" s="109">
        <v>181.13</v>
      </c>
      <c r="D289" s="109">
        <v>186.75</v>
      </c>
      <c r="E289" s="109">
        <v>545044</v>
      </c>
      <c r="F289" s="109" t="s">
        <v>103</v>
      </c>
      <c r="G289" s="5">
        <f t="shared" si="3"/>
        <v>-1.9544846050870146E-2</v>
      </c>
      <c r="I289" s="25"/>
      <c r="J289" s="25"/>
      <c r="K289" s="25"/>
      <c r="L289" s="25"/>
      <c r="M289" s="25"/>
      <c r="N289" s="25"/>
      <c r="O289" s="5"/>
    </row>
    <row r="290" spans="1:15">
      <c r="A290" s="109">
        <v>186.94</v>
      </c>
      <c r="B290" s="109">
        <v>194.51</v>
      </c>
      <c r="C290" s="109">
        <v>174.23</v>
      </c>
      <c r="D290" s="109">
        <v>177.29</v>
      </c>
      <c r="E290" s="109">
        <v>1046475</v>
      </c>
      <c r="F290" s="109" t="s">
        <v>102</v>
      </c>
      <c r="G290" s="5">
        <f t="shared" si="3"/>
        <v>5.4430593942128791E-2</v>
      </c>
      <c r="I290" s="25"/>
      <c r="J290" s="25"/>
      <c r="K290" s="25"/>
      <c r="L290" s="25"/>
      <c r="M290" s="25"/>
      <c r="N290" s="25"/>
      <c r="O290" s="5"/>
    </row>
    <row r="291" spans="1:15">
      <c r="A291" s="109">
        <v>168.79</v>
      </c>
      <c r="B291" s="109">
        <v>172.42</v>
      </c>
      <c r="C291" s="109">
        <v>168.3</v>
      </c>
      <c r="D291" s="109">
        <v>169.45</v>
      </c>
      <c r="E291" s="109">
        <v>383916</v>
      </c>
      <c r="F291" s="109" t="s">
        <v>101</v>
      </c>
      <c r="G291" s="5">
        <f t="shared" si="3"/>
        <v>-3.8949542637946033E-3</v>
      </c>
      <c r="I291" s="25"/>
      <c r="J291" s="25"/>
      <c r="K291" s="25"/>
      <c r="L291" s="25"/>
      <c r="M291" s="25"/>
      <c r="N291" s="25"/>
      <c r="O291" s="5"/>
    </row>
    <row r="292" spans="1:15">
      <c r="A292" s="109">
        <v>170.03</v>
      </c>
      <c r="B292" s="109">
        <v>171.27</v>
      </c>
      <c r="C292" s="109">
        <v>166.64</v>
      </c>
      <c r="D292" s="109">
        <v>170.11</v>
      </c>
      <c r="E292" s="109">
        <v>294006</v>
      </c>
      <c r="F292" s="109" t="s">
        <v>100</v>
      </c>
      <c r="G292" s="5">
        <f t="shared" si="3"/>
        <v>-4.7028393392523071E-4</v>
      </c>
      <c r="I292" s="25"/>
      <c r="J292" s="25"/>
      <c r="K292" s="25"/>
      <c r="L292" s="25"/>
      <c r="M292" s="25"/>
      <c r="N292" s="25"/>
      <c r="O292" s="5"/>
    </row>
    <row r="293" spans="1:15">
      <c r="A293" s="109">
        <v>169.38</v>
      </c>
      <c r="B293" s="109">
        <v>170.13</v>
      </c>
      <c r="C293" s="109">
        <v>164.42</v>
      </c>
      <c r="D293" s="109">
        <v>164.42</v>
      </c>
      <c r="E293" s="109">
        <v>349259</v>
      </c>
      <c r="F293" s="109" t="s">
        <v>99</v>
      </c>
      <c r="G293" s="5">
        <f t="shared" si="3"/>
        <v>3.0166646393382957E-2</v>
      </c>
      <c r="I293" s="25"/>
      <c r="J293" s="25"/>
      <c r="K293" s="25"/>
      <c r="L293" s="25"/>
      <c r="M293" s="25"/>
      <c r="N293" s="25"/>
      <c r="O293" s="5"/>
    </row>
    <row r="294" spans="1:15">
      <c r="A294" s="109">
        <v>163.63999999999999</v>
      </c>
      <c r="B294" s="109">
        <v>172.16</v>
      </c>
      <c r="C294" s="109">
        <v>163.63</v>
      </c>
      <c r="D294" s="109">
        <v>171.57</v>
      </c>
      <c r="E294" s="109">
        <v>451656</v>
      </c>
      <c r="F294" s="109" t="s">
        <v>98</v>
      </c>
      <c r="G294" s="5">
        <f t="shared" si="3"/>
        <v>-4.6220201666958172E-2</v>
      </c>
      <c r="I294" s="25"/>
      <c r="J294" s="25"/>
      <c r="K294" s="25"/>
      <c r="L294" s="25"/>
      <c r="M294" s="25"/>
      <c r="N294" s="25"/>
      <c r="O294" s="5"/>
    </row>
    <row r="295" spans="1:15">
      <c r="A295" s="109">
        <v>171.44</v>
      </c>
      <c r="B295" s="109">
        <v>177.9932</v>
      </c>
      <c r="C295" s="109">
        <v>171.41</v>
      </c>
      <c r="D295" s="109">
        <v>177.46</v>
      </c>
      <c r="E295" s="109">
        <v>551861</v>
      </c>
      <c r="F295" s="109" t="s">
        <v>97</v>
      </c>
      <c r="G295" s="5">
        <f t="shared" si="3"/>
        <v>-3.3923137608475207E-2</v>
      </c>
      <c r="I295" s="25"/>
      <c r="J295" s="25"/>
      <c r="K295" s="25"/>
      <c r="L295" s="25"/>
      <c r="M295" s="25"/>
      <c r="N295" s="25"/>
      <c r="O295" s="5"/>
    </row>
    <row r="296" spans="1:15">
      <c r="A296" s="109">
        <v>177.56</v>
      </c>
      <c r="B296" s="109">
        <v>181.44</v>
      </c>
      <c r="C296" s="109">
        <v>169.84</v>
      </c>
      <c r="D296" s="109">
        <v>170.63</v>
      </c>
      <c r="E296" s="109">
        <v>617380</v>
      </c>
      <c r="F296" s="109" t="s">
        <v>96</v>
      </c>
      <c r="G296" s="5">
        <f t="shared" si="3"/>
        <v>4.0614194455840247E-2</v>
      </c>
      <c r="I296" s="25"/>
      <c r="J296" s="25"/>
      <c r="K296" s="25"/>
      <c r="L296" s="25"/>
      <c r="M296" s="25"/>
      <c r="N296" s="25"/>
      <c r="O296" s="5"/>
    </row>
    <row r="297" spans="1:15">
      <c r="A297" s="109">
        <v>175.51</v>
      </c>
      <c r="B297" s="109">
        <v>180.5</v>
      </c>
      <c r="C297" s="109">
        <v>167.76</v>
      </c>
      <c r="D297" s="109">
        <v>169.91</v>
      </c>
      <c r="E297" s="109">
        <v>850453</v>
      </c>
      <c r="F297" s="109" t="s">
        <v>95</v>
      </c>
      <c r="G297" s="5">
        <f t="shared" si="3"/>
        <v>3.2958625154493548E-2</v>
      </c>
      <c r="I297" s="25"/>
      <c r="J297" s="25"/>
      <c r="K297" s="25"/>
      <c r="L297" s="25"/>
      <c r="M297" s="25"/>
      <c r="N297" s="25"/>
      <c r="O297" s="5"/>
    </row>
    <row r="298" spans="1:15">
      <c r="A298" s="109">
        <v>171.25</v>
      </c>
      <c r="B298" s="109">
        <v>172.85</v>
      </c>
      <c r="C298" s="109">
        <v>160.18</v>
      </c>
      <c r="D298" s="109">
        <v>168.73</v>
      </c>
      <c r="E298" s="109">
        <v>726531</v>
      </c>
      <c r="F298" s="109" t="s">
        <v>94</v>
      </c>
      <c r="G298" s="5">
        <f t="shared" si="3"/>
        <v>1.493510341966453E-2</v>
      </c>
      <c r="I298" s="25"/>
      <c r="J298" s="25"/>
      <c r="K298" s="25"/>
      <c r="L298" s="25"/>
      <c r="M298" s="25"/>
      <c r="N298" s="25"/>
      <c r="O298" s="5"/>
    </row>
    <row r="299" spans="1:15">
      <c r="A299" s="109">
        <v>167.09</v>
      </c>
      <c r="B299" s="109">
        <v>176.745</v>
      </c>
      <c r="C299" s="109">
        <v>148</v>
      </c>
      <c r="D299" s="109">
        <v>151.97999999999999</v>
      </c>
      <c r="E299" s="109">
        <v>2326977</v>
      </c>
      <c r="F299" s="109" t="s">
        <v>93</v>
      </c>
      <c r="G299" s="5">
        <f t="shared" si="3"/>
        <v>9.942097644426906E-2</v>
      </c>
      <c r="I299" s="25"/>
      <c r="J299" s="25"/>
      <c r="K299" s="25"/>
      <c r="L299" s="25"/>
      <c r="M299" s="25"/>
      <c r="N299" s="25"/>
      <c r="O299" s="5"/>
    </row>
    <row r="300" spans="1:15">
      <c r="A300" s="109">
        <v>173.09</v>
      </c>
      <c r="B300" s="109">
        <v>180.8</v>
      </c>
      <c r="C300" s="109">
        <v>171.66</v>
      </c>
      <c r="D300" s="109">
        <v>178.52</v>
      </c>
      <c r="E300" s="109">
        <v>921460</v>
      </c>
      <c r="F300" s="109" t="s">
        <v>92</v>
      </c>
      <c r="G300" s="5">
        <f t="shared" si="3"/>
        <v>-3.0416760026887757E-2</v>
      </c>
      <c r="I300" s="25"/>
      <c r="J300" s="25"/>
      <c r="K300" s="25"/>
      <c r="L300" s="25"/>
      <c r="M300" s="25"/>
      <c r="N300" s="25"/>
      <c r="O300" s="5"/>
    </row>
    <row r="301" spans="1:15">
      <c r="A301" s="109">
        <v>178.38</v>
      </c>
      <c r="B301" s="109">
        <v>181.75</v>
      </c>
      <c r="C301" s="109">
        <v>174.05</v>
      </c>
      <c r="D301" s="109">
        <v>180.94</v>
      </c>
      <c r="E301" s="109">
        <v>673391</v>
      </c>
      <c r="F301" s="109" t="s">
        <v>91</v>
      </c>
      <c r="G301" s="5">
        <f t="shared" si="3"/>
        <v>-1.4148336465126587E-2</v>
      </c>
      <c r="I301" s="25"/>
      <c r="J301" s="25"/>
      <c r="K301" s="25"/>
      <c r="L301" s="25"/>
      <c r="M301" s="25"/>
      <c r="N301" s="25"/>
      <c r="O301" s="5"/>
    </row>
    <row r="302" spans="1:15">
      <c r="A302" s="109">
        <v>178.43</v>
      </c>
      <c r="B302" s="109">
        <v>191.52500000000001</v>
      </c>
      <c r="C302" s="109">
        <v>176.66</v>
      </c>
      <c r="D302" s="109">
        <v>190.16</v>
      </c>
      <c r="E302" s="109">
        <v>552683</v>
      </c>
      <c r="F302" s="109" t="s">
        <v>90</v>
      </c>
      <c r="G302" s="5">
        <f t="shared" si="3"/>
        <v>-6.1684896928901889E-2</v>
      </c>
      <c r="I302" s="25"/>
      <c r="J302" s="25"/>
      <c r="K302" s="25"/>
      <c r="L302" s="25"/>
      <c r="M302" s="25"/>
      <c r="N302" s="25"/>
      <c r="O302" s="5"/>
    </row>
    <row r="303" spans="1:15">
      <c r="A303" s="109">
        <v>190.1</v>
      </c>
      <c r="B303" s="109">
        <v>196.16</v>
      </c>
      <c r="C303" s="109">
        <v>189.98</v>
      </c>
      <c r="D303" s="109">
        <v>191.49</v>
      </c>
      <c r="E303" s="109">
        <v>409808</v>
      </c>
      <c r="F303" s="109" t="s">
        <v>89</v>
      </c>
      <c r="G303" s="5">
        <f t="shared" si="3"/>
        <v>-7.2588646926733391E-3</v>
      </c>
      <c r="I303" s="25"/>
      <c r="J303" s="25"/>
      <c r="K303" s="25"/>
      <c r="L303" s="25"/>
      <c r="M303" s="25"/>
      <c r="N303" s="25"/>
      <c r="O303" s="5"/>
    </row>
    <row r="304" spans="1:15">
      <c r="A304" s="109">
        <v>193.22</v>
      </c>
      <c r="B304" s="109">
        <v>194.3</v>
      </c>
      <c r="C304" s="109">
        <v>187.66</v>
      </c>
      <c r="D304" s="109">
        <v>187.66</v>
      </c>
      <c r="E304" s="109">
        <v>344929</v>
      </c>
      <c r="F304" s="109" t="s">
        <v>88</v>
      </c>
      <c r="G304" s="5">
        <f t="shared" si="3"/>
        <v>2.9628050730043709E-2</v>
      </c>
      <c r="I304" s="25"/>
      <c r="J304" s="25"/>
      <c r="K304" s="25"/>
      <c r="L304" s="25"/>
      <c r="M304" s="25"/>
      <c r="N304" s="25"/>
      <c r="O304" s="5"/>
    </row>
    <row r="305" spans="1:15">
      <c r="A305" s="109">
        <v>188.3</v>
      </c>
      <c r="B305" s="109">
        <v>192.2</v>
      </c>
      <c r="C305" s="109">
        <v>188.24</v>
      </c>
      <c r="D305" s="109">
        <v>192.2</v>
      </c>
      <c r="E305" s="109">
        <v>383099</v>
      </c>
      <c r="F305" s="109" t="s">
        <v>87</v>
      </c>
      <c r="G305" s="5">
        <f t="shared" si="3"/>
        <v>-2.0291363163371323E-2</v>
      </c>
      <c r="I305" s="25"/>
      <c r="J305" s="25"/>
      <c r="K305" s="25"/>
      <c r="L305" s="25"/>
      <c r="M305" s="25"/>
      <c r="N305" s="25"/>
      <c r="O305" s="5"/>
    </row>
    <row r="306" spans="1:15">
      <c r="A306" s="109">
        <v>192.25</v>
      </c>
      <c r="B306" s="109">
        <v>192.48</v>
      </c>
      <c r="C306" s="109">
        <v>184.95</v>
      </c>
      <c r="D306" s="109">
        <v>190.95</v>
      </c>
      <c r="E306" s="109">
        <v>207586</v>
      </c>
      <c r="F306" s="109" t="s">
        <v>86</v>
      </c>
      <c r="G306" s="5">
        <f t="shared" ref="G306:G369" si="4">A306/D306-1</f>
        <v>6.8080649384656411E-3</v>
      </c>
      <c r="I306" s="25"/>
      <c r="J306" s="25"/>
      <c r="K306" s="25"/>
      <c r="L306" s="25"/>
      <c r="M306" s="25"/>
      <c r="N306" s="25"/>
      <c r="O306" s="5"/>
    </row>
    <row r="307" spans="1:15">
      <c r="A307" s="109">
        <v>189.87</v>
      </c>
      <c r="B307" s="109">
        <v>192.13</v>
      </c>
      <c r="C307" s="109">
        <v>187.285</v>
      </c>
      <c r="D307" s="109">
        <v>192.13</v>
      </c>
      <c r="E307" s="109">
        <v>182531</v>
      </c>
      <c r="F307" s="109" t="s">
        <v>85</v>
      </c>
      <c r="G307" s="5">
        <f t="shared" si="4"/>
        <v>-1.1762868890855094E-2</v>
      </c>
      <c r="I307" s="25"/>
      <c r="J307" s="25"/>
      <c r="K307" s="25"/>
      <c r="L307" s="25"/>
      <c r="M307" s="25"/>
      <c r="N307" s="25"/>
      <c r="O307" s="5"/>
    </row>
    <row r="308" spans="1:15">
      <c r="A308" s="109">
        <v>190.81</v>
      </c>
      <c r="B308" s="109">
        <v>204.29</v>
      </c>
      <c r="C308" s="109">
        <v>188.65</v>
      </c>
      <c r="D308" s="109">
        <v>202.34</v>
      </c>
      <c r="E308" s="109">
        <v>382245</v>
      </c>
      <c r="F308" s="109" t="s">
        <v>84</v>
      </c>
      <c r="G308" s="5">
        <f t="shared" si="4"/>
        <v>-5.6983295443313264E-2</v>
      </c>
      <c r="I308" s="25"/>
      <c r="J308" s="25"/>
      <c r="K308" s="25"/>
      <c r="L308" s="25"/>
      <c r="M308" s="25"/>
      <c r="N308" s="25"/>
      <c r="O308" s="5"/>
    </row>
    <row r="309" spans="1:15">
      <c r="A309" s="109">
        <v>203.22</v>
      </c>
      <c r="B309" s="109">
        <v>207.25</v>
      </c>
      <c r="C309" s="109">
        <v>193.3</v>
      </c>
      <c r="D309" s="109">
        <v>194.73</v>
      </c>
      <c r="E309" s="109">
        <v>672376</v>
      </c>
      <c r="F309" s="109" t="s">
        <v>83</v>
      </c>
      <c r="G309" s="5">
        <f t="shared" si="4"/>
        <v>4.3598829148051133E-2</v>
      </c>
      <c r="I309" s="25"/>
      <c r="J309" s="25"/>
      <c r="K309" s="25"/>
      <c r="L309" s="25"/>
      <c r="M309" s="25"/>
      <c r="N309" s="25"/>
      <c r="O309" s="5"/>
    </row>
    <row r="310" spans="1:15">
      <c r="A310" s="109">
        <v>196.75</v>
      </c>
      <c r="B310" s="109">
        <v>198.37</v>
      </c>
      <c r="C310" s="109">
        <v>190.88</v>
      </c>
      <c r="D310" s="109">
        <v>191.6</v>
      </c>
      <c r="E310" s="109">
        <v>455098</v>
      </c>
      <c r="F310" s="109" t="s">
        <v>82</v>
      </c>
      <c r="G310" s="5">
        <f t="shared" si="4"/>
        <v>2.6878914405010557E-2</v>
      </c>
      <c r="I310" s="25"/>
      <c r="J310" s="25"/>
      <c r="K310" s="25"/>
      <c r="L310" s="25"/>
      <c r="M310" s="25"/>
      <c r="N310" s="25"/>
      <c r="O310" s="5"/>
    </row>
    <row r="311" spans="1:15">
      <c r="A311" s="109">
        <v>191.68</v>
      </c>
      <c r="B311" s="109">
        <v>193.58</v>
      </c>
      <c r="C311" s="109">
        <v>188.35249999999999</v>
      </c>
      <c r="D311" s="109">
        <v>190.83</v>
      </c>
      <c r="E311" s="109">
        <v>449346</v>
      </c>
      <c r="F311" s="109" t="s">
        <v>81</v>
      </c>
      <c r="G311" s="5">
        <f t="shared" si="4"/>
        <v>4.454226274694717E-3</v>
      </c>
      <c r="I311" s="25"/>
      <c r="J311" s="25"/>
      <c r="K311" s="25"/>
      <c r="L311" s="25"/>
      <c r="M311" s="25"/>
      <c r="N311" s="25"/>
      <c r="O311" s="5"/>
    </row>
    <row r="312" spans="1:15">
      <c r="A312" s="109">
        <v>190.83</v>
      </c>
      <c r="B312" s="109">
        <v>194.58</v>
      </c>
      <c r="C312" s="109">
        <v>187.44</v>
      </c>
      <c r="D312" s="109">
        <v>187.44</v>
      </c>
      <c r="E312" s="109">
        <v>389981</v>
      </c>
      <c r="F312" s="109" t="s">
        <v>80</v>
      </c>
      <c r="G312" s="5">
        <f t="shared" si="4"/>
        <v>1.8085787451984636E-2</v>
      </c>
      <c r="I312" s="25"/>
      <c r="J312" s="25"/>
      <c r="K312" s="25"/>
      <c r="L312" s="25"/>
      <c r="M312" s="25"/>
      <c r="N312" s="25"/>
      <c r="O312" s="5"/>
    </row>
    <row r="313" spans="1:15">
      <c r="A313" s="109">
        <v>186.29</v>
      </c>
      <c r="B313" s="109">
        <v>186.68</v>
      </c>
      <c r="C313" s="109">
        <v>179.75</v>
      </c>
      <c r="D313" s="109">
        <v>181.02</v>
      </c>
      <c r="E313" s="109">
        <v>341402</v>
      </c>
      <c r="F313" s="109" t="s">
        <v>79</v>
      </c>
      <c r="G313" s="5">
        <f t="shared" si="4"/>
        <v>2.9112805214893234E-2</v>
      </c>
      <c r="I313" s="25"/>
      <c r="J313" s="25"/>
      <c r="K313" s="25"/>
      <c r="L313" s="25"/>
      <c r="M313" s="25"/>
      <c r="N313" s="25"/>
      <c r="O313" s="5"/>
    </row>
    <row r="314" spans="1:15">
      <c r="A314" s="109">
        <v>179.46</v>
      </c>
      <c r="B314" s="109">
        <v>179.69</v>
      </c>
      <c r="C314" s="109">
        <v>177.27</v>
      </c>
      <c r="D314" s="109">
        <v>178.83</v>
      </c>
      <c r="E314" s="109">
        <v>315721</v>
      </c>
      <c r="F314" s="109" t="s">
        <v>78</v>
      </c>
      <c r="G314" s="5">
        <f t="shared" si="4"/>
        <v>3.5228988424760299E-3</v>
      </c>
      <c r="I314" s="25"/>
      <c r="J314" s="25"/>
      <c r="K314" s="25"/>
      <c r="L314" s="25"/>
      <c r="M314" s="25"/>
      <c r="N314" s="25"/>
      <c r="O314" s="5"/>
    </row>
    <row r="315" spans="1:15">
      <c r="A315" s="109">
        <v>177.99</v>
      </c>
      <c r="B315" s="109">
        <v>180.07499999999999</v>
      </c>
      <c r="C315" s="109">
        <v>174.5</v>
      </c>
      <c r="D315" s="109">
        <v>179.37</v>
      </c>
      <c r="E315" s="109">
        <v>276994</v>
      </c>
      <c r="F315" s="109" t="s">
        <v>77</v>
      </c>
      <c r="G315" s="5">
        <f t="shared" si="4"/>
        <v>-7.6935942465294893E-3</v>
      </c>
      <c r="I315" s="25"/>
      <c r="J315" s="25"/>
      <c r="K315" s="25"/>
      <c r="L315" s="25"/>
      <c r="M315" s="25"/>
      <c r="N315" s="25"/>
      <c r="O315" s="5"/>
    </row>
    <row r="316" spans="1:15">
      <c r="A316" s="109">
        <v>179.27</v>
      </c>
      <c r="B316" s="109">
        <v>183.32</v>
      </c>
      <c r="C316" s="109">
        <v>179.19</v>
      </c>
      <c r="D316" s="109">
        <v>181.14</v>
      </c>
      <c r="E316" s="109">
        <v>323643</v>
      </c>
      <c r="F316" s="109" t="s">
        <v>76</v>
      </c>
      <c r="G316" s="5">
        <f t="shared" si="4"/>
        <v>-1.0323506679915995E-2</v>
      </c>
      <c r="I316" s="25"/>
      <c r="J316" s="25"/>
      <c r="K316" s="25"/>
      <c r="L316" s="25"/>
      <c r="M316" s="25"/>
      <c r="N316" s="25"/>
      <c r="O316" s="5"/>
    </row>
    <row r="317" spans="1:15">
      <c r="A317" s="109">
        <v>181.09</v>
      </c>
      <c r="B317" s="109">
        <v>181.31</v>
      </c>
      <c r="C317" s="109">
        <v>176.79</v>
      </c>
      <c r="D317" s="109">
        <v>178.19</v>
      </c>
      <c r="E317" s="109">
        <v>183884</v>
      </c>
      <c r="F317" s="109" t="s">
        <v>75</v>
      </c>
      <c r="G317" s="5">
        <f t="shared" si="4"/>
        <v>1.6274762893540684E-2</v>
      </c>
      <c r="I317" s="25"/>
      <c r="J317" s="25"/>
      <c r="K317" s="25"/>
      <c r="L317" s="25"/>
      <c r="M317" s="25"/>
      <c r="N317" s="25"/>
      <c r="O317" s="5"/>
    </row>
    <row r="318" spans="1:15">
      <c r="A318" s="109">
        <v>177.42</v>
      </c>
      <c r="B318" s="109">
        <v>178.21</v>
      </c>
      <c r="C318" s="109">
        <v>175.1</v>
      </c>
      <c r="D318" s="109">
        <v>176.32</v>
      </c>
      <c r="E318" s="109">
        <v>130530</v>
      </c>
      <c r="F318" s="109" t="s">
        <v>74</v>
      </c>
      <c r="G318" s="5">
        <f t="shared" si="4"/>
        <v>6.2386569872958653E-3</v>
      </c>
      <c r="I318" s="25"/>
      <c r="J318" s="25"/>
      <c r="K318" s="25"/>
      <c r="L318" s="25"/>
      <c r="M318" s="25"/>
      <c r="N318" s="25"/>
      <c r="O318" s="5"/>
    </row>
    <row r="319" spans="1:15">
      <c r="A319" s="109">
        <v>175.99</v>
      </c>
      <c r="B319" s="109">
        <v>179.51</v>
      </c>
      <c r="C319" s="109">
        <v>174.5</v>
      </c>
      <c r="D319" s="109">
        <v>177.97</v>
      </c>
      <c r="E319" s="109">
        <v>185703</v>
      </c>
      <c r="F319" s="109" t="s">
        <v>73</v>
      </c>
      <c r="G319" s="5">
        <f t="shared" si="4"/>
        <v>-1.1125470584929964E-2</v>
      </c>
      <c r="I319" s="25"/>
      <c r="J319" s="25"/>
      <c r="K319" s="25"/>
      <c r="L319" s="25"/>
      <c r="M319" s="25"/>
      <c r="N319" s="25"/>
      <c r="O319" s="5"/>
    </row>
    <row r="320" spans="1:15">
      <c r="A320" s="109">
        <v>177.09</v>
      </c>
      <c r="B320" s="109">
        <v>181.25</v>
      </c>
      <c r="C320" s="109">
        <v>174.69</v>
      </c>
      <c r="D320" s="109">
        <v>179.99</v>
      </c>
      <c r="E320" s="109">
        <v>349594</v>
      </c>
      <c r="F320" s="109" t="s">
        <v>72</v>
      </c>
      <c r="G320" s="5">
        <f t="shared" si="4"/>
        <v>-1.6112006222567921E-2</v>
      </c>
      <c r="I320" s="25"/>
      <c r="J320" s="25"/>
      <c r="K320" s="25"/>
      <c r="L320" s="25"/>
      <c r="M320" s="25"/>
      <c r="N320" s="25"/>
      <c r="O320" s="5"/>
    </row>
    <row r="321" spans="1:15">
      <c r="A321" s="109">
        <v>179.97</v>
      </c>
      <c r="B321" s="109">
        <v>181.28989999999999</v>
      </c>
      <c r="C321" s="109">
        <v>173.815</v>
      </c>
      <c r="D321" s="109">
        <v>176.16</v>
      </c>
      <c r="E321" s="109">
        <v>750545</v>
      </c>
      <c r="F321" s="109" t="s">
        <v>71</v>
      </c>
      <c r="G321" s="5">
        <f t="shared" si="4"/>
        <v>2.1628065395095319E-2</v>
      </c>
      <c r="I321" s="25"/>
      <c r="J321" s="25"/>
      <c r="K321" s="25"/>
      <c r="L321" s="25"/>
      <c r="M321" s="25"/>
      <c r="N321" s="25"/>
      <c r="O321" s="5"/>
    </row>
    <row r="322" spans="1:15">
      <c r="A322" s="109">
        <v>174.9</v>
      </c>
      <c r="B322" s="109">
        <v>175.08</v>
      </c>
      <c r="C322" s="109">
        <v>171.77</v>
      </c>
      <c r="D322" s="109">
        <v>174.25</v>
      </c>
      <c r="E322" s="109">
        <v>339167</v>
      </c>
      <c r="F322" s="109" t="s">
        <v>70</v>
      </c>
      <c r="G322" s="5">
        <f t="shared" si="4"/>
        <v>3.7302725968435535E-3</v>
      </c>
      <c r="I322" s="25"/>
      <c r="J322" s="25"/>
      <c r="K322" s="25"/>
      <c r="L322" s="25"/>
      <c r="M322" s="25"/>
      <c r="N322" s="25"/>
      <c r="O322" s="5"/>
    </row>
    <row r="323" spans="1:15">
      <c r="A323" s="109">
        <v>174.82</v>
      </c>
      <c r="B323" s="109">
        <v>175.25</v>
      </c>
      <c r="C323" s="109">
        <v>171.11</v>
      </c>
      <c r="D323" s="109">
        <v>171.77</v>
      </c>
      <c r="E323" s="109">
        <v>194761</v>
      </c>
      <c r="F323" s="109" t="s">
        <v>69</v>
      </c>
      <c r="G323" s="5">
        <f t="shared" si="4"/>
        <v>1.7756302031786575E-2</v>
      </c>
      <c r="I323" s="25"/>
      <c r="J323" s="25"/>
      <c r="K323" s="25"/>
      <c r="L323" s="25"/>
      <c r="M323" s="25"/>
      <c r="N323" s="25"/>
      <c r="O323" s="5"/>
    </row>
    <row r="324" spans="1:15">
      <c r="A324" s="109">
        <v>172.27</v>
      </c>
      <c r="B324" s="109">
        <v>175.55500000000001</v>
      </c>
      <c r="C324" s="109">
        <v>172.15</v>
      </c>
      <c r="D324" s="109">
        <v>174.62</v>
      </c>
      <c r="E324" s="109">
        <v>320248</v>
      </c>
      <c r="F324" s="109" t="s">
        <v>68</v>
      </c>
      <c r="G324" s="5">
        <f t="shared" si="4"/>
        <v>-1.3457794067117113E-2</v>
      </c>
      <c r="I324" s="25"/>
      <c r="J324" s="25"/>
      <c r="K324" s="25"/>
      <c r="L324" s="25"/>
      <c r="M324" s="25"/>
      <c r="N324" s="25"/>
      <c r="O324" s="5"/>
    </row>
    <row r="325" spans="1:15">
      <c r="A325" s="109">
        <v>174.4</v>
      </c>
      <c r="B325" s="109">
        <v>178.68</v>
      </c>
      <c r="C325" s="109">
        <v>174.04</v>
      </c>
      <c r="D325" s="109">
        <v>178</v>
      </c>
      <c r="E325" s="109">
        <v>358709</v>
      </c>
      <c r="F325" s="109" t="s">
        <v>67</v>
      </c>
      <c r="G325" s="5">
        <f t="shared" si="4"/>
        <v>-2.0224719101123556E-2</v>
      </c>
      <c r="I325" s="25"/>
      <c r="J325" s="25"/>
      <c r="K325" s="25"/>
      <c r="L325" s="25"/>
      <c r="M325" s="25"/>
      <c r="N325" s="25"/>
      <c r="O325" s="5"/>
    </row>
    <row r="326" spans="1:15">
      <c r="A326" s="109">
        <v>178.56</v>
      </c>
      <c r="B326" s="109">
        <v>180.48</v>
      </c>
      <c r="C326" s="109">
        <v>175.96</v>
      </c>
      <c r="D326" s="109">
        <v>176.75</v>
      </c>
      <c r="E326" s="109">
        <v>516399</v>
      </c>
      <c r="F326" s="109" t="s">
        <v>66</v>
      </c>
      <c r="G326" s="5">
        <f t="shared" si="4"/>
        <v>1.0240452616690154E-2</v>
      </c>
      <c r="I326" s="25"/>
      <c r="J326" s="25"/>
      <c r="K326" s="25"/>
      <c r="L326" s="25"/>
      <c r="M326" s="25"/>
      <c r="N326" s="25"/>
      <c r="O326" s="5"/>
    </row>
    <row r="327" spans="1:15">
      <c r="A327" s="109">
        <v>175.45</v>
      </c>
      <c r="B327" s="109">
        <v>176.67</v>
      </c>
      <c r="C327" s="109">
        <v>170.59</v>
      </c>
      <c r="D327" s="109">
        <v>176.02</v>
      </c>
      <c r="E327" s="109">
        <v>561509</v>
      </c>
      <c r="F327" s="109" t="s">
        <v>65</v>
      </c>
      <c r="G327" s="5">
        <f t="shared" si="4"/>
        <v>-3.238268378593423E-3</v>
      </c>
      <c r="I327" s="25"/>
      <c r="J327" s="25"/>
      <c r="K327" s="25"/>
      <c r="L327" s="25"/>
      <c r="M327" s="25"/>
      <c r="N327" s="25"/>
      <c r="O327" s="5"/>
    </row>
    <row r="328" spans="1:15">
      <c r="A328" s="109">
        <v>176.03</v>
      </c>
      <c r="B328" s="109">
        <v>186.74</v>
      </c>
      <c r="C328" s="109">
        <v>175.03</v>
      </c>
      <c r="D328" s="109">
        <v>185.93</v>
      </c>
      <c r="E328" s="109">
        <v>469421</v>
      </c>
      <c r="F328" s="109" t="s">
        <v>64</v>
      </c>
      <c r="G328" s="5">
        <f t="shared" si="4"/>
        <v>-5.3245845210563192E-2</v>
      </c>
      <c r="I328" s="25"/>
      <c r="J328" s="25"/>
      <c r="K328" s="25"/>
      <c r="L328" s="25"/>
      <c r="M328" s="25"/>
      <c r="N328" s="25"/>
      <c r="O328" s="5"/>
    </row>
    <row r="329" spans="1:15">
      <c r="A329" s="109">
        <v>187.32</v>
      </c>
      <c r="B329" s="109">
        <v>187.96</v>
      </c>
      <c r="C329" s="109">
        <v>182.67</v>
      </c>
      <c r="D329" s="109">
        <v>184.72</v>
      </c>
      <c r="E329" s="109">
        <v>265474</v>
      </c>
      <c r="F329" s="109" t="s">
        <v>63</v>
      </c>
      <c r="G329" s="5">
        <f t="shared" si="4"/>
        <v>1.4075357297531399E-2</v>
      </c>
      <c r="I329" s="25"/>
      <c r="J329" s="25"/>
      <c r="K329" s="25"/>
      <c r="L329" s="25"/>
      <c r="M329" s="25"/>
      <c r="N329" s="25"/>
      <c r="O329" s="5"/>
    </row>
    <row r="330" spans="1:15">
      <c r="A330" s="109">
        <v>187.78</v>
      </c>
      <c r="B330" s="109">
        <v>188.47</v>
      </c>
      <c r="C330" s="109">
        <v>185.095</v>
      </c>
      <c r="D330" s="109">
        <v>187.47</v>
      </c>
      <c r="E330" s="109">
        <v>203456</v>
      </c>
      <c r="F330" s="109" t="s">
        <v>62</v>
      </c>
      <c r="G330" s="5">
        <f t="shared" si="4"/>
        <v>1.6535979089988828E-3</v>
      </c>
      <c r="I330" s="25"/>
      <c r="J330" s="25"/>
      <c r="K330" s="25"/>
      <c r="L330" s="25"/>
      <c r="M330" s="25"/>
      <c r="N330" s="25"/>
      <c r="O330" s="5"/>
    </row>
    <row r="331" spans="1:15">
      <c r="A331" s="109">
        <v>188</v>
      </c>
      <c r="B331" s="109">
        <v>192.02500000000001</v>
      </c>
      <c r="C331" s="109">
        <v>186.61</v>
      </c>
      <c r="D331" s="109">
        <v>191.39</v>
      </c>
      <c r="E331" s="109">
        <v>268585</v>
      </c>
      <c r="F331" s="109" t="s">
        <v>61</v>
      </c>
      <c r="G331" s="5">
        <f t="shared" si="4"/>
        <v>-1.7712524165316768E-2</v>
      </c>
      <c r="I331" s="25"/>
      <c r="J331" s="25"/>
      <c r="K331" s="25"/>
      <c r="L331" s="25"/>
      <c r="M331" s="25"/>
      <c r="N331" s="25"/>
      <c r="O331" s="5"/>
    </row>
    <row r="332" spans="1:15">
      <c r="A332" s="109">
        <v>191.77</v>
      </c>
      <c r="B332" s="109">
        <v>198.48</v>
      </c>
      <c r="C332" s="109">
        <v>189.15</v>
      </c>
      <c r="D332" s="109">
        <v>193.54</v>
      </c>
      <c r="E332" s="109">
        <v>367221</v>
      </c>
      <c r="F332" s="109" t="s">
        <v>60</v>
      </c>
      <c r="G332" s="5">
        <f t="shared" si="4"/>
        <v>-9.1453963005062588E-3</v>
      </c>
      <c r="I332" s="25"/>
      <c r="J332" s="25"/>
      <c r="K332" s="25"/>
      <c r="L332" s="25"/>
      <c r="M332" s="25"/>
      <c r="N332" s="25"/>
      <c r="O332" s="5"/>
    </row>
    <row r="333" spans="1:15">
      <c r="A333" s="109">
        <v>189.94</v>
      </c>
      <c r="B333" s="109">
        <v>191.05</v>
      </c>
      <c r="C333" s="109">
        <v>185.02</v>
      </c>
      <c r="D333" s="109">
        <v>187.72</v>
      </c>
      <c r="E333" s="109">
        <v>295989</v>
      </c>
      <c r="F333" s="109" t="s">
        <v>59</v>
      </c>
      <c r="G333" s="5">
        <f t="shared" si="4"/>
        <v>1.1826124014489681E-2</v>
      </c>
      <c r="I333" s="25"/>
      <c r="J333" s="25"/>
      <c r="K333" s="25"/>
      <c r="L333" s="25"/>
      <c r="M333" s="25"/>
      <c r="N333" s="25"/>
      <c r="O333" s="5"/>
    </row>
    <row r="334" spans="1:15">
      <c r="A334" s="109">
        <v>188.06</v>
      </c>
      <c r="B334" s="109">
        <v>192.315</v>
      </c>
      <c r="C334" s="109">
        <v>184.1</v>
      </c>
      <c r="D334" s="109">
        <v>187.33</v>
      </c>
      <c r="E334" s="109">
        <v>515041</v>
      </c>
      <c r="F334" s="109" t="s">
        <v>58</v>
      </c>
      <c r="G334" s="5">
        <f t="shared" si="4"/>
        <v>3.8968664922862661E-3</v>
      </c>
      <c r="I334" s="25"/>
      <c r="J334" s="25"/>
      <c r="K334" s="25"/>
      <c r="L334" s="25"/>
      <c r="M334" s="25"/>
      <c r="N334" s="25"/>
      <c r="O334" s="5"/>
    </row>
    <row r="335" spans="1:15">
      <c r="A335" s="109">
        <v>188.95</v>
      </c>
      <c r="B335" s="109">
        <v>194.97</v>
      </c>
      <c r="C335" s="109">
        <v>187.06</v>
      </c>
      <c r="D335" s="109">
        <v>194.97</v>
      </c>
      <c r="E335" s="109">
        <v>584448</v>
      </c>
      <c r="F335" s="109" t="s">
        <v>57</v>
      </c>
      <c r="G335" s="5">
        <f t="shared" si="4"/>
        <v>-3.0876545109504105E-2</v>
      </c>
      <c r="I335" s="25"/>
      <c r="J335" s="25"/>
      <c r="K335" s="25"/>
      <c r="L335" s="25"/>
      <c r="M335" s="25"/>
      <c r="N335" s="25"/>
      <c r="O335" s="5"/>
    </row>
    <row r="336" spans="1:15">
      <c r="A336" s="109">
        <v>196.41</v>
      </c>
      <c r="B336" s="109">
        <v>198.61</v>
      </c>
      <c r="C336" s="109">
        <v>191.59</v>
      </c>
      <c r="D336" s="109">
        <v>192.47</v>
      </c>
      <c r="E336" s="109">
        <v>547231</v>
      </c>
      <c r="F336" s="109" t="s">
        <v>56</v>
      </c>
      <c r="G336" s="5">
        <f t="shared" si="4"/>
        <v>2.0470722710032696E-2</v>
      </c>
      <c r="I336" s="25"/>
      <c r="J336" s="25"/>
      <c r="K336" s="25"/>
      <c r="L336" s="25"/>
      <c r="M336" s="25"/>
      <c r="N336" s="25"/>
      <c r="O336" s="5"/>
    </row>
    <row r="337" spans="1:15">
      <c r="A337" s="109">
        <v>193.29</v>
      </c>
      <c r="B337" s="109">
        <v>195.39619999999999</v>
      </c>
      <c r="C337" s="109">
        <v>191.46</v>
      </c>
      <c r="D337" s="109">
        <v>191.46</v>
      </c>
      <c r="E337" s="109">
        <v>279781</v>
      </c>
      <c r="F337" s="109" t="s">
        <v>55</v>
      </c>
      <c r="G337" s="5">
        <f t="shared" si="4"/>
        <v>9.5581322469444618E-3</v>
      </c>
      <c r="I337" s="25"/>
      <c r="J337" s="25"/>
      <c r="K337" s="25"/>
      <c r="L337" s="25"/>
      <c r="M337" s="25"/>
      <c r="N337" s="25"/>
      <c r="O337" s="5"/>
    </row>
    <row r="338" spans="1:15">
      <c r="A338" s="109">
        <v>190.86</v>
      </c>
      <c r="B338" s="109">
        <v>193.38</v>
      </c>
      <c r="C338" s="109">
        <v>188</v>
      </c>
      <c r="D338" s="109">
        <v>188</v>
      </c>
      <c r="E338" s="109">
        <v>305841</v>
      </c>
      <c r="F338" s="109" t="s">
        <v>54</v>
      </c>
      <c r="G338" s="5">
        <f t="shared" si="4"/>
        <v>1.5212765957446805E-2</v>
      </c>
      <c r="I338" s="25"/>
      <c r="J338" s="25"/>
      <c r="K338" s="25"/>
      <c r="L338" s="25"/>
      <c r="M338" s="25"/>
      <c r="N338" s="25"/>
      <c r="O338" s="5"/>
    </row>
    <row r="339" spans="1:15">
      <c r="A339" s="109">
        <v>188.04</v>
      </c>
      <c r="B339" s="109">
        <v>192.47</v>
      </c>
      <c r="C339" s="109">
        <v>186.83</v>
      </c>
      <c r="D339" s="109">
        <v>190.38</v>
      </c>
      <c r="E339" s="109">
        <v>285215</v>
      </c>
      <c r="F339" s="109" t="s">
        <v>53</v>
      </c>
      <c r="G339" s="5">
        <f t="shared" si="4"/>
        <v>-1.2291207059565101E-2</v>
      </c>
      <c r="I339" s="25"/>
      <c r="J339" s="25"/>
      <c r="K339" s="25"/>
      <c r="L339" s="25"/>
      <c r="M339" s="25"/>
      <c r="N339" s="25"/>
      <c r="O339" s="5"/>
    </row>
    <row r="340" spans="1:15">
      <c r="A340" s="109">
        <v>189.47</v>
      </c>
      <c r="B340" s="109">
        <v>191.17</v>
      </c>
      <c r="C340" s="109">
        <v>187</v>
      </c>
      <c r="D340" s="109">
        <v>188.55</v>
      </c>
      <c r="E340" s="109">
        <v>435845</v>
      </c>
      <c r="F340" s="109" t="s">
        <v>52</v>
      </c>
      <c r="G340" s="5">
        <f t="shared" si="4"/>
        <v>4.8793423495092636E-3</v>
      </c>
      <c r="I340" s="25"/>
      <c r="J340" s="25"/>
      <c r="K340" s="25"/>
      <c r="L340" s="25"/>
      <c r="M340" s="25"/>
      <c r="N340" s="25"/>
      <c r="O340" s="5"/>
    </row>
    <row r="341" spans="1:15">
      <c r="A341" s="109">
        <v>188.01</v>
      </c>
      <c r="B341" s="109">
        <v>192.07</v>
      </c>
      <c r="C341" s="109">
        <v>185.12</v>
      </c>
      <c r="D341" s="109">
        <v>190.18</v>
      </c>
      <c r="E341" s="109">
        <v>512191</v>
      </c>
      <c r="F341" s="109" t="s">
        <v>51</v>
      </c>
      <c r="G341" s="5">
        <f t="shared" si="4"/>
        <v>-1.1410242927752723E-2</v>
      </c>
      <c r="I341" s="25"/>
      <c r="J341" s="25"/>
      <c r="K341" s="25"/>
      <c r="L341" s="25"/>
      <c r="M341" s="25"/>
      <c r="N341" s="25"/>
      <c r="O341" s="5"/>
    </row>
    <row r="342" spans="1:15">
      <c r="A342" s="109">
        <v>191.34</v>
      </c>
      <c r="B342" s="109">
        <v>193.18</v>
      </c>
      <c r="C342" s="109">
        <v>189.52500000000001</v>
      </c>
      <c r="D342" s="109">
        <v>190.51</v>
      </c>
      <c r="E342" s="109">
        <v>211101</v>
      </c>
      <c r="F342" s="109" t="s">
        <v>50</v>
      </c>
      <c r="G342" s="5">
        <f t="shared" si="4"/>
        <v>4.356726681014278E-3</v>
      </c>
      <c r="I342" s="25"/>
      <c r="J342" s="25"/>
      <c r="K342" s="25"/>
      <c r="L342" s="25"/>
      <c r="M342" s="25"/>
      <c r="N342" s="25"/>
      <c r="O342" s="5"/>
    </row>
    <row r="343" spans="1:15">
      <c r="A343" s="109">
        <v>192.81</v>
      </c>
      <c r="B343" s="109">
        <v>194.12</v>
      </c>
      <c r="C343" s="109">
        <v>191.155</v>
      </c>
      <c r="D343" s="109">
        <v>193.65</v>
      </c>
      <c r="E343" s="109">
        <v>230879</v>
      </c>
      <c r="F343" s="109" t="s">
        <v>49</v>
      </c>
      <c r="G343" s="5">
        <f t="shared" si="4"/>
        <v>-4.3377226955848558E-3</v>
      </c>
      <c r="I343" s="25"/>
      <c r="J343" s="25"/>
      <c r="K343" s="25"/>
      <c r="L343" s="25"/>
      <c r="M343" s="25"/>
      <c r="N343" s="25"/>
      <c r="O343" s="5"/>
    </row>
    <row r="344" spans="1:15">
      <c r="A344" s="109">
        <v>193.66</v>
      </c>
      <c r="B344" s="109">
        <v>196.25</v>
      </c>
      <c r="C344" s="109">
        <v>190.96</v>
      </c>
      <c r="D344" s="109">
        <v>190.96</v>
      </c>
      <c r="E344" s="109">
        <v>193348</v>
      </c>
      <c r="F344" s="109" t="s">
        <v>48</v>
      </c>
      <c r="G344" s="5">
        <f t="shared" si="4"/>
        <v>1.4139086719731742E-2</v>
      </c>
      <c r="I344" s="25"/>
      <c r="J344" s="25"/>
      <c r="K344" s="25"/>
      <c r="L344" s="25"/>
      <c r="M344" s="25"/>
      <c r="N344" s="25"/>
      <c r="O344" s="5"/>
    </row>
    <row r="345" spans="1:15">
      <c r="A345" s="109">
        <v>190.69</v>
      </c>
      <c r="B345" s="109">
        <v>199.68690000000001</v>
      </c>
      <c r="C345" s="109">
        <v>190.58</v>
      </c>
      <c r="D345" s="109">
        <v>198.5</v>
      </c>
      <c r="E345" s="109">
        <v>247586</v>
      </c>
      <c r="F345" s="109" t="s">
        <v>47</v>
      </c>
      <c r="G345" s="5">
        <f t="shared" si="4"/>
        <v>-3.9345088161209074E-2</v>
      </c>
      <c r="I345" s="25"/>
      <c r="J345" s="25"/>
      <c r="K345" s="25"/>
      <c r="L345" s="25"/>
      <c r="M345" s="25"/>
      <c r="N345" s="25"/>
      <c r="O345" s="5"/>
    </row>
    <row r="346" spans="1:15">
      <c r="A346" s="109">
        <v>198.97</v>
      </c>
      <c r="B346" s="109">
        <v>201.37</v>
      </c>
      <c r="C346" s="109">
        <v>198.82</v>
      </c>
      <c r="D346" s="109">
        <v>199.97</v>
      </c>
      <c r="E346" s="109">
        <v>170699</v>
      </c>
      <c r="F346" s="109" t="s">
        <v>46</v>
      </c>
      <c r="G346" s="5">
        <f t="shared" si="4"/>
        <v>-5.000750112516883E-3</v>
      </c>
      <c r="I346" s="25"/>
      <c r="J346" s="25"/>
      <c r="K346" s="25"/>
      <c r="L346" s="25"/>
      <c r="M346" s="25"/>
      <c r="N346" s="25"/>
      <c r="O346" s="5"/>
    </row>
    <row r="347" spans="1:15">
      <c r="A347" s="109">
        <v>200.23</v>
      </c>
      <c r="B347" s="109">
        <v>201.15</v>
      </c>
      <c r="C347" s="109">
        <v>198.47</v>
      </c>
      <c r="D347" s="109">
        <v>200.68</v>
      </c>
      <c r="E347" s="109">
        <v>166696</v>
      </c>
      <c r="F347" s="109" t="s">
        <v>45</v>
      </c>
      <c r="G347" s="5">
        <f t="shared" si="4"/>
        <v>-2.2423759218657136E-3</v>
      </c>
      <c r="I347" s="25"/>
      <c r="J347" s="25"/>
      <c r="K347" s="25"/>
      <c r="L347" s="25"/>
      <c r="M347" s="25"/>
      <c r="N347" s="25"/>
      <c r="O347" s="5"/>
    </row>
    <row r="348" spans="1:15">
      <c r="A348" s="109">
        <v>201.44</v>
      </c>
      <c r="B348" s="109">
        <v>204.12</v>
      </c>
      <c r="C348" s="109">
        <v>199.6</v>
      </c>
      <c r="D348" s="109">
        <v>203.54</v>
      </c>
      <c r="E348" s="109">
        <v>166823</v>
      </c>
      <c r="F348" s="109" t="s">
        <v>44</v>
      </c>
      <c r="G348" s="5">
        <f t="shared" si="4"/>
        <v>-1.0317382332710956E-2</v>
      </c>
      <c r="I348" s="25"/>
      <c r="J348" s="25"/>
      <c r="K348" s="25"/>
      <c r="L348" s="25"/>
      <c r="M348" s="25"/>
      <c r="N348" s="25"/>
      <c r="O348" s="5"/>
    </row>
    <row r="349" spans="1:15">
      <c r="A349" s="109">
        <v>203.53</v>
      </c>
      <c r="B349" s="109">
        <v>204.09</v>
      </c>
      <c r="C349" s="109">
        <v>200.69</v>
      </c>
      <c r="D349" s="109">
        <v>201.5</v>
      </c>
      <c r="E349" s="109">
        <v>220680</v>
      </c>
      <c r="F349" s="109" t="s">
        <v>43</v>
      </c>
      <c r="G349" s="5">
        <f t="shared" si="4"/>
        <v>1.0074441687344837E-2</v>
      </c>
      <c r="I349" s="25"/>
      <c r="J349" s="25"/>
      <c r="K349" s="25"/>
      <c r="L349" s="25"/>
      <c r="M349" s="25"/>
      <c r="N349" s="25"/>
      <c r="O349" s="5"/>
    </row>
    <row r="350" spans="1:15">
      <c r="A350" s="109">
        <v>201.53</v>
      </c>
      <c r="B350" s="109">
        <v>204.81</v>
      </c>
      <c r="C350" s="109">
        <v>200.96</v>
      </c>
      <c r="D350" s="109">
        <v>204.4</v>
      </c>
      <c r="E350" s="109">
        <v>273269</v>
      </c>
      <c r="F350" s="109" t="s">
        <v>42</v>
      </c>
      <c r="G350" s="5">
        <f t="shared" si="4"/>
        <v>-1.4041095890411026E-2</v>
      </c>
      <c r="I350" s="25"/>
      <c r="J350" s="25"/>
      <c r="K350" s="25"/>
      <c r="L350" s="25"/>
      <c r="M350" s="25"/>
      <c r="N350" s="25"/>
      <c r="O350" s="5"/>
    </row>
    <row r="351" spans="1:15">
      <c r="A351" s="109">
        <v>204.7</v>
      </c>
      <c r="B351" s="109">
        <v>211.07</v>
      </c>
      <c r="C351" s="109">
        <v>203.95</v>
      </c>
      <c r="D351" s="109">
        <v>211.07</v>
      </c>
      <c r="E351" s="109">
        <v>295161</v>
      </c>
      <c r="F351" s="109" t="s">
        <v>41</v>
      </c>
      <c r="G351" s="5">
        <f t="shared" si="4"/>
        <v>-3.0179561282986711E-2</v>
      </c>
      <c r="I351" s="25"/>
      <c r="J351" s="25"/>
      <c r="K351" s="25"/>
      <c r="L351" s="25"/>
      <c r="M351" s="25"/>
      <c r="N351" s="25"/>
      <c r="O351" s="5"/>
    </row>
    <row r="352" spans="1:15">
      <c r="A352" s="109">
        <v>208.73</v>
      </c>
      <c r="B352" s="109">
        <v>211.85</v>
      </c>
      <c r="C352" s="109">
        <v>206.2012</v>
      </c>
      <c r="D352" s="109">
        <v>206.28</v>
      </c>
      <c r="E352" s="109">
        <v>188996</v>
      </c>
      <c r="F352" s="109" t="s">
        <v>40</v>
      </c>
      <c r="G352" s="5">
        <f t="shared" si="4"/>
        <v>1.1877060306379583E-2</v>
      </c>
      <c r="I352" s="25"/>
      <c r="J352" s="25"/>
      <c r="K352" s="25"/>
      <c r="L352" s="25"/>
      <c r="M352" s="25"/>
      <c r="N352" s="25"/>
      <c r="O352" s="5"/>
    </row>
    <row r="353" spans="1:15">
      <c r="A353" s="109">
        <v>204.77</v>
      </c>
      <c r="B353" s="109">
        <v>214.97</v>
      </c>
      <c r="C353" s="109">
        <v>204.36500000000001</v>
      </c>
      <c r="D353" s="109">
        <v>213.1</v>
      </c>
      <c r="E353" s="109">
        <v>218417</v>
      </c>
      <c r="F353" s="109" t="s">
        <v>39</v>
      </c>
      <c r="G353" s="5">
        <f t="shared" si="4"/>
        <v>-3.9089629282027194E-2</v>
      </c>
      <c r="I353" s="25"/>
      <c r="J353" s="25"/>
      <c r="K353" s="25"/>
      <c r="L353" s="25"/>
      <c r="M353" s="25"/>
      <c r="N353" s="25"/>
      <c r="O353" s="5"/>
    </row>
    <row r="354" spans="1:15">
      <c r="A354" s="109">
        <v>212.28</v>
      </c>
      <c r="B354" s="109">
        <v>213.035</v>
      </c>
      <c r="C354" s="109">
        <v>206.57</v>
      </c>
      <c r="D354" s="109">
        <v>209.83</v>
      </c>
      <c r="E354" s="109">
        <v>335546</v>
      </c>
      <c r="F354" s="109" t="s">
        <v>38</v>
      </c>
      <c r="G354" s="5">
        <f t="shared" si="4"/>
        <v>1.167611876280783E-2</v>
      </c>
      <c r="I354" s="25"/>
      <c r="J354" s="25"/>
      <c r="K354" s="25"/>
      <c r="L354" s="25"/>
      <c r="M354" s="25"/>
      <c r="N354" s="25"/>
      <c r="O354" s="5"/>
    </row>
    <row r="355" spans="1:15">
      <c r="A355" s="109">
        <v>209.4</v>
      </c>
      <c r="B355" s="109">
        <v>210.77</v>
      </c>
      <c r="C355" s="109">
        <v>202.76</v>
      </c>
      <c r="D355" s="109">
        <v>204.02</v>
      </c>
      <c r="E355" s="109">
        <v>380712</v>
      </c>
      <c r="F355" s="109" t="s">
        <v>37</v>
      </c>
      <c r="G355" s="5">
        <f t="shared" si="4"/>
        <v>2.6369963729046209E-2</v>
      </c>
      <c r="I355" s="25"/>
      <c r="J355" s="25"/>
      <c r="K355" s="25"/>
      <c r="L355" s="25"/>
      <c r="M355" s="25"/>
      <c r="N355" s="25"/>
      <c r="O355" s="5"/>
    </row>
    <row r="356" spans="1:15">
      <c r="A356" s="109">
        <v>203.09</v>
      </c>
      <c r="B356" s="109">
        <v>220.4075</v>
      </c>
      <c r="C356" s="109">
        <v>199.54</v>
      </c>
      <c r="D356" s="109">
        <v>205.91</v>
      </c>
      <c r="E356" s="109">
        <v>918833</v>
      </c>
      <c r="F356" s="109" t="s">
        <v>36</v>
      </c>
      <c r="G356" s="5">
        <f t="shared" si="4"/>
        <v>-1.3695303773493261E-2</v>
      </c>
      <c r="I356" s="25"/>
      <c r="J356" s="25"/>
      <c r="K356" s="25"/>
      <c r="L356" s="25"/>
      <c r="M356" s="25"/>
      <c r="N356" s="25"/>
      <c r="O356" s="5"/>
    </row>
    <row r="357" spans="1:15">
      <c r="A357" s="109">
        <v>210</v>
      </c>
      <c r="B357" s="109">
        <v>214.94</v>
      </c>
      <c r="C357" s="109">
        <v>209.48519999999999</v>
      </c>
      <c r="D357" s="109">
        <v>212.89</v>
      </c>
      <c r="E357" s="109">
        <v>565627</v>
      </c>
      <c r="F357" s="109" t="s">
        <v>35</v>
      </c>
      <c r="G357" s="5">
        <f t="shared" si="4"/>
        <v>-1.3575085725022196E-2</v>
      </c>
      <c r="I357" s="25"/>
      <c r="J357" s="25"/>
      <c r="K357" s="25"/>
      <c r="L357" s="25"/>
      <c r="M357" s="25"/>
      <c r="N357" s="25"/>
      <c r="O357" s="5"/>
    </row>
    <row r="358" spans="1:15">
      <c r="A358" s="109">
        <v>211.62</v>
      </c>
      <c r="B358" s="109">
        <v>211.92</v>
      </c>
      <c r="C358" s="109">
        <v>208.27</v>
      </c>
      <c r="D358" s="109">
        <v>209.79</v>
      </c>
      <c r="E358" s="109">
        <v>327016</v>
      </c>
      <c r="F358" s="109" t="s">
        <v>34</v>
      </c>
      <c r="G358" s="5">
        <f t="shared" si="4"/>
        <v>8.723008723008796E-3</v>
      </c>
      <c r="I358" s="25"/>
      <c r="J358" s="25"/>
      <c r="K358" s="25"/>
      <c r="L358" s="25"/>
      <c r="M358" s="25"/>
      <c r="N358" s="25"/>
      <c r="O358" s="5"/>
    </row>
    <row r="359" spans="1:15">
      <c r="A359" s="109">
        <v>208.55</v>
      </c>
      <c r="B359" s="109">
        <v>209.67</v>
      </c>
      <c r="C359" s="109">
        <v>206.58</v>
      </c>
      <c r="D359" s="109">
        <v>208.81</v>
      </c>
      <c r="E359" s="109">
        <v>311088</v>
      </c>
      <c r="F359" s="109" t="s">
        <v>33</v>
      </c>
      <c r="G359" s="5">
        <f t="shared" si="4"/>
        <v>-1.2451510942962374E-3</v>
      </c>
      <c r="I359" s="25"/>
      <c r="J359" s="25"/>
      <c r="K359" s="25"/>
      <c r="L359" s="25"/>
      <c r="M359" s="25"/>
      <c r="N359" s="25"/>
      <c r="O359" s="5"/>
    </row>
    <row r="360" spans="1:15">
      <c r="A360" s="109">
        <v>206.06</v>
      </c>
      <c r="B360" s="109">
        <v>208.14</v>
      </c>
      <c r="C360" s="109">
        <v>202.81</v>
      </c>
      <c r="D360" s="109">
        <v>207.08</v>
      </c>
      <c r="E360" s="109">
        <v>368376</v>
      </c>
      <c r="F360" s="109" t="s">
        <v>32</v>
      </c>
      <c r="G360" s="5">
        <f t="shared" si="4"/>
        <v>-4.9256326057562916E-3</v>
      </c>
      <c r="I360" s="25"/>
      <c r="J360" s="25"/>
      <c r="K360" s="25"/>
      <c r="L360" s="25"/>
      <c r="M360" s="25"/>
      <c r="N360" s="25"/>
      <c r="O360" s="5"/>
    </row>
    <row r="361" spans="1:15">
      <c r="A361" s="109">
        <v>205.29</v>
      </c>
      <c r="B361" s="109">
        <v>208.7799</v>
      </c>
      <c r="C361" s="109">
        <v>196.48</v>
      </c>
      <c r="D361" s="109">
        <v>196.69</v>
      </c>
      <c r="E361" s="109">
        <v>544684</v>
      </c>
      <c r="F361" s="109" t="s">
        <v>31</v>
      </c>
      <c r="G361" s="5">
        <f t="shared" si="4"/>
        <v>4.3723626010473415E-2</v>
      </c>
      <c r="I361" s="25"/>
      <c r="J361" s="25"/>
      <c r="K361" s="25"/>
      <c r="L361" s="25"/>
      <c r="M361" s="25"/>
      <c r="N361" s="25"/>
      <c r="O361" s="5"/>
    </row>
    <row r="362" spans="1:15">
      <c r="A362" s="109">
        <v>196.47</v>
      </c>
      <c r="B362" s="109">
        <v>203.2604</v>
      </c>
      <c r="C362" s="109">
        <v>196.23</v>
      </c>
      <c r="D362" s="109">
        <v>201.11</v>
      </c>
      <c r="E362" s="109">
        <v>302761</v>
      </c>
      <c r="F362" s="109" t="s">
        <v>30</v>
      </c>
      <c r="G362" s="5">
        <f t="shared" si="4"/>
        <v>-2.3071950673760666E-2</v>
      </c>
      <c r="I362" s="25"/>
      <c r="J362" s="25"/>
      <c r="K362" s="25"/>
      <c r="L362" s="25"/>
      <c r="M362" s="25"/>
      <c r="N362" s="25"/>
      <c r="O362" s="5"/>
    </row>
    <row r="363" spans="1:15">
      <c r="A363" s="109">
        <v>202.04</v>
      </c>
      <c r="B363" s="109">
        <v>207.66849999999999</v>
      </c>
      <c r="C363" s="109">
        <v>199.32</v>
      </c>
      <c r="D363" s="109">
        <v>205.83</v>
      </c>
      <c r="E363" s="109">
        <v>361558</v>
      </c>
      <c r="F363" s="109" t="s">
        <v>29</v>
      </c>
      <c r="G363" s="5">
        <f t="shared" si="4"/>
        <v>-1.8413253655929718E-2</v>
      </c>
      <c r="I363" s="25"/>
      <c r="J363" s="25"/>
      <c r="K363" s="25"/>
      <c r="L363" s="25"/>
      <c r="M363" s="25"/>
      <c r="N363" s="25"/>
      <c r="O363" s="5"/>
    </row>
    <row r="364" spans="1:15">
      <c r="A364" s="109">
        <v>204.41</v>
      </c>
      <c r="B364" s="109">
        <v>207.17</v>
      </c>
      <c r="C364" s="109">
        <v>203.1</v>
      </c>
      <c r="D364" s="109">
        <v>206.4</v>
      </c>
      <c r="E364" s="109">
        <v>290642</v>
      </c>
      <c r="F364" s="109" t="s">
        <v>28</v>
      </c>
      <c r="G364" s="5">
        <f t="shared" si="4"/>
        <v>-9.6414728682171491E-3</v>
      </c>
      <c r="I364" s="25"/>
      <c r="J364" s="25"/>
      <c r="K364" s="25"/>
      <c r="L364" s="25"/>
      <c r="M364" s="25"/>
      <c r="N364" s="25"/>
      <c r="O364" s="5"/>
    </row>
    <row r="365" spans="1:15">
      <c r="A365" s="109">
        <v>205.5</v>
      </c>
      <c r="B365" s="109">
        <v>206.66</v>
      </c>
      <c r="C365" s="109">
        <v>201.01</v>
      </c>
      <c r="D365" s="109">
        <v>204.22</v>
      </c>
      <c r="E365" s="109">
        <v>261670</v>
      </c>
      <c r="F365" s="109" t="s">
        <v>27</v>
      </c>
      <c r="G365" s="5">
        <f t="shared" si="4"/>
        <v>6.2677504651846849E-3</v>
      </c>
      <c r="I365" s="25"/>
      <c r="J365" s="25"/>
      <c r="K365" s="25"/>
      <c r="L365" s="25"/>
      <c r="M365" s="25"/>
      <c r="N365" s="25"/>
      <c r="O365" s="5"/>
    </row>
    <row r="366" spans="1:15">
      <c r="A366" s="109">
        <v>206.15</v>
      </c>
      <c r="B366" s="109">
        <v>209.005</v>
      </c>
      <c r="C366" s="109">
        <v>204.12</v>
      </c>
      <c r="D366" s="109">
        <v>207.31</v>
      </c>
      <c r="E366" s="109">
        <v>336365</v>
      </c>
      <c r="F366" s="109" t="s">
        <v>26</v>
      </c>
      <c r="G366" s="5">
        <f t="shared" si="4"/>
        <v>-5.5954850224301245E-3</v>
      </c>
      <c r="I366" s="25"/>
      <c r="J366" s="25"/>
      <c r="K366" s="25"/>
      <c r="L366" s="25"/>
      <c r="M366" s="25"/>
      <c r="N366" s="25"/>
      <c r="O366" s="5"/>
    </row>
    <row r="367" spans="1:15">
      <c r="A367" s="109">
        <v>205.7</v>
      </c>
      <c r="B367" s="109">
        <v>207.21</v>
      </c>
      <c r="C367" s="109">
        <v>203.095</v>
      </c>
      <c r="D367" s="109">
        <v>203.9</v>
      </c>
      <c r="E367" s="109">
        <v>391951</v>
      </c>
      <c r="F367" s="109" t="s">
        <v>25</v>
      </c>
      <c r="G367" s="5">
        <f t="shared" si="4"/>
        <v>8.8278567925452744E-3</v>
      </c>
      <c r="I367" s="25"/>
      <c r="J367" s="25"/>
      <c r="K367" s="25"/>
      <c r="L367" s="25"/>
      <c r="M367" s="25"/>
      <c r="N367" s="25"/>
      <c r="O367" s="5"/>
    </row>
    <row r="368" spans="1:15">
      <c r="A368" s="109">
        <v>203</v>
      </c>
      <c r="B368" s="109">
        <v>206.36</v>
      </c>
      <c r="C368" s="109">
        <v>200.8</v>
      </c>
      <c r="D368" s="109">
        <v>204.04</v>
      </c>
      <c r="E368" s="109">
        <v>348377</v>
      </c>
      <c r="F368" s="109" t="s">
        <v>24</v>
      </c>
      <c r="G368" s="5">
        <f t="shared" si="4"/>
        <v>-5.0970397961184188E-3</v>
      </c>
      <c r="I368" s="25"/>
      <c r="J368" s="25"/>
      <c r="K368" s="25"/>
      <c r="L368" s="25"/>
      <c r="M368" s="25"/>
      <c r="N368" s="25"/>
      <c r="O368" s="5"/>
    </row>
    <row r="369" spans="1:15">
      <c r="A369" s="109">
        <v>202.72</v>
      </c>
      <c r="B369" s="109">
        <v>204.10990000000001</v>
      </c>
      <c r="C369" s="109">
        <v>199.38</v>
      </c>
      <c r="D369" s="109">
        <v>202.7</v>
      </c>
      <c r="E369" s="109">
        <v>338662</v>
      </c>
      <c r="F369" s="109" t="s">
        <v>23</v>
      </c>
      <c r="G369" s="5">
        <f t="shared" si="4"/>
        <v>9.8667982239897256E-5</v>
      </c>
      <c r="I369" s="25"/>
      <c r="J369" s="25"/>
      <c r="K369" s="25"/>
      <c r="L369" s="25"/>
      <c r="M369" s="25"/>
      <c r="N369" s="25"/>
      <c r="O369" s="5"/>
    </row>
    <row r="370" spans="1:15">
      <c r="A370" s="109">
        <v>201.84</v>
      </c>
      <c r="B370" s="109">
        <v>208.595</v>
      </c>
      <c r="C370" s="109">
        <v>200.96</v>
      </c>
      <c r="D370" s="109">
        <v>208.15</v>
      </c>
      <c r="E370" s="109">
        <v>330454</v>
      </c>
      <c r="F370" s="109" t="s">
        <v>22</v>
      </c>
      <c r="G370" s="5">
        <f t="shared" ref="G370:G433" si="5">A370/D370-1</f>
        <v>-3.031467691568579E-2</v>
      </c>
      <c r="I370" s="25"/>
      <c r="J370" s="25"/>
      <c r="K370" s="25"/>
      <c r="L370" s="25"/>
      <c r="M370" s="25"/>
      <c r="N370" s="25"/>
      <c r="O370" s="5"/>
    </row>
    <row r="371" spans="1:15">
      <c r="A371" s="109">
        <v>208.68</v>
      </c>
      <c r="B371" s="109">
        <v>211.4</v>
      </c>
      <c r="C371" s="109">
        <v>208.4</v>
      </c>
      <c r="D371" s="109">
        <v>209.48</v>
      </c>
      <c r="E371" s="109">
        <v>346505</v>
      </c>
      <c r="F371" s="109" t="s">
        <v>21</v>
      </c>
      <c r="G371" s="5">
        <f t="shared" si="5"/>
        <v>-3.8189803322512539E-3</v>
      </c>
      <c r="I371" s="25"/>
      <c r="J371" s="25"/>
      <c r="K371" s="25"/>
      <c r="L371" s="25"/>
      <c r="M371" s="25"/>
      <c r="N371" s="25"/>
      <c r="O371" s="5"/>
    </row>
    <row r="372" spans="1:15">
      <c r="A372" s="109">
        <v>210.05</v>
      </c>
      <c r="B372" s="109">
        <v>212.77</v>
      </c>
      <c r="C372" s="109">
        <v>207.04</v>
      </c>
      <c r="D372" s="109">
        <v>209.29</v>
      </c>
      <c r="E372" s="109">
        <v>232495</v>
      </c>
      <c r="F372" s="109" t="s">
        <v>20</v>
      </c>
      <c r="G372" s="5">
        <f t="shared" si="5"/>
        <v>3.6313249558030947E-3</v>
      </c>
      <c r="I372" s="25"/>
      <c r="J372" s="25"/>
      <c r="K372" s="25"/>
      <c r="L372" s="25"/>
      <c r="M372" s="25"/>
      <c r="N372" s="25"/>
      <c r="O372" s="5"/>
    </row>
    <row r="373" spans="1:15">
      <c r="A373" s="109">
        <v>210.19</v>
      </c>
      <c r="B373" s="109">
        <v>221.13</v>
      </c>
      <c r="C373" s="109">
        <v>210.16</v>
      </c>
      <c r="D373" s="109">
        <v>219.24</v>
      </c>
      <c r="E373" s="109">
        <v>208831</v>
      </c>
      <c r="F373" s="109" t="s">
        <v>19</v>
      </c>
      <c r="G373" s="5">
        <f t="shared" si="5"/>
        <v>-4.1278963692756854E-2</v>
      </c>
      <c r="I373" s="25"/>
      <c r="J373" s="25"/>
      <c r="K373" s="25"/>
      <c r="L373" s="25"/>
      <c r="M373" s="25"/>
      <c r="N373" s="25"/>
      <c r="O373" s="5"/>
    </row>
    <row r="374" spans="1:15">
      <c r="A374" s="109">
        <v>217.45</v>
      </c>
      <c r="B374" s="109">
        <v>222.30500000000001</v>
      </c>
      <c r="C374" s="109">
        <v>216.78</v>
      </c>
      <c r="D374" s="109">
        <v>220.09</v>
      </c>
      <c r="E374" s="109">
        <v>171287</v>
      </c>
      <c r="F374" s="109" t="s">
        <v>18</v>
      </c>
      <c r="G374" s="5">
        <f t="shared" si="5"/>
        <v>-1.1995092916534222E-2</v>
      </c>
      <c r="I374" s="25"/>
      <c r="J374" s="25"/>
      <c r="K374" s="25"/>
      <c r="L374" s="25"/>
      <c r="M374" s="25"/>
      <c r="N374" s="25"/>
      <c r="O374" s="5"/>
    </row>
    <row r="375" spans="1:15">
      <c r="A375" s="109">
        <v>222.46</v>
      </c>
      <c r="B375" s="109">
        <v>224.3</v>
      </c>
      <c r="C375" s="109">
        <v>219.26499999999999</v>
      </c>
      <c r="D375" s="109">
        <v>223.55</v>
      </c>
      <c r="E375" s="109">
        <v>206905</v>
      </c>
      <c r="F375" s="109" t="s">
        <v>17</v>
      </c>
      <c r="G375" s="5">
        <f t="shared" si="5"/>
        <v>-4.87586669648854E-3</v>
      </c>
      <c r="I375" s="25"/>
      <c r="J375" s="25"/>
      <c r="K375" s="25"/>
      <c r="L375" s="25"/>
      <c r="M375" s="25"/>
      <c r="N375" s="25"/>
      <c r="O375" s="5"/>
    </row>
    <row r="376" spans="1:15">
      <c r="A376" s="109">
        <v>221.1</v>
      </c>
      <c r="B376" s="109">
        <v>221.85</v>
      </c>
      <c r="C376" s="109">
        <v>216.34</v>
      </c>
      <c r="D376" s="109">
        <v>218.91</v>
      </c>
      <c r="E376" s="109">
        <v>192515</v>
      </c>
      <c r="F376" s="109" t="s">
        <v>16</v>
      </c>
      <c r="G376" s="5">
        <f t="shared" si="5"/>
        <v>1.0004111278607564E-2</v>
      </c>
      <c r="I376" s="25"/>
      <c r="J376" s="25"/>
      <c r="K376" s="25"/>
      <c r="L376" s="25"/>
      <c r="M376" s="25"/>
      <c r="N376" s="25"/>
      <c r="O376" s="5"/>
    </row>
    <row r="377" spans="1:15">
      <c r="A377" s="109">
        <v>222.91</v>
      </c>
      <c r="B377" s="109">
        <v>223.8</v>
      </c>
      <c r="C377" s="109">
        <v>220.58</v>
      </c>
      <c r="D377" s="109">
        <v>221.99</v>
      </c>
      <c r="E377" s="109">
        <v>234655</v>
      </c>
      <c r="F377" s="109" t="s">
        <v>15</v>
      </c>
      <c r="G377" s="5">
        <f t="shared" si="5"/>
        <v>4.1443308257127498E-3</v>
      </c>
      <c r="I377" s="25"/>
      <c r="J377" s="25"/>
      <c r="K377" s="25"/>
      <c r="L377" s="25"/>
      <c r="M377" s="25"/>
      <c r="N377" s="25"/>
      <c r="O377" s="5"/>
    </row>
    <row r="378" spans="1:15">
      <c r="A378" s="109">
        <v>220.07</v>
      </c>
      <c r="B378" s="109">
        <v>224</v>
      </c>
      <c r="C378" s="109">
        <v>217.6</v>
      </c>
      <c r="D378" s="109">
        <v>223.66</v>
      </c>
      <c r="E378" s="109">
        <v>303372</v>
      </c>
      <c r="F378" s="109" t="s">
        <v>14</v>
      </c>
      <c r="G378" s="5">
        <f t="shared" si="5"/>
        <v>-1.6051149065545944E-2</v>
      </c>
      <c r="I378" s="25"/>
      <c r="J378" s="25"/>
      <c r="K378" s="25"/>
      <c r="L378" s="25"/>
      <c r="M378" s="25"/>
      <c r="N378" s="25"/>
      <c r="O378" s="5"/>
    </row>
    <row r="379" spans="1:15">
      <c r="A379" s="109">
        <v>223.95</v>
      </c>
      <c r="B379" s="109">
        <v>226.27</v>
      </c>
      <c r="C379" s="109">
        <v>214.84</v>
      </c>
      <c r="D379" s="109">
        <v>216.27</v>
      </c>
      <c r="E379" s="109">
        <v>489384</v>
      </c>
      <c r="F379" s="109" t="s">
        <v>13</v>
      </c>
      <c r="G379" s="5">
        <f t="shared" si="5"/>
        <v>3.5511166597308907E-2</v>
      </c>
      <c r="I379" s="25"/>
      <c r="J379" s="25"/>
      <c r="K379" s="25"/>
      <c r="L379" s="25"/>
      <c r="M379" s="25"/>
      <c r="N379" s="25"/>
      <c r="O379" s="5"/>
    </row>
    <row r="380" spans="1:15">
      <c r="A380" s="109">
        <v>215.46</v>
      </c>
      <c r="B380" s="109">
        <v>218.6</v>
      </c>
      <c r="C380" s="109">
        <v>214.72</v>
      </c>
      <c r="D380" s="109">
        <v>216.04</v>
      </c>
      <c r="E380" s="109">
        <v>333139</v>
      </c>
      <c r="F380" s="109" t="s">
        <v>12</v>
      </c>
      <c r="G380" s="5">
        <f t="shared" si="5"/>
        <v>-2.6846880207368473E-3</v>
      </c>
      <c r="I380" s="25"/>
      <c r="J380" s="25"/>
      <c r="K380" s="25"/>
      <c r="L380" s="25"/>
      <c r="M380" s="25"/>
      <c r="N380" s="25"/>
      <c r="O380" s="5"/>
    </row>
    <row r="381" spans="1:15">
      <c r="A381" s="109">
        <v>215</v>
      </c>
      <c r="B381" s="109">
        <v>215.34</v>
      </c>
      <c r="C381" s="109">
        <v>209.45</v>
      </c>
      <c r="D381" s="109">
        <v>209.83</v>
      </c>
      <c r="E381" s="109">
        <v>279310</v>
      </c>
      <c r="F381" s="109" t="s">
        <v>11</v>
      </c>
      <c r="G381" s="5">
        <f t="shared" si="5"/>
        <v>2.4638993470905035E-2</v>
      </c>
      <c r="I381" s="25"/>
      <c r="J381" s="25"/>
      <c r="K381" s="25"/>
      <c r="L381" s="25"/>
      <c r="M381" s="25"/>
      <c r="N381" s="25"/>
      <c r="O381" s="5"/>
    </row>
    <row r="382" spans="1:15">
      <c r="A382" s="109">
        <v>211.5</v>
      </c>
      <c r="B382" s="109">
        <v>215.26</v>
      </c>
      <c r="C382" s="109">
        <v>209.99</v>
      </c>
      <c r="D382" s="109">
        <v>214.99</v>
      </c>
      <c r="E382" s="109">
        <v>296945</v>
      </c>
      <c r="F382" s="109" t="s">
        <v>10</v>
      </c>
      <c r="G382" s="5">
        <f t="shared" si="5"/>
        <v>-1.62333131773571E-2</v>
      </c>
    </row>
    <row r="383" spans="1:15">
      <c r="A383" s="109">
        <v>217.39</v>
      </c>
      <c r="B383" s="109">
        <v>224.19499999999999</v>
      </c>
      <c r="C383" s="109">
        <v>215.33500000000001</v>
      </c>
      <c r="D383" s="109">
        <v>223.18</v>
      </c>
      <c r="E383" s="109">
        <v>305822</v>
      </c>
      <c r="F383" s="109" t="s">
        <v>9</v>
      </c>
      <c r="G383" s="5">
        <f t="shared" si="5"/>
        <v>-2.5943184873196579E-2</v>
      </c>
    </row>
    <row r="384" spans="1:15">
      <c r="A384" s="109">
        <v>223.18</v>
      </c>
      <c r="B384" s="109">
        <v>228.43</v>
      </c>
      <c r="C384" s="109">
        <v>222.71</v>
      </c>
      <c r="D384" s="109">
        <v>226.07</v>
      </c>
      <c r="E384" s="109">
        <v>387504</v>
      </c>
      <c r="F384" s="109" t="s">
        <v>909</v>
      </c>
      <c r="G384" s="5">
        <f t="shared" si="5"/>
        <v>-1.2783651081523351E-2</v>
      </c>
    </row>
    <row r="385" spans="1:7">
      <c r="A385" s="109">
        <v>226.38</v>
      </c>
      <c r="B385" s="109">
        <v>227.125</v>
      </c>
      <c r="C385" s="109">
        <v>222.42</v>
      </c>
      <c r="D385" s="109">
        <v>222.97</v>
      </c>
      <c r="E385" s="109">
        <v>464660</v>
      </c>
      <c r="F385" s="109" t="s">
        <v>910</v>
      </c>
      <c r="G385" s="5">
        <f t="shared" si="5"/>
        <v>1.5293537247163203E-2</v>
      </c>
    </row>
    <row r="386" spans="1:7">
      <c r="A386" s="109">
        <v>220.87</v>
      </c>
      <c r="B386" s="109">
        <v>225.25</v>
      </c>
      <c r="C386" s="109">
        <v>218.45500000000001</v>
      </c>
      <c r="D386" s="109">
        <v>225.25</v>
      </c>
      <c r="E386" s="109">
        <v>928942</v>
      </c>
      <c r="F386" s="109" t="s">
        <v>911</v>
      </c>
      <c r="G386" s="5">
        <f t="shared" si="5"/>
        <v>-1.944506104328525E-2</v>
      </c>
    </row>
    <row r="387" spans="1:7">
      <c r="A387" s="109">
        <v>220.09</v>
      </c>
      <c r="B387" s="109">
        <v>227.58</v>
      </c>
      <c r="C387" s="109">
        <v>217.36500000000001</v>
      </c>
      <c r="D387" s="109">
        <v>225.73</v>
      </c>
      <c r="E387" s="109">
        <v>503666</v>
      </c>
      <c r="F387" s="109" t="s">
        <v>912</v>
      </c>
      <c r="G387" s="5">
        <f t="shared" si="5"/>
        <v>-2.4985602268196461E-2</v>
      </c>
    </row>
    <row r="388" spans="1:7">
      <c r="A388" s="109">
        <v>224.74</v>
      </c>
      <c r="B388" s="109">
        <v>227.47</v>
      </c>
      <c r="C388" s="109">
        <v>220.74</v>
      </c>
      <c r="D388" s="109">
        <v>227.47</v>
      </c>
      <c r="E388" s="109">
        <v>327984</v>
      </c>
      <c r="F388" s="109" t="s">
        <v>913</v>
      </c>
      <c r="G388" s="5">
        <f t="shared" si="5"/>
        <v>-1.2001582626280372E-2</v>
      </c>
    </row>
    <row r="389" spans="1:7">
      <c r="A389" s="109">
        <v>227.56</v>
      </c>
      <c r="B389" s="109">
        <v>238.55869999999999</v>
      </c>
      <c r="C389" s="109">
        <v>227.09</v>
      </c>
      <c r="D389" s="109">
        <v>237.15</v>
      </c>
      <c r="E389" s="109">
        <v>306781</v>
      </c>
      <c r="F389" s="109" t="s">
        <v>914</v>
      </c>
      <c r="G389" s="5">
        <f t="shared" si="5"/>
        <v>-4.0438541007800977E-2</v>
      </c>
    </row>
    <row r="390" spans="1:7">
      <c r="A390" s="109">
        <v>236.38</v>
      </c>
      <c r="B390" s="109">
        <v>238.54</v>
      </c>
      <c r="C390" s="109">
        <v>232.11500000000001</v>
      </c>
      <c r="D390" s="109">
        <v>237.83</v>
      </c>
      <c r="E390" s="109">
        <v>339845</v>
      </c>
      <c r="F390" s="109" t="s">
        <v>915</v>
      </c>
      <c r="G390" s="5">
        <f t="shared" si="5"/>
        <v>-6.0967918260943499E-3</v>
      </c>
    </row>
    <row r="391" spans="1:7">
      <c r="A391" s="109">
        <v>238.96</v>
      </c>
      <c r="B391" s="109">
        <v>240.4</v>
      </c>
      <c r="C391" s="109">
        <v>233.755</v>
      </c>
      <c r="D391" s="109">
        <v>234.92</v>
      </c>
      <c r="E391" s="109">
        <v>384084</v>
      </c>
      <c r="F391" s="109" t="s">
        <v>916</v>
      </c>
      <c r="G391" s="5">
        <f t="shared" si="5"/>
        <v>1.7197343776604868E-2</v>
      </c>
    </row>
    <row r="392" spans="1:7">
      <c r="A392" s="109">
        <v>234.36</v>
      </c>
      <c r="B392" s="109">
        <v>235.56</v>
      </c>
      <c r="C392" s="109">
        <v>222.6</v>
      </c>
      <c r="D392" s="109">
        <v>225.14</v>
      </c>
      <c r="E392" s="109">
        <v>360789</v>
      </c>
      <c r="F392" s="109" t="s">
        <v>917</v>
      </c>
      <c r="G392" s="5">
        <f t="shared" si="5"/>
        <v>4.0952296348938599E-2</v>
      </c>
    </row>
    <row r="393" spans="1:7">
      <c r="A393" s="109">
        <v>222.15</v>
      </c>
      <c r="B393" s="109">
        <v>231.55</v>
      </c>
      <c r="C393" s="109">
        <v>220.82</v>
      </c>
      <c r="D393" s="109">
        <v>227.61</v>
      </c>
      <c r="E393" s="109">
        <v>790428</v>
      </c>
      <c r="F393" s="109" t="s">
        <v>918</v>
      </c>
      <c r="G393" s="5">
        <f t="shared" si="5"/>
        <v>-2.3988401212600485E-2</v>
      </c>
    </row>
    <row r="394" spans="1:7">
      <c r="A394" s="109">
        <v>229.54</v>
      </c>
      <c r="B394" s="109">
        <v>234.05500000000001</v>
      </c>
      <c r="C394" s="109">
        <v>228.48500000000001</v>
      </c>
      <c r="D394" s="109">
        <v>233.78</v>
      </c>
      <c r="E394" s="109">
        <v>238514</v>
      </c>
      <c r="F394" s="109" t="s">
        <v>919</v>
      </c>
      <c r="G394" s="5">
        <f t="shared" si="5"/>
        <v>-1.8136709727093914E-2</v>
      </c>
    </row>
    <row r="395" spans="1:7">
      <c r="A395" s="109">
        <v>233.42</v>
      </c>
      <c r="B395" s="109">
        <v>242.04</v>
      </c>
      <c r="C395" s="109">
        <v>232.85499999999999</v>
      </c>
      <c r="D395" s="109">
        <v>239.26</v>
      </c>
      <c r="E395" s="109">
        <v>348910</v>
      </c>
      <c r="F395" s="109" t="s">
        <v>920</v>
      </c>
      <c r="G395" s="5">
        <f t="shared" si="5"/>
        <v>-2.4408593162250303E-2</v>
      </c>
    </row>
    <row r="396" spans="1:7">
      <c r="A396" s="109">
        <v>239.26</v>
      </c>
      <c r="B396" s="109">
        <v>242.81</v>
      </c>
      <c r="C396" s="109">
        <v>237.76</v>
      </c>
      <c r="D396" s="109">
        <v>241.02</v>
      </c>
      <c r="E396" s="109">
        <v>322035</v>
      </c>
      <c r="F396" s="109" t="s">
        <v>921</v>
      </c>
      <c r="G396" s="5">
        <f t="shared" si="5"/>
        <v>-7.3022985644345395E-3</v>
      </c>
    </row>
    <row r="397" spans="1:7">
      <c r="A397" s="109">
        <v>241.62</v>
      </c>
      <c r="B397" s="109">
        <v>246.48</v>
      </c>
      <c r="C397" s="109">
        <v>241.17</v>
      </c>
      <c r="D397" s="109">
        <v>243.2</v>
      </c>
      <c r="E397" s="109">
        <v>199700</v>
      </c>
      <c r="F397" s="109" t="s">
        <v>922</v>
      </c>
      <c r="G397" s="5">
        <f t="shared" si="5"/>
        <v>-6.4967105263157299E-3</v>
      </c>
    </row>
    <row r="398" spans="1:7">
      <c r="A398" s="109">
        <v>244.54</v>
      </c>
      <c r="B398" s="109">
        <v>258.39</v>
      </c>
      <c r="C398" s="109">
        <v>244.54</v>
      </c>
      <c r="D398" s="109">
        <v>253.85</v>
      </c>
      <c r="E398" s="109">
        <v>267872</v>
      </c>
      <c r="F398" s="109" t="s">
        <v>923</v>
      </c>
      <c r="G398" s="5">
        <f t="shared" si="5"/>
        <v>-3.6675201890880471E-2</v>
      </c>
    </row>
    <row r="399" spans="1:7">
      <c r="A399" s="109">
        <v>252.9</v>
      </c>
      <c r="B399" s="109">
        <v>259.88</v>
      </c>
      <c r="C399" s="109">
        <v>251.65</v>
      </c>
      <c r="D399" s="109">
        <v>251.65</v>
      </c>
      <c r="E399" s="109">
        <v>218376</v>
      </c>
      <c r="F399" s="109" t="s">
        <v>924</v>
      </c>
      <c r="G399" s="5">
        <f t="shared" si="5"/>
        <v>4.9672163719451934E-3</v>
      </c>
    </row>
    <row r="400" spans="1:7">
      <c r="A400" s="109">
        <v>249.45</v>
      </c>
      <c r="B400" s="109">
        <v>261.44</v>
      </c>
      <c r="C400" s="109">
        <v>249.32</v>
      </c>
      <c r="D400" s="109">
        <v>258.95999999999998</v>
      </c>
      <c r="E400" s="109">
        <v>351744</v>
      </c>
      <c r="F400" s="109" t="s">
        <v>925</v>
      </c>
      <c r="G400" s="5">
        <f t="shared" si="5"/>
        <v>-3.6723818350324344E-2</v>
      </c>
    </row>
    <row r="401" spans="1:7">
      <c r="A401" s="109">
        <v>256.49</v>
      </c>
      <c r="B401" s="109">
        <v>257.01</v>
      </c>
      <c r="C401" s="109">
        <v>246.61</v>
      </c>
      <c r="D401" s="109">
        <v>249.15</v>
      </c>
      <c r="E401" s="109">
        <v>335118</v>
      </c>
      <c r="F401" s="109" t="s">
        <v>926</v>
      </c>
      <c r="G401" s="5">
        <f t="shared" si="5"/>
        <v>2.9460164559502289E-2</v>
      </c>
    </row>
    <row r="402" spans="1:7">
      <c r="A402" s="109">
        <v>249.51</v>
      </c>
      <c r="B402" s="109">
        <v>252.27</v>
      </c>
      <c r="C402" s="109">
        <v>236.67</v>
      </c>
      <c r="D402" s="109">
        <v>236.67</v>
      </c>
      <c r="E402" s="109">
        <v>389894</v>
      </c>
      <c r="F402" s="109" t="s">
        <v>927</v>
      </c>
      <c r="G402" s="5">
        <f t="shared" si="5"/>
        <v>5.425275700342258E-2</v>
      </c>
    </row>
    <row r="403" spans="1:7">
      <c r="A403" s="109">
        <v>236.67</v>
      </c>
      <c r="B403" s="109">
        <v>239.68</v>
      </c>
      <c r="C403" s="109">
        <v>232.53</v>
      </c>
      <c r="D403" s="109">
        <v>234.72</v>
      </c>
      <c r="E403" s="109">
        <v>279120</v>
      </c>
      <c r="F403" s="109" t="s">
        <v>928</v>
      </c>
      <c r="G403" s="5">
        <f t="shared" si="5"/>
        <v>8.3077709611452111E-3</v>
      </c>
    </row>
    <row r="404" spans="1:7">
      <c r="A404" s="109">
        <v>234.92</v>
      </c>
      <c r="B404" s="109">
        <v>235.56</v>
      </c>
      <c r="C404" s="109">
        <v>225.69</v>
      </c>
      <c r="D404" s="109">
        <v>231.3</v>
      </c>
      <c r="E404" s="109">
        <v>575628</v>
      </c>
      <c r="F404" s="109" t="s">
        <v>929</v>
      </c>
      <c r="G404" s="5">
        <f t="shared" si="5"/>
        <v>1.5650670125378241E-2</v>
      </c>
    </row>
    <row r="405" spans="1:7">
      <c r="A405" s="109">
        <v>230.74</v>
      </c>
      <c r="B405" s="109">
        <v>232.83</v>
      </c>
      <c r="C405" s="109">
        <v>226.17</v>
      </c>
      <c r="D405" s="109">
        <v>232.21</v>
      </c>
      <c r="E405" s="109">
        <v>447655</v>
      </c>
      <c r="F405" s="109" t="s">
        <v>930</v>
      </c>
      <c r="G405" s="5">
        <f t="shared" si="5"/>
        <v>-6.3304767236552761E-3</v>
      </c>
    </row>
    <row r="406" spans="1:7">
      <c r="A406" s="109">
        <v>232.32</v>
      </c>
      <c r="B406" s="109">
        <v>234.92</v>
      </c>
      <c r="C406" s="109">
        <v>224.02500000000001</v>
      </c>
      <c r="D406" s="109">
        <v>231.5</v>
      </c>
      <c r="E406" s="109">
        <v>688023</v>
      </c>
      <c r="F406" s="109" t="s">
        <v>931</v>
      </c>
      <c r="G406" s="5">
        <f t="shared" si="5"/>
        <v>3.5421166306695007E-3</v>
      </c>
    </row>
    <row r="407" spans="1:7">
      <c r="A407" s="109">
        <v>231.26</v>
      </c>
      <c r="B407" s="109">
        <v>241.82</v>
      </c>
      <c r="C407" s="109">
        <v>229.27</v>
      </c>
      <c r="D407" s="109">
        <v>237.7</v>
      </c>
      <c r="E407" s="109">
        <v>570332</v>
      </c>
      <c r="F407" s="109" t="s">
        <v>932</v>
      </c>
      <c r="G407" s="5">
        <f t="shared" si="5"/>
        <v>-2.70929743374001E-2</v>
      </c>
    </row>
    <row r="408" spans="1:7">
      <c r="A408" s="109">
        <v>238.37</v>
      </c>
      <c r="B408" s="109">
        <v>250.745</v>
      </c>
      <c r="C408" s="109">
        <v>234.51</v>
      </c>
      <c r="D408" s="109">
        <v>239.24</v>
      </c>
      <c r="E408" s="109">
        <v>1318447</v>
      </c>
      <c r="F408" s="109" t="s">
        <v>933</v>
      </c>
      <c r="G408" s="5">
        <f t="shared" si="5"/>
        <v>-3.6365156328372894E-3</v>
      </c>
    </row>
    <row r="409" spans="1:7">
      <c r="A409" s="109">
        <v>262.68</v>
      </c>
      <c r="B409" s="109">
        <v>263.66000000000003</v>
      </c>
      <c r="C409" s="109">
        <v>256.56</v>
      </c>
      <c r="D409" s="109">
        <v>256.94</v>
      </c>
      <c r="E409" s="109">
        <v>475582</v>
      </c>
      <c r="F409" s="109" t="s">
        <v>934</v>
      </c>
      <c r="G409" s="5">
        <f t="shared" si="5"/>
        <v>2.2339845878415199E-2</v>
      </c>
    </row>
    <row r="410" spans="1:7">
      <c r="A410" s="109">
        <v>258.3</v>
      </c>
      <c r="B410" s="109">
        <v>267.33</v>
      </c>
      <c r="C410" s="109">
        <v>254.91</v>
      </c>
      <c r="D410" s="109">
        <v>266.08999999999997</v>
      </c>
      <c r="E410" s="109">
        <v>485610</v>
      </c>
      <c r="F410" s="109" t="s">
        <v>935</v>
      </c>
      <c r="G410" s="5">
        <f t="shared" si="5"/>
        <v>-2.9275808936825798E-2</v>
      </c>
    </row>
    <row r="411" spans="1:7">
      <c r="A411" s="109">
        <v>268.61</v>
      </c>
      <c r="B411" s="109">
        <v>268.8</v>
      </c>
      <c r="C411" s="109">
        <v>263.57499999999999</v>
      </c>
      <c r="D411" s="109">
        <v>266.95</v>
      </c>
      <c r="E411" s="109">
        <v>246965</v>
      </c>
      <c r="F411" s="109" t="s">
        <v>936</v>
      </c>
      <c r="G411" s="5">
        <f t="shared" si="5"/>
        <v>6.2183929574828323E-3</v>
      </c>
    </row>
    <row r="412" spans="1:7">
      <c r="A412" s="109">
        <v>270.56</v>
      </c>
      <c r="B412" s="109">
        <v>277.33999999999997</v>
      </c>
      <c r="C412" s="109">
        <v>269.25009999999997</v>
      </c>
      <c r="D412" s="109">
        <v>270.77</v>
      </c>
      <c r="E412" s="109">
        <v>225551</v>
      </c>
      <c r="F412" s="109" t="s">
        <v>937</v>
      </c>
      <c r="G412" s="5">
        <f t="shared" si="5"/>
        <v>-7.7556597850569897E-4</v>
      </c>
    </row>
    <row r="413" spans="1:7">
      <c r="A413" s="109">
        <v>273.14999999999998</v>
      </c>
      <c r="B413" s="109">
        <v>274.98</v>
      </c>
      <c r="C413" s="109">
        <v>270.14999999999998</v>
      </c>
      <c r="D413" s="109">
        <v>270.24</v>
      </c>
      <c r="E413" s="109">
        <v>237699</v>
      </c>
      <c r="F413" s="109" t="s">
        <v>938</v>
      </c>
      <c r="G413" s="5">
        <f t="shared" si="5"/>
        <v>1.0768206039076356E-2</v>
      </c>
    </row>
    <row r="414" spans="1:7">
      <c r="A414" s="109">
        <v>268.31</v>
      </c>
      <c r="B414" s="109">
        <v>268.56</v>
      </c>
      <c r="C414" s="109">
        <v>261.77499999999998</v>
      </c>
      <c r="D414" s="109">
        <v>267.38</v>
      </c>
      <c r="E414" s="109">
        <v>178353</v>
      </c>
      <c r="F414" s="109" t="s">
        <v>939</v>
      </c>
      <c r="G414" s="5">
        <f t="shared" si="5"/>
        <v>3.4781958261649315E-3</v>
      </c>
    </row>
    <row r="415" spans="1:7">
      <c r="A415" s="109">
        <v>264.75</v>
      </c>
      <c r="B415" s="109">
        <v>270.57</v>
      </c>
      <c r="C415" s="109">
        <v>261.41000000000003</v>
      </c>
      <c r="D415" s="109">
        <v>262.43</v>
      </c>
      <c r="E415" s="109">
        <v>192327</v>
      </c>
      <c r="F415" s="109" t="s">
        <v>940</v>
      </c>
      <c r="G415" s="5">
        <f t="shared" si="5"/>
        <v>8.8404526921463944E-3</v>
      </c>
    </row>
    <row r="416" spans="1:7">
      <c r="A416" s="109">
        <v>270.01</v>
      </c>
      <c r="B416" s="109">
        <v>272.92</v>
      </c>
      <c r="C416" s="109">
        <v>267.7</v>
      </c>
      <c r="D416" s="109">
        <v>272.29000000000002</v>
      </c>
      <c r="E416" s="109">
        <v>153008</v>
      </c>
      <c r="F416" s="109" t="s">
        <v>941</v>
      </c>
      <c r="G416" s="5">
        <f t="shared" si="5"/>
        <v>-8.3734253920453305E-3</v>
      </c>
    </row>
    <row r="417" spans="1:7">
      <c r="A417" s="109">
        <v>273.04000000000002</v>
      </c>
      <c r="B417" s="109">
        <v>273.27999999999997</v>
      </c>
      <c r="C417" s="109">
        <v>267.41000000000003</v>
      </c>
      <c r="D417" s="109">
        <v>272.87</v>
      </c>
      <c r="E417" s="109">
        <v>231298</v>
      </c>
      <c r="F417" s="109" t="s">
        <v>942</v>
      </c>
      <c r="G417" s="5">
        <f t="shared" si="5"/>
        <v>6.2300729285014178E-4</v>
      </c>
    </row>
    <row r="418" spans="1:7">
      <c r="A418" s="109">
        <v>272.33999999999997</v>
      </c>
      <c r="B418" s="109">
        <v>272.52999999999997</v>
      </c>
      <c r="C418" s="109">
        <v>262.45</v>
      </c>
      <c r="D418" s="109">
        <v>262.61</v>
      </c>
      <c r="E418" s="109">
        <v>333172</v>
      </c>
      <c r="F418" s="109" t="s">
        <v>943</v>
      </c>
      <c r="G418" s="5">
        <f t="shared" si="5"/>
        <v>3.7051140474467781E-2</v>
      </c>
    </row>
    <row r="419" spans="1:7">
      <c r="A419" s="109">
        <v>265.06</v>
      </c>
      <c r="B419" s="109">
        <v>265.86500000000001</v>
      </c>
      <c r="C419" s="109">
        <v>257.95999999999998</v>
      </c>
      <c r="D419" s="109">
        <v>259.49</v>
      </c>
      <c r="E419" s="109">
        <v>224729</v>
      </c>
      <c r="F419" s="109" t="s">
        <v>944</v>
      </c>
      <c r="G419" s="5">
        <f t="shared" si="5"/>
        <v>2.1465181702570391E-2</v>
      </c>
    </row>
    <row r="420" spans="1:7">
      <c r="A420" s="109">
        <v>258.60000000000002</v>
      </c>
      <c r="B420" s="109">
        <v>260.01499999999999</v>
      </c>
      <c r="C420" s="109">
        <v>254.21</v>
      </c>
      <c r="D420" s="109">
        <v>255.98</v>
      </c>
      <c r="E420" s="109">
        <v>280587</v>
      </c>
      <c r="F420" s="109" t="s">
        <v>945</v>
      </c>
      <c r="G420" s="5">
        <f t="shared" si="5"/>
        <v>1.0235174623017596E-2</v>
      </c>
    </row>
    <row r="421" spans="1:7">
      <c r="A421" s="109">
        <v>255.03</v>
      </c>
      <c r="B421" s="109">
        <v>255.37</v>
      </c>
      <c r="C421" s="109">
        <v>249.25</v>
      </c>
      <c r="D421" s="109">
        <v>250.88</v>
      </c>
      <c r="E421" s="109">
        <v>144506</v>
      </c>
      <c r="F421" s="109" t="s">
        <v>946</v>
      </c>
      <c r="G421" s="5">
        <f t="shared" si="5"/>
        <v>1.6541772959183687E-2</v>
      </c>
    </row>
    <row r="422" spans="1:7">
      <c r="A422" s="109">
        <v>252.01</v>
      </c>
      <c r="B422" s="109">
        <v>253.84</v>
      </c>
      <c r="C422" s="109">
        <v>250.92</v>
      </c>
      <c r="D422" s="109">
        <v>253.72</v>
      </c>
      <c r="E422" s="109">
        <v>130189</v>
      </c>
      <c r="F422" s="109" t="s">
        <v>947</v>
      </c>
      <c r="G422" s="5">
        <f t="shared" si="5"/>
        <v>-6.739713069525477E-3</v>
      </c>
    </row>
    <row r="423" spans="1:7">
      <c r="A423" s="109">
        <v>254.36</v>
      </c>
      <c r="B423" s="109">
        <v>254.55</v>
      </c>
      <c r="C423" s="109">
        <v>247.80500000000001</v>
      </c>
      <c r="D423" s="109">
        <v>253</v>
      </c>
      <c r="E423" s="109">
        <v>258452</v>
      </c>
      <c r="F423" s="109" t="s">
        <v>948</v>
      </c>
      <c r="G423" s="5">
        <f t="shared" si="5"/>
        <v>5.3754940711463473E-3</v>
      </c>
    </row>
    <row r="424" spans="1:7">
      <c r="A424" s="109">
        <v>252.19</v>
      </c>
      <c r="B424" s="109">
        <v>258.435</v>
      </c>
      <c r="C424" s="109">
        <v>251.51</v>
      </c>
      <c r="D424" s="109">
        <v>251.96</v>
      </c>
      <c r="E424" s="109">
        <v>272845</v>
      </c>
      <c r="F424" s="109" t="s">
        <v>949</v>
      </c>
      <c r="G424" s="5">
        <f t="shared" si="5"/>
        <v>9.1284330846153061E-4</v>
      </c>
    </row>
    <row r="425" spans="1:7">
      <c r="A425" s="109">
        <v>250.06</v>
      </c>
      <c r="B425" s="109">
        <v>254.93</v>
      </c>
      <c r="C425" s="109">
        <v>248.83</v>
      </c>
      <c r="D425" s="109">
        <v>254.93</v>
      </c>
      <c r="E425" s="109">
        <v>122952</v>
      </c>
      <c r="F425" s="109" t="s">
        <v>950</v>
      </c>
      <c r="G425" s="5">
        <f t="shared" si="5"/>
        <v>-1.9103283254226722E-2</v>
      </c>
    </row>
    <row r="426" spans="1:7">
      <c r="A426" s="109">
        <v>255.72</v>
      </c>
      <c r="B426" s="109">
        <v>255.88</v>
      </c>
      <c r="C426" s="109">
        <v>250.05</v>
      </c>
      <c r="D426" s="109">
        <v>251.09</v>
      </c>
      <c r="E426" s="109">
        <v>183202</v>
      </c>
      <c r="F426" s="109" t="s">
        <v>951</v>
      </c>
      <c r="G426" s="5">
        <f t="shared" si="5"/>
        <v>1.8439603329483356E-2</v>
      </c>
    </row>
    <row r="427" spans="1:7">
      <c r="A427" s="109">
        <v>252.37</v>
      </c>
      <c r="B427" s="109">
        <v>253.05</v>
      </c>
      <c r="C427" s="109">
        <v>247.9</v>
      </c>
      <c r="D427" s="109">
        <v>251.52</v>
      </c>
      <c r="E427" s="109">
        <v>250879</v>
      </c>
      <c r="F427" s="109" t="s">
        <v>952</v>
      </c>
      <c r="G427" s="5">
        <f t="shared" si="5"/>
        <v>3.3794529262085593E-3</v>
      </c>
    </row>
    <row r="428" spans="1:7">
      <c r="A428" s="109">
        <v>250.59</v>
      </c>
      <c r="B428" s="109">
        <v>250.76</v>
      </c>
      <c r="C428" s="109">
        <v>246.12</v>
      </c>
      <c r="D428" s="109">
        <v>250.67</v>
      </c>
      <c r="E428" s="109">
        <v>262375</v>
      </c>
      <c r="F428" s="109" t="s">
        <v>953</v>
      </c>
      <c r="G428" s="5">
        <f t="shared" si="5"/>
        <v>-3.1914469222482644E-4</v>
      </c>
    </row>
    <row r="429" spans="1:7">
      <c r="A429" s="109">
        <v>246.69</v>
      </c>
      <c r="B429" s="109">
        <v>255.76499999999999</v>
      </c>
      <c r="C429" s="109">
        <v>246.66</v>
      </c>
      <c r="D429" s="109">
        <v>254.79</v>
      </c>
      <c r="E429" s="109">
        <v>153426</v>
      </c>
      <c r="F429" s="109" t="s">
        <v>954</v>
      </c>
      <c r="G429" s="5">
        <f t="shared" si="5"/>
        <v>-3.1790886612504399E-2</v>
      </c>
    </row>
    <row r="430" spans="1:7">
      <c r="A430" s="109">
        <v>252.97</v>
      </c>
      <c r="B430" s="109">
        <v>254.95</v>
      </c>
      <c r="C430" s="109">
        <v>241.87</v>
      </c>
      <c r="D430" s="109">
        <v>254.95</v>
      </c>
      <c r="E430" s="109">
        <v>389490</v>
      </c>
      <c r="F430" s="109" t="s">
        <v>955</v>
      </c>
      <c r="G430" s="5">
        <f t="shared" si="5"/>
        <v>-7.7662286722885998E-3</v>
      </c>
    </row>
    <row r="431" spans="1:7">
      <c r="A431" s="109">
        <v>252.74</v>
      </c>
      <c r="B431" s="109">
        <v>258.14999999999998</v>
      </c>
      <c r="C431" s="109">
        <v>248.94</v>
      </c>
      <c r="D431" s="109">
        <v>251.63</v>
      </c>
      <c r="E431" s="109">
        <v>195967</v>
      </c>
      <c r="F431" s="109" t="s">
        <v>956</v>
      </c>
      <c r="G431" s="5">
        <f t="shared" si="5"/>
        <v>4.4112387235226702E-3</v>
      </c>
    </row>
    <row r="432" spans="1:7">
      <c r="A432" s="109">
        <v>250.31</v>
      </c>
      <c r="B432" s="109">
        <v>256.75</v>
      </c>
      <c r="C432" s="109">
        <v>248.68</v>
      </c>
      <c r="D432" s="109">
        <v>256.75</v>
      </c>
      <c r="E432" s="109">
        <v>230842</v>
      </c>
      <c r="F432" s="109" t="s">
        <v>957</v>
      </c>
      <c r="G432" s="5">
        <f t="shared" si="5"/>
        <v>-2.5082765335929902E-2</v>
      </c>
    </row>
    <row r="433" spans="1:7">
      <c r="A433" s="109">
        <v>255.82</v>
      </c>
      <c r="B433" s="109">
        <v>260.86</v>
      </c>
      <c r="C433" s="109">
        <v>252.345</v>
      </c>
      <c r="D433" s="109">
        <v>260.86</v>
      </c>
      <c r="E433" s="109">
        <v>222115</v>
      </c>
      <c r="F433" s="109" t="s">
        <v>958</v>
      </c>
      <c r="G433" s="5">
        <f t="shared" si="5"/>
        <v>-1.9320708425975663E-2</v>
      </c>
    </row>
    <row r="434" spans="1:7">
      <c r="A434" s="109">
        <v>257.23</v>
      </c>
      <c r="B434" s="109">
        <v>260.39999999999998</v>
      </c>
      <c r="C434" s="109">
        <v>253.81</v>
      </c>
      <c r="D434" s="109">
        <v>259</v>
      </c>
      <c r="E434" s="109">
        <v>191100</v>
      </c>
      <c r="F434" s="109" t="s">
        <v>959</v>
      </c>
      <c r="G434" s="5">
        <f t="shared" ref="G434:G497" si="6">A434/D434-1</f>
        <v>-6.8339768339767959E-3</v>
      </c>
    </row>
    <row r="435" spans="1:7">
      <c r="A435" s="109">
        <v>263.06</v>
      </c>
      <c r="B435" s="109">
        <v>266.33999999999997</v>
      </c>
      <c r="C435" s="109">
        <v>252.73</v>
      </c>
      <c r="D435" s="109">
        <v>254.88</v>
      </c>
      <c r="E435" s="109">
        <v>441843</v>
      </c>
      <c r="F435" s="109" t="s">
        <v>960</v>
      </c>
      <c r="G435" s="5">
        <f t="shared" si="6"/>
        <v>3.2093534212178199E-2</v>
      </c>
    </row>
    <row r="436" spans="1:7">
      <c r="A436" s="109">
        <v>258.39</v>
      </c>
      <c r="B436" s="109">
        <v>262.52999999999997</v>
      </c>
      <c r="C436" s="109">
        <v>255.95500000000001</v>
      </c>
      <c r="D436" s="109">
        <v>258.92</v>
      </c>
      <c r="E436" s="109">
        <v>448819</v>
      </c>
      <c r="F436" s="109" t="s">
        <v>961</v>
      </c>
      <c r="G436" s="5">
        <f t="shared" si="6"/>
        <v>-2.0469643133015358E-3</v>
      </c>
    </row>
    <row r="437" spans="1:7">
      <c r="A437" s="109">
        <v>258.14999999999998</v>
      </c>
      <c r="B437" s="109">
        <v>258.77</v>
      </c>
      <c r="C437" s="109">
        <v>247.89</v>
      </c>
      <c r="D437" s="109">
        <v>251.55</v>
      </c>
      <c r="E437" s="109">
        <v>385154</v>
      </c>
      <c r="F437" s="109" t="s">
        <v>962</v>
      </c>
      <c r="G437" s="5">
        <f t="shared" si="6"/>
        <v>2.6237328562909834E-2</v>
      </c>
    </row>
    <row r="438" spans="1:7">
      <c r="A438" s="109">
        <v>249.86</v>
      </c>
      <c r="B438" s="109">
        <v>251.96</v>
      </c>
      <c r="C438" s="109">
        <v>244.86</v>
      </c>
      <c r="D438" s="109">
        <v>246.13</v>
      </c>
      <c r="E438" s="109">
        <v>331665</v>
      </c>
      <c r="F438" s="109" t="s">
        <v>963</v>
      </c>
      <c r="G438" s="5">
        <f t="shared" si="6"/>
        <v>1.5154593101206704E-2</v>
      </c>
    </row>
    <row r="439" spans="1:7">
      <c r="A439" s="109">
        <v>245.08</v>
      </c>
      <c r="B439" s="109">
        <v>252.76</v>
      </c>
      <c r="C439" s="109">
        <v>242.53</v>
      </c>
      <c r="D439" s="109">
        <v>244.43</v>
      </c>
      <c r="E439" s="109">
        <v>363339</v>
      </c>
      <c r="F439" s="109" t="s">
        <v>964</v>
      </c>
      <c r="G439" s="5">
        <f t="shared" si="6"/>
        <v>2.6592480464755486E-3</v>
      </c>
    </row>
    <row r="440" spans="1:7">
      <c r="A440" s="109">
        <v>247.32</v>
      </c>
      <c r="B440" s="109">
        <v>249.285</v>
      </c>
      <c r="C440" s="109">
        <v>231.89</v>
      </c>
      <c r="D440" s="109">
        <v>233.78</v>
      </c>
      <c r="E440" s="109">
        <v>370806</v>
      </c>
      <c r="F440" s="109" t="s">
        <v>965</v>
      </c>
      <c r="G440" s="5">
        <f t="shared" si="6"/>
        <v>5.7917700402087435E-2</v>
      </c>
    </row>
    <row r="441" spans="1:7">
      <c r="A441" s="109">
        <v>231.81</v>
      </c>
      <c r="B441" s="109">
        <v>234.63</v>
      </c>
      <c r="C441" s="109">
        <v>225.85</v>
      </c>
      <c r="D441" s="109">
        <v>228.45</v>
      </c>
      <c r="E441" s="109">
        <v>282021</v>
      </c>
      <c r="F441" s="109" t="s">
        <v>966</v>
      </c>
      <c r="G441" s="5">
        <f t="shared" si="6"/>
        <v>1.4707813525935753E-2</v>
      </c>
    </row>
    <row r="442" spans="1:7">
      <c r="A442" s="109">
        <v>231.19</v>
      </c>
      <c r="B442" s="109">
        <v>232.95</v>
      </c>
      <c r="C442" s="109">
        <v>227.57</v>
      </c>
      <c r="D442" s="109">
        <v>231.4</v>
      </c>
      <c r="E442" s="109">
        <v>812590</v>
      </c>
      <c r="F442" s="109" t="s">
        <v>967</v>
      </c>
      <c r="G442" s="5">
        <f t="shared" si="6"/>
        <v>-9.0751944684530628E-4</v>
      </c>
    </row>
    <row r="443" spans="1:7">
      <c r="A443" s="109">
        <v>231.69</v>
      </c>
      <c r="B443" s="109">
        <v>241.55</v>
      </c>
      <c r="C443" s="109">
        <v>230.92</v>
      </c>
      <c r="D443" s="109">
        <v>240.82</v>
      </c>
      <c r="E443" s="109">
        <v>498839</v>
      </c>
      <c r="F443" s="109" t="s">
        <v>968</v>
      </c>
      <c r="G443" s="5">
        <f t="shared" si="6"/>
        <v>-3.7912133543725579E-2</v>
      </c>
    </row>
    <row r="444" spans="1:7">
      <c r="A444" s="109">
        <v>244.77</v>
      </c>
      <c r="B444" s="109">
        <v>252.535</v>
      </c>
      <c r="C444" s="109">
        <v>243.25</v>
      </c>
      <c r="D444" s="109">
        <v>247.68</v>
      </c>
      <c r="E444" s="109">
        <v>272767</v>
      </c>
      <c r="F444" s="109" t="s">
        <v>969</v>
      </c>
      <c r="G444" s="5">
        <f t="shared" si="6"/>
        <v>-1.1749031007751931E-2</v>
      </c>
    </row>
    <row r="445" spans="1:7">
      <c r="A445" s="109">
        <v>251.54</v>
      </c>
      <c r="B445" s="109">
        <v>256.64</v>
      </c>
      <c r="C445" s="109">
        <v>250.56</v>
      </c>
      <c r="D445" s="109">
        <v>255.03</v>
      </c>
      <c r="E445" s="109">
        <v>146427</v>
      </c>
      <c r="F445" s="109" t="s">
        <v>970</v>
      </c>
      <c r="G445" s="5">
        <f t="shared" si="6"/>
        <v>-1.3684664549268755E-2</v>
      </c>
    </row>
    <row r="446" spans="1:7">
      <c r="A446" s="109">
        <v>255.47</v>
      </c>
      <c r="B446" s="109">
        <v>261.8</v>
      </c>
      <c r="C446" s="109">
        <v>253.38499999999999</v>
      </c>
      <c r="D446" s="109">
        <v>259.45</v>
      </c>
      <c r="E446" s="109">
        <v>253322</v>
      </c>
      <c r="F446" s="109" t="s">
        <v>971</v>
      </c>
      <c r="G446" s="5">
        <f t="shared" si="6"/>
        <v>-1.5340142609365892E-2</v>
      </c>
    </row>
    <row r="447" spans="1:7">
      <c r="A447" s="109">
        <v>260.22000000000003</v>
      </c>
      <c r="B447" s="109">
        <v>262.77</v>
      </c>
      <c r="C447" s="109">
        <v>258.625</v>
      </c>
      <c r="D447" s="109">
        <v>260.37</v>
      </c>
      <c r="E447" s="109">
        <v>105882</v>
      </c>
      <c r="F447" s="109" t="s">
        <v>972</v>
      </c>
      <c r="G447" s="5">
        <f t="shared" si="6"/>
        <v>-5.7610323770007632E-4</v>
      </c>
    </row>
    <row r="448" spans="1:7">
      <c r="A448" s="109">
        <v>260.14</v>
      </c>
      <c r="B448" s="109">
        <v>262.75</v>
      </c>
      <c r="C448" s="109">
        <v>257.94</v>
      </c>
      <c r="D448" s="109">
        <v>260.36</v>
      </c>
      <c r="E448" s="109">
        <v>117380</v>
      </c>
      <c r="F448" s="109" t="s">
        <v>973</v>
      </c>
      <c r="G448" s="5">
        <f t="shared" si="6"/>
        <v>-8.4498386848985696E-4</v>
      </c>
    </row>
    <row r="449" spans="1:7">
      <c r="A449" s="109">
        <v>258.58</v>
      </c>
      <c r="B449" s="109">
        <v>261.94</v>
      </c>
      <c r="C449" s="109">
        <v>256.27</v>
      </c>
      <c r="D449" s="109">
        <v>260</v>
      </c>
      <c r="E449" s="109">
        <v>179660</v>
      </c>
      <c r="F449" s="109" t="s">
        <v>974</v>
      </c>
      <c r="G449" s="5">
        <f t="shared" si="6"/>
        <v>-5.4615384615385176E-3</v>
      </c>
    </row>
    <row r="450" spans="1:7">
      <c r="A450" s="109">
        <v>258.58</v>
      </c>
      <c r="B450" s="109">
        <v>259.3</v>
      </c>
      <c r="C450" s="109">
        <v>249.21</v>
      </c>
      <c r="D450" s="109">
        <v>249.21</v>
      </c>
      <c r="E450" s="109">
        <v>204218</v>
      </c>
      <c r="F450" s="109" t="s">
        <v>975</v>
      </c>
      <c r="G450" s="5">
        <f t="shared" si="6"/>
        <v>3.7598812246699476E-2</v>
      </c>
    </row>
    <row r="451" spans="1:7">
      <c r="A451" s="109">
        <v>247.02</v>
      </c>
      <c r="B451" s="109">
        <v>256.18</v>
      </c>
      <c r="C451" s="109">
        <v>246.92</v>
      </c>
      <c r="D451" s="109">
        <v>252</v>
      </c>
      <c r="E451" s="109">
        <v>337288</v>
      </c>
      <c r="F451" s="109" t="s">
        <v>976</v>
      </c>
      <c r="G451" s="5">
        <f t="shared" si="6"/>
        <v>-1.9761904761904758E-2</v>
      </c>
    </row>
    <row r="452" spans="1:7">
      <c r="A452" s="109">
        <v>252.08</v>
      </c>
      <c r="B452" s="109">
        <v>255.52</v>
      </c>
      <c r="C452" s="109">
        <v>250.31</v>
      </c>
      <c r="D452" s="109">
        <v>250.43</v>
      </c>
      <c r="E452" s="109">
        <v>348355</v>
      </c>
      <c r="F452" s="109" t="s">
        <v>977</v>
      </c>
      <c r="G452" s="5">
        <f t="shared" si="6"/>
        <v>6.588667491914002E-3</v>
      </c>
    </row>
    <row r="453" spans="1:7">
      <c r="A453" s="109">
        <v>247.38</v>
      </c>
      <c r="B453" s="109">
        <v>249.875</v>
      </c>
      <c r="C453" s="109">
        <v>244.06</v>
      </c>
      <c r="D453" s="109">
        <v>245.87</v>
      </c>
      <c r="E453" s="109">
        <v>270071</v>
      </c>
      <c r="F453" s="109" t="s">
        <v>978</v>
      </c>
      <c r="G453" s="5">
        <f t="shared" si="6"/>
        <v>6.1414568674502679E-3</v>
      </c>
    </row>
    <row r="454" spans="1:7">
      <c r="A454" s="109">
        <v>245.48</v>
      </c>
      <c r="B454" s="109">
        <v>253.07</v>
      </c>
      <c r="C454" s="109">
        <v>243.33</v>
      </c>
      <c r="D454" s="109">
        <v>251.03</v>
      </c>
      <c r="E454" s="109">
        <v>786485</v>
      </c>
      <c r="F454" s="109" t="s">
        <v>979</v>
      </c>
      <c r="G454" s="5">
        <f t="shared" si="6"/>
        <v>-2.2108911285503741E-2</v>
      </c>
    </row>
    <row r="455" spans="1:7">
      <c r="A455" s="109">
        <v>252.84</v>
      </c>
      <c r="B455" s="109">
        <v>255.07</v>
      </c>
      <c r="C455" s="109">
        <v>244.77</v>
      </c>
      <c r="D455" s="109">
        <v>244.77</v>
      </c>
      <c r="E455" s="109">
        <v>622461</v>
      </c>
      <c r="F455" s="109" t="s">
        <v>980</v>
      </c>
      <c r="G455" s="5">
        <f t="shared" si="6"/>
        <v>3.2969726682191336E-2</v>
      </c>
    </row>
    <row r="456" spans="1:7">
      <c r="A456" s="109">
        <v>240.31</v>
      </c>
      <c r="B456" s="109">
        <v>240.53</v>
      </c>
      <c r="C456" s="109">
        <v>228.2</v>
      </c>
      <c r="D456" s="109">
        <v>228.2</v>
      </c>
      <c r="E456" s="109">
        <v>364440</v>
      </c>
      <c r="F456" s="109" t="s">
        <v>981</v>
      </c>
      <c r="G456" s="5">
        <f t="shared" si="6"/>
        <v>5.3067484662576714E-2</v>
      </c>
    </row>
    <row r="457" spans="1:7">
      <c r="A457" s="109">
        <v>229.37</v>
      </c>
      <c r="B457" s="109">
        <v>230.59</v>
      </c>
      <c r="C457" s="109">
        <v>222.285</v>
      </c>
      <c r="D457" s="109">
        <v>225.15</v>
      </c>
      <c r="E457" s="109">
        <v>256856</v>
      </c>
      <c r="F457" s="109" t="s">
        <v>982</v>
      </c>
      <c r="G457" s="5">
        <f t="shared" si="6"/>
        <v>1.8743060182100812E-2</v>
      </c>
    </row>
    <row r="458" spans="1:7">
      <c r="A458" s="109">
        <v>224.11</v>
      </c>
      <c r="B458" s="109">
        <v>225.54</v>
      </c>
      <c r="C458" s="109">
        <v>222.55</v>
      </c>
      <c r="D458" s="109">
        <v>224.68</v>
      </c>
      <c r="E458" s="109">
        <v>265722</v>
      </c>
      <c r="F458" s="109" t="s">
        <v>983</v>
      </c>
      <c r="G458" s="5">
        <f t="shared" si="6"/>
        <v>-2.5369414278083591E-3</v>
      </c>
    </row>
    <row r="459" spans="1:7">
      <c r="A459" s="109">
        <v>224.04</v>
      </c>
      <c r="B459" s="109">
        <v>224.73</v>
      </c>
      <c r="C459" s="109">
        <v>221.14</v>
      </c>
      <c r="D459" s="109">
        <v>223.25</v>
      </c>
      <c r="E459" s="109">
        <v>279165</v>
      </c>
      <c r="F459" s="109" t="s">
        <v>984</v>
      </c>
      <c r="G459" s="5">
        <f t="shared" si="6"/>
        <v>3.5386338185889876E-3</v>
      </c>
    </row>
    <row r="460" spans="1:7">
      <c r="A460" s="109">
        <v>223.19</v>
      </c>
      <c r="B460" s="109">
        <v>224.64</v>
      </c>
      <c r="C460" s="109">
        <v>221.2</v>
      </c>
      <c r="D460" s="109">
        <v>221.23</v>
      </c>
      <c r="E460" s="109">
        <v>158540</v>
      </c>
      <c r="F460" s="109" t="s">
        <v>985</v>
      </c>
      <c r="G460" s="5">
        <f t="shared" si="6"/>
        <v>8.859557926140349E-3</v>
      </c>
    </row>
    <row r="461" spans="1:7">
      <c r="A461" s="109">
        <v>221.9</v>
      </c>
      <c r="B461" s="109">
        <v>222.946</v>
      </c>
      <c r="C461" s="109">
        <v>217.643</v>
      </c>
      <c r="D461" s="109">
        <v>221.85</v>
      </c>
      <c r="E461" s="109">
        <v>311298</v>
      </c>
      <c r="F461" s="109" t="s">
        <v>986</v>
      </c>
      <c r="G461" s="5">
        <f t="shared" si="6"/>
        <v>2.2537750732487538E-4</v>
      </c>
    </row>
    <row r="462" spans="1:7">
      <c r="A462" s="109">
        <v>220.91</v>
      </c>
      <c r="B462" s="109">
        <v>227.48</v>
      </c>
      <c r="C462" s="109">
        <v>217.12</v>
      </c>
      <c r="D462" s="109">
        <v>226.44</v>
      </c>
      <c r="E462" s="109">
        <v>365354</v>
      </c>
      <c r="F462" s="109" t="s">
        <v>987</v>
      </c>
      <c r="G462" s="5">
        <f t="shared" si="6"/>
        <v>-2.4421480303833287E-2</v>
      </c>
    </row>
    <row r="463" spans="1:7">
      <c r="A463" s="109">
        <v>228.54</v>
      </c>
      <c r="B463" s="109">
        <v>230.29</v>
      </c>
      <c r="C463" s="109">
        <v>223.93</v>
      </c>
      <c r="D463" s="109">
        <v>226.42</v>
      </c>
      <c r="E463" s="109">
        <v>554285</v>
      </c>
      <c r="F463" s="109" t="s">
        <v>988</v>
      </c>
      <c r="G463" s="5">
        <f t="shared" si="6"/>
        <v>9.3631304655066305E-3</v>
      </c>
    </row>
    <row r="464" spans="1:7">
      <c r="A464" s="109">
        <v>227.75</v>
      </c>
      <c r="B464" s="109">
        <v>229.69</v>
      </c>
      <c r="C464" s="109">
        <v>221.01</v>
      </c>
      <c r="D464" s="109">
        <v>221.94</v>
      </c>
      <c r="E464" s="109">
        <v>383440</v>
      </c>
      <c r="F464" s="109" t="s">
        <v>989</v>
      </c>
      <c r="G464" s="5">
        <f t="shared" si="6"/>
        <v>2.6178246372893677E-2</v>
      </c>
    </row>
    <row r="465" spans="1:7">
      <c r="A465" s="109">
        <v>222.09</v>
      </c>
      <c r="B465" s="109">
        <v>226.41</v>
      </c>
      <c r="C465" s="109">
        <v>221.13</v>
      </c>
      <c r="D465" s="109">
        <v>226.41</v>
      </c>
      <c r="E465" s="109">
        <v>297351</v>
      </c>
      <c r="F465" s="109" t="s">
        <v>990</v>
      </c>
      <c r="G465" s="5">
        <f t="shared" si="6"/>
        <v>-1.9080429309659475E-2</v>
      </c>
    </row>
    <row r="466" spans="1:7">
      <c r="A466" s="109">
        <v>226.61</v>
      </c>
      <c r="B466" s="109">
        <v>232.55</v>
      </c>
      <c r="C466" s="109">
        <v>225.06</v>
      </c>
      <c r="D466" s="109">
        <v>227.06</v>
      </c>
      <c r="E466" s="109">
        <v>343509</v>
      </c>
      <c r="F466" s="109" t="s">
        <v>991</v>
      </c>
      <c r="G466" s="5">
        <f t="shared" si="6"/>
        <v>-1.9818550162952198E-3</v>
      </c>
    </row>
    <row r="467" spans="1:7">
      <c r="A467" s="109">
        <v>224.57</v>
      </c>
      <c r="B467" s="109">
        <v>230.7</v>
      </c>
      <c r="C467" s="109">
        <v>222.91</v>
      </c>
      <c r="D467" s="109">
        <v>229.35</v>
      </c>
      <c r="E467" s="109">
        <v>450831</v>
      </c>
      <c r="F467" s="109" t="s">
        <v>992</v>
      </c>
      <c r="G467" s="5">
        <f t="shared" si="6"/>
        <v>-2.0841508611292747E-2</v>
      </c>
    </row>
    <row r="468" spans="1:7">
      <c r="A468" s="109">
        <v>231.02</v>
      </c>
      <c r="B468" s="109">
        <v>233.52</v>
      </c>
      <c r="C468" s="109">
        <v>230.45</v>
      </c>
      <c r="D468" s="109">
        <v>231.25</v>
      </c>
      <c r="E468" s="109">
        <v>196097</v>
      </c>
      <c r="F468" s="109" t="s">
        <v>993</v>
      </c>
      <c r="G468" s="5">
        <f t="shared" si="6"/>
        <v>-9.9459459459450006E-4</v>
      </c>
    </row>
    <row r="469" spans="1:7">
      <c r="A469" s="109">
        <v>232.9</v>
      </c>
      <c r="B469" s="109">
        <v>236.49</v>
      </c>
      <c r="C469" s="109">
        <v>231.08</v>
      </c>
      <c r="D469" s="109">
        <v>231.08</v>
      </c>
      <c r="E469" s="109">
        <v>70973</v>
      </c>
      <c r="F469" s="109" t="s">
        <v>994</v>
      </c>
      <c r="G469" s="5">
        <f t="shared" si="6"/>
        <v>7.8760602388783241E-3</v>
      </c>
    </row>
    <row r="470" spans="1:7">
      <c r="A470" s="109">
        <v>231.68</v>
      </c>
      <c r="B470" s="109">
        <v>236.06950000000001</v>
      </c>
      <c r="C470" s="109">
        <v>231.44</v>
      </c>
      <c r="D470" s="109">
        <v>233.34</v>
      </c>
      <c r="E470" s="109">
        <v>252306</v>
      </c>
      <c r="F470" s="109" t="s">
        <v>995</v>
      </c>
      <c r="G470" s="5">
        <f t="shared" si="6"/>
        <v>-7.1140824547869519E-3</v>
      </c>
    </row>
    <row r="471" spans="1:7">
      <c r="A471" s="109">
        <v>230.23</v>
      </c>
      <c r="B471" s="109">
        <v>236</v>
      </c>
      <c r="C471" s="109">
        <v>229.29499999999999</v>
      </c>
      <c r="D471" s="109">
        <v>236</v>
      </c>
      <c r="E471" s="109">
        <v>231277</v>
      </c>
      <c r="F471" s="109" t="s">
        <v>996</v>
      </c>
      <c r="G471" s="5">
        <f t="shared" si="6"/>
        <v>-2.4449152542372898E-2</v>
      </c>
    </row>
    <row r="472" spans="1:7">
      <c r="A472" s="109">
        <v>235.45</v>
      </c>
      <c r="B472" s="109">
        <v>236.2</v>
      </c>
      <c r="C472" s="109">
        <v>226.01</v>
      </c>
      <c r="D472" s="109">
        <v>226.01</v>
      </c>
      <c r="E472" s="109">
        <v>536805</v>
      </c>
      <c r="F472" s="109" t="s">
        <v>997</v>
      </c>
      <c r="G472" s="5">
        <f t="shared" si="6"/>
        <v>4.1768063360028362E-2</v>
      </c>
    </row>
    <row r="473" spans="1:7">
      <c r="A473" s="109">
        <v>226.31</v>
      </c>
      <c r="B473" s="109">
        <v>230.96</v>
      </c>
      <c r="C473" s="109">
        <v>224.63</v>
      </c>
      <c r="D473" s="109">
        <v>225.33</v>
      </c>
      <c r="E473" s="109">
        <v>548137</v>
      </c>
      <c r="F473" s="109" t="s">
        <v>998</v>
      </c>
      <c r="G473" s="5">
        <f t="shared" si="6"/>
        <v>4.3491767629697531E-3</v>
      </c>
    </row>
    <row r="474" spans="1:7">
      <c r="A474" s="109">
        <v>223.67</v>
      </c>
      <c r="B474" s="109">
        <v>228.83500000000001</v>
      </c>
      <c r="C474" s="109">
        <v>221.04</v>
      </c>
      <c r="D474" s="109">
        <v>226.64</v>
      </c>
      <c r="E474" s="109">
        <v>397021</v>
      </c>
      <c r="F474" s="109" t="s">
        <v>999</v>
      </c>
      <c r="G474" s="5">
        <f t="shared" si="6"/>
        <v>-1.310448288033883E-2</v>
      </c>
    </row>
    <row r="475" spans="1:7">
      <c r="A475" s="109">
        <v>227.88</v>
      </c>
      <c r="B475" s="109">
        <v>228.71</v>
      </c>
      <c r="C475" s="109">
        <v>214</v>
      </c>
      <c r="D475" s="109">
        <v>215.49</v>
      </c>
      <c r="E475" s="109">
        <v>714902</v>
      </c>
      <c r="F475" s="109" t="s">
        <v>1000</v>
      </c>
      <c r="G475" s="5">
        <f t="shared" si="6"/>
        <v>5.7496867604065027E-2</v>
      </c>
    </row>
    <row r="476" spans="1:7">
      <c r="A476" s="109">
        <v>215</v>
      </c>
      <c r="B476" s="109">
        <v>218.78</v>
      </c>
      <c r="C476" s="109">
        <v>210.86</v>
      </c>
      <c r="D476" s="109">
        <v>212.31</v>
      </c>
      <c r="E476" s="109">
        <v>634498</v>
      </c>
      <c r="F476" s="109" t="s">
        <v>1001</v>
      </c>
      <c r="G476" s="5">
        <f t="shared" si="6"/>
        <v>1.2670152136027513E-2</v>
      </c>
    </row>
    <row r="477" spans="1:7">
      <c r="A477" s="109">
        <v>208.8</v>
      </c>
      <c r="B477" s="109">
        <v>223.0419</v>
      </c>
      <c r="C477" s="109">
        <v>202.48</v>
      </c>
      <c r="D477" s="109">
        <v>211.87</v>
      </c>
      <c r="E477" s="109">
        <v>1556320</v>
      </c>
      <c r="F477" s="109" t="s">
        <v>1002</v>
      </c>
      <c r="G477" s="5">
        <f t="shared" si="6"/>
        <v>-1.4490017463538951E-2</v>
      </c>
    </row>
    <row r="478" spans="1:7">
      <c r="A478" s="109">
        <v>181.44</v>
      </c>
      <c r="B478" s="109">
        <v>186.26</v>
      </c>
      <c r="C478" s="109">
        <v>180.93</v>
      </c>
      <c r="D478" s="109">
        <v>184.09</v>
      </c>
      <c r="E478" s="109">
        <v>845868</v>
      </c>
      <c r="F478" s="109" t="s">
        <v>1003</v>
      </c>
      <c r="G478" s="5">
        <f t="shared" si="6"/>
        <v>-1.4395132815470779E-2</v>
      </c>
    </row>
    <row r="479" spans="1:7">
      <c r="A479" s="109">
        <v>183.88</v>
      </c>
      <c r="B479" s="109">
        <v>191.64</v>
      </c>
      <c r="C479" s="109">
        <v>181.07</v>
      </c>
      <c r="D479" s="109">
        <v>191.64</v>
      </c>
      <c r="E479" s="109">
        <v>689005</v>
      </c>
      <c r="F479" s="109" t="s">
        <v>1004</v>
      </c>
      <c r="G479" s="5">
        <f t="shared" si="6"/>
        <v>-4.049259027342933E-2</v>
      </c>
    </row>
    <row r="480" spans="1:7">
      <c r="A480" s="109">
        <v>190.54</v>
      </c>
      <c r="B480" s="109">
        <v>196.27</v>
      </c>
      <c r="C480" s="109">
        <v>190</v>
      </c>
      <c r="D480" s="109">
        <v>196.27</v>
      </c>
      <c r="E480" s="109">
        <v>667463</v>
      </c>
      <c r="F480" s="109" t="s">
        <v>1005</v>
      </c>
      <c r="G480" s="5">
        <f t="shared" si="6"/>
        <v>-2.9194476995974994E-2</v>
      </c>
    </row>
    <row r="481" spans="1:7">
      <c r="A481" s="109">
        <v>196.53</v>
      </c>
      <c r="B481" s="109">
        <v>199.16499999999999</v>
      </c>
      <c r="C481" s="109">
        <v>193.3</v>
      </c>
      <c r="D481" s="109">
        <v>198.62</v>
      </c>
      <c r="E481" s="109">
        <v>467219</v>
      </c>
      <c r="F481" s="109" t="s">
        <v>1006</v>
      </c>
      <c r="G481" s="5">
        <f t="shared" si="6"/>
        <v>-1.052260598127075E-2</v>
      </c>
    </row>
    <row r="482" spans="1:7">
      <c r="A482" s="109">
        <v>198.69</v>
      </c>
      <c r="B482" s="109">
        <v>202.7</v>
      </c>
      <c r="C482" s="109">
        <v>196.95</v>
      </c>
      <c r="D482" s="109">
        <v>199.23</v>
      </c>
      <c r="E482" s="109">
        <v>399928</v>
      </c>
      <c r="F482" s="109" t="s">
        <v>1007</v>
      </c>
      <c r="G482" s="5">
        <f t="shared" si="6"/>
        <v>-2.710435175425352E-3</v>
      </c>
    </row>
    <row r="483" spans="1:7">
      <c r="A483" s="109">
        <v>197.86</v>
      </c>
      <c r="B483" s="109">
        <v>211.935</v>
      </c>
      <c r="C483" s="109">
        <v>190.42</v>
      </c>
      <c r="D483" s="109">
        <v>198.44</v>
      </c>
      <c r="E483" s="109">
        <v>883354</v>
      </c>
      <c r="F483" s="109" t="s">
        <v>1008</v>
      </c>
      <c r="G483" s="5">
        <f t="shared" si="6"/>
        <v>-2.9227978230195184E-3</v>
      </c>
    </row>
    <row r="484" spans="1:7">
      <c r="A484" s="109">
        <v>198.26</v>
      </c>
      <c r="B484" s="109">
        <v>201.78</v>
      </c>
      <c r="C484" s="109">
        <v>195.21</v>
      </c>
      <c r="D484" s="109">
        <v>196.29</v>
      </c>
      <c r="E484" s="109">
        <v>639730</v>
      </c>
      <c r="F484" s="109" t="s">
        <v>1009</v>
      </c>
      <c r="G484" s="5">
        <f t="shared" si="6"/>
        <v>1.0036170971521763E-2</v>
      </c>
    </row>
    <row r="485" spans="1:7">
      <c r="A485" s="109">
        <v>194.06</v>
      </c>
      <c r="B485" s="109">
        <v>194.27</v>
      </c>
      <c r="C485" s="109">
        <v>187.88499999999999</v>
      </c>
      <c r="D485" s="109">
        <v>190.91</v>
      </c>
      <c r="E485" s="109">
        <v>315487</v>
      </c>
      <c r="F485" s="109" t="s">
        <v>1010</v>
      </c>
      <c r="G485" s="5">
        <f t="shared" si="6"/>
        <v>1.649992142894563E-2</v>
      </c>
    </row>
    <row r="486" spans="1:7">
      <c r="A486" s="109">
        <v>191.15</v>
      </c>
      <c r="B486" s="109">
        <v>194.12</v>
      </c>
      <c r="C486" s="109">
        <v>189.86</v>
      </c>
      <c r="D486" s="109">
        <v>193.54</v>
      </c>
      <c r="E486" s="109">
        <v>371739</v>
      </c>
      <c r="F486" s="109" t="s">
        <v>1011</v>
      </c>
      <c r="G486" s="5">
        <f t="shared" si="6"/>
        <v>-1.2348868450966166E-2</v>
      </c>
    </row>
    <row r="487" spans="1:7">
      <c r="A487" s="109">
        <v>191.29</v>
      </c>
      <c r="B487" s="109">
        <v>194.5</v>
      </c>
      <c r="C487" s="109">
        <v>188.6</v>
      </c>
      <c r="D487" s="109">
        <v>194.49</v>
      </c>
      <c r="E487" s="109">
        <v>305359</v>
      </c>
      <c r="F487" s="109" t="s">
        <v>1012</v>
      </c>
      <c r="G487" s="5">
        <f t="shared" si="6"/>
        <v>-1.645328808679114E-2</v>
      </c>
    </row>
    <row r="488" spans="1:7">
      <c r="A488" s="109">
        <v>192.81</v>
      </c>
      <c r="B488" s="109">
        <v>200.34</v>
      </c>
      <c r="C488" s="109">
        <v>192.16</v>
      </c>
      <c r="D488" s="109">
        <v>195.28</v>
      </c>
      <c r="E488" s="109">
        <v>421917</v>
      </c>
      <c r="F488" s="109" t="s">
        <v>1013</v>
      </c>
      <c r="G488" s="5">
        <f t="shared" si="6"/>
        <v>-1.264850471118395E-2</v>
      </c>
    </row>
    <row r="489" spans="1:7">
      <c r="A489" s="109">
        <v>193.08</v>
      </c>
      <c r="B489" s="109">
        <v>199.01</v>
      </c>
      <c r="C489" s="109">
        <v>192</v>
      </c>
      <c r="D489" s="109">
        <v>198</v>
      </c>
      <c r="E489" s="109">
        <v>330355</v>
      </c>
      <c r="F489" s="109" t="s">
        <v>1014</v>
      </c>
      <c r="G489" s="5">
        <f t="shared" si="6"/>
        <v>-2.4848484848484786E-2</v>
      </c>
    </row>
    <row r="490" spans="1:7">
      <c r="A490" s="109">
        <v>198.66</v>
      </c>
      <c r="B490" s="109">
        <v>205.14</v>
      </c>
      <c r="C490" s="109">
        <v>198.34</v>
      </c>
      <c r="D490" s="109">
        <v>205.14</v>
      </c>
      <c r="E490" s="109">
        <v>174509</v>
      </c>
      <c r="F490" s="109" t="s">
        <v>1015</v>
      </c>
      <c r="G490" s="5">
        <f t="shared" si="6"/>
        <v>-3.1588183679438386E-2</v>
      </c>
    </row>
    <row r="491" spans="1:7">
      <c r="A491" s="109">
        <v>206.05</v>
      </c>
      <c r="B491" s="109">
        <v>209.33</v>
      </c>
      <c r="C491" s="109">
        <v>204.19</v>
      </c>
      <c r="D491" s="109">
        <v>206.78</v>
      </c>
      <c r="E491" s="109">
        <v>307993</v>
      </c>
      <c r="F491" s="109" t="s">
        <v>1016</v>
      </c>
      <c r="G491" s="5">
        <f t="shared" si="6"/>
        <v>-3.5303220814391079E-3</v>
      </c>
    </row>
    <row r="492" spans="1:7">
      <c r="A492" s="109">
        <v>207.07</v>
      </c>
      <c r="B492" s="109">
        <v>210.08</v>
      </c>
      <c r="C492" s="109">
        <v>205.04</v>
      </c>
      <c r="D492" s="109">
        <v>205.22</v>
      </c>
      <c r="E492" s="109">
        <v>213655</v>
      </c>
      <c r="F492" s="109" t="s">
        <v>1017</v>
      </c>
      <c r="G492" s="5">
        <f t="shared" si="6"/>
        <v>9.014715914628102E-3</v>
      </c>
    </row>
    <row r="493" spans="1:7">
      <c r="A493" s="109">
        <v>205.5</v>
      </c>
      <c r="B493" s="109">
        <v>208.12</v>
      </c>
      <c r="C493" s="109">
        <v>203.72</v>
      </c>
      <c r="D493" s="109">
        <v>206</v>
      </c>
      <c r="E493" s="109">
        <v>182192</v>
      </c>
      <c r="F493" s="109" t="s">
        <v>1018</v>
      </c>
      <c r="G493" s="5">
        <f t="shared" si="6"/>
        <v>-2.4271844660194164E-3</v>
      </c>
    </row>
    <row r="494" spans="1:7">
      <c r="A494" s="109">
        <v>206.96</v>
      </c>
      <c r="B494" s="109">
        <v>209.18</v>
      </c>
      <c r="C494" s="109">
        <v>202.82</v>
      </c>
      <c r="D494" s="109">
        <v>206.69</v>
      </c>
      <c r="E494" s="109">
        <v>361864</v>
      </c>
      <c r="F494" s="109" t="s">
        <v>1019</v>
      </c>
      <c r="G494" s="5">
        <f t="shared" si="6"/>
        <v>1.3063041269534281E-3</v>
      </c>
    </row>
    <row r="495" spans="1:7">
      <c r="A495" s="109">
        <v>206.83</v>
      </c>
      <c r="B495" s="109">
        <v>210.56</v>
      </c>
      <c r="C495" s="109">
        <v>205.22</v>
      </c>
      <c r="D495" s="109">
        <v>205.88</v>
      </c>
      <c r="E495" s="109">
        <v>259498</v>
      </c>
      <c r="F495" s="109" t="s">
        <v>1020</v>
      </c>
      <c r="G495" s="5">
        <f t="shared" si="6"/>
        <v>4.6143384495822559E-3</v>
      </c>
    </row>
    <row r="496" spans="1:7">
      <c r="A496" s="109">
        <v>206.06</v>
      </c>
      <c r="B496" s="109">
        <v>207.73500000000001</v>
      </c>
      <c r="C496" s="109">
        <v>196.38</v>
      </c>
      <c r="D496" s="109">
        <v>196.73</v>
      </c>
      <c r="E496" s="109">
        <v>481606</v>
      </c>
      <c r="F496" s="109" t="s">
        <v>1021</v>
      </c>
      <c r="G496" s="5">
        <f t="shared" si="6"/>
        <v>4.7425405377929275E-2</v>
      </c>
    </row>
    <row r="497" spans="1:7">
      <c r="A497" s="109">
        <v>200.09</v>
      </c>
      <c r="B497" s="109">
        <v>201.655</v>
      </c>
      <c r="C497" s="109">
        <v>195.24</v>
      </c>
      <c r="D497" s="109">
        <v>198.42</v>
      </c>
      <c r="E497" s="109">
        <v>380693</v>
      </c>
      <c r="F497" s="109" t="s">
        <v>1022</v>
      </c>
      <c r="G497" s="5">
        <f t="shared" si="6"/>
        <v>8.4164902731580504E-3</v>
      </c>
    </row>
    <row r="498" spans="1:7">
      <c r="A498" s="109">
        <v>196.42</v>
      </c>
      <c r="B498" s="109">
        <v>198.82499999999999</v>
      </c>
      <c r="C498" s="109">
        <v>192.03</v>
      </c>
      <c r="D498" s="109">
        <v>194.19</v>
      </c>
      <c r="E498" s="109">
        <v>632898</v>
      </c>
      <c r="F498" s="109" t="s">
        <v>1023</v>
      </c>
      <c r="G498" s="5">
        <f t="shared" ref="G498:G561" si="7">A498/D498-1</f>
        <v>1.1483598537514794E-2</v>
      </c>
    </row>
    <row r="499" spans="1:7">
      <c r="A499" s="109">
        <v>195.11</v>
      </c>
      <c r="B499" s="109">
        <v>219.65960000000001</v>
      </c>
      <c r="C499" s="109">
        <v>194.83</v>
      </c>
      <c r="D499" s="109">
        <v>216.23</v>
      </c>
      <c r="E499" s="109">
        <v>1147008</v>
      </c>
      <c r="F499" s="109" t="s">
        <v>1024</v>
      </c>
      <c r="G499" s="5">
        <f t="shared" si="7"/>
        <v>-9.767377329695226E-2</v>
      </c>
    </row>
    <row r="500" spans="1:7">
      <c r="A500" s="109">
        <v>215.56</v>
      </c>
      <c r="B500" s="109">
        <v>233.54</v>
      </c>
      <c r="C500" s="109">
        <v>212.27510000000001</v>
      </c>
      <c r="D500" s="109">
        <v>231.89</v>
      </c>
      <c r="E500" s="109">
        <v>678506</v>
      </c>
      <c r="F500" s="109" t="s">
        <v>1025</v>
      </c>
      <c r="G500" s="5">
        <f t="shared" si="7"/>
        <v>-7.0421320453663339E-2</v>
      </c>
    </row>
    <row r="501" spans="1:7">
      <c r="A501" s="109">
        <v>232.9</v>
      </c>
      <c r="B501" s="109">
        <v>235.75</v>
      </c>
      <c r="C501" s="109">
        <v>225.42</v>
      </c>
      <c r="D501" s="109">
        <v>225.42</v>
      </c>
      <c r="E501" s="109">
        <v>360323</v>
      </c>
      <c r="F501" s="109" t="s">
        <v>1026</v>
      </c>
      <c r="G501" s="5">
        <f t="shared" si="7"/>
        <v>3.3182503770739169E-2</v>
      </c>
    </row>
    <row r="502" spans="1:7">
      <c r="A502" s="109">
        <v>223.07</v>
      </c>
      <c r="B502" s="109">
        <v>223.66499999999999</v>
      </c>
      <c r="C502" s="109">
        <v>217.19</v>
      </c>
      <c r="D502" s="109">
        <v>223.05</v>
      </c>
      <c r="E502" s="109">
        <v>296141</v>
      </c>
      <c r="F502" s="109" t="s">
        <v>1027</v>
      </c>
      <c r="G502" s="5">
        <f t="shared" si="7"/>
        <v>8.9665994171594932E-5</v>
      </c>
    </row>
    <row r="503" spans="1:7">
      <c r="A503" s="109">
        <v>225.45</v>
      </c>
      <c r="B503" s="109">
        <v>226.96</v>
      </c>
      <c r="C503" s="109">
        <v>219.79</v>
      </c>
      <c r="D503" s="109">
        <v>221.4</v>
      </c>
      <c r="E503" s="109">
        <v>393414</v>
      </c>
      <c r="F503" s="109" t="s">
        <v>1028</v>
      </c>
      <c r="G503" s="5">
        <f t="shared" si="7"/>
        <v>1.8292682926829285E-2</v>
      </c>
    </row>
    <row r="504" spans="1:7">
      <c r="A504" s="109">
        <v>222.62</v>
      </c>
      <c r="B504" s="109">
        <v>233.04</v>
      </c>
      <c r="C504" s="109">
        <v>221.51</v>
      </c>
      <c r="D504" s="109">
        <v>231.9</v>
      </c>
      <c r="E504" s="109">
        <v>409419</v>
      </c>
      <c r="F504" s="109" t="s">
        <v>1029</v>
      </c>
      <c r="G504" s="5">
        <f t="shared" si="7"/>
        <v>-4.0017248814144035E-2</v>
      </c>
    </row>
    <row r="505" spans="1:7">
      <c r="A505" s="109">
        <v>231.05</v>
      </c>
      <c r="B505" s="109">
        <v>233.84</v>
      </c>
      <c r="C505" s="109">
        <v>226.74</v>
      </c>
      <c r="D505" s="109">
        <v>233.84</v>
      </c>
      <c r="E505" s="109">
        <v>582318</v>
      </c>
      <c r="F505" s="109" t="s">
        <v>1030</v>
      </c>
      <c r="G505" s="5">
        <f t="shared" si="7"/>
        <v>-1.193123503250082E-2</v>
      </c>
    </row>
    <row r="506" spans="1:7">
      <c r="A506" s="109">
        <v>232.69</v>
      </c>
      <c r="B506" s="109">
        <v>237.47</v>
      </c>
      <c r="C506" s="109">
        <v>231.05</v>
      </c>
      <c r="D506" s="109">
        <v>236.28</v>
      </c>
      <c r="E506" s="109">
        <v>319183</v>
      </c>
      <c r="F506" s="109" t="s">
        <v>1031</v>
      </c>
      <c r="G506" s="5">
        <f t="shared" si="7"/>
        <v>-1.5193837819536204E-2</v>
      </c>
    </row>
    <row r="507" spans="1:7">
      <c r="A507" s="109">
        <v>238.63</v>
      </c>
      <c r="B507" s="109">
        <v>241.03</v>
      </c>
      <c r="C507" s="109">
        <v>236.13</v>
      </c>
      <c r="D507" s="109">
        <v>240.99</v>
      </c>
      <c r="E507" s="109">
        <v>303906</v>
      </c>
      <c r="F507" s="109" t="s">
        <v>1032</v>
      </c>
      <c r="G507" s="5">
        <f t="shared" si="7"/>
        <v>-9.7929374662849566E-3</v>
      </c>
    </row>
    <row r="508" spans="1:7">
      <c r="A508" s="109">
        <v>241.91</v>
      </c>
      <c r="B508" s="109">
        <v>248.33</v>
      </c>
      <c r="C508" s="109">
        <v>241.09</v>
      </c>
      <c r="D508" s="109">
        <v>248.33</v>
      </c>
      <c r="E508" s="109">
        <v>287649</v>
      </c>
      <c r="F508" s="109" t="s">
        <v>1033</v>
      </c>
      <c r="G508" s="5">
        <f t="shared" si="7"/>
        <v>-2.585269600934248E-2</v>
      </c>
    </row>
    <row r="509" spans="1:7">
      <c r="A509" s="109">
        <v>246.8</v>
      </c>
      <c r="B509" s="109">
        <v>248.35</v>
      </c>
      <c r="C509" s="109">
        <v>241.66</v>
      </c>
      <c r="D509" s="109">
        <v>241.69</v>
      </c>
      <c r="E509" s="109">
        <v>235923</v>
      </c>
      <c r="F509" s="109" t="s">
        <v>1034</v>
      </c>
      <c r="G509" s="5">
        <f t="shared" si="7"/>
        <v>2.1142786213744991E-2</v>
      </c>
    </row>
    <row r="510" spans="1:7">
      <c r="A510" s="109">
        <v>240.69</v>
      </c>
      <c r="B510" s="109">
        <v>250.14500000000001</v>
      </c>
      <c r="C510" s="109">
        <v>239.87</v>
      </c>
      <c r="D510" s="109">
        <v>247.13</v>
      </c>
      <c r="E510" s="109">
        <v>247041</v>
      </c>
      <c r="F510" s="109" t="s">
        <v>1035</v>
      </c>
      <c r="G510" s="5">
        <f t="shared" si="7"/>
        <v>-2.6059159147007627E-2</v>
      </c>
    </row>
    <row r="511" spans="1:7">
      <c r="A511" s="109">
        <v>245.61</v>
      </c>
      <c r="B511" s="109">
        <v>248.09</v>
      </c>
      <c r="C511" s="109">
        <v>244.01</v>
      </c>
      <c r="D511" s="109">
        <v>245.05</v>
      </c>
      <c r="E511" s="109">
        <v>158825</v>
      </c>
      <c r="F511" s="109" t="s">
        <v>1036</v>
      </c>
      <c r="G511" s="5">
        <f t="shared" si="7"/>
        <v>2.2852479085901933E-3</v>
      </c>
    </row>
    <row r="512" spans="1:7">
      <c r="A512" s="109">
        <v>247.16</v>
      </c>
      <c r="B512" s="109">
        <v>249.79750000000001</v>
      </c>
      <c r="C512" s="109">
        <v>245.58</v>
      </c>
      <c r="D512" s="109">
        <v>246.48</v>
      </c>
      <c r="E512" s="109">
        <v>150811</v>
      </c>
      <c r="F512" s="109" t="s">
        <v>1037</v>
      </c>
      <c r="G512" s="5">
        <f t="shared" si="7"/>
        <v>2.7588445309965071E-3</v>
      </c>
    </row>
    <row r="513" spans="1:7">
      <c r="A513" s="109">
        <v>247.53</v>
      </c>
      <c r="B513" s="109">
        <v>252.02500000000001</v>
      </c>
      <c r="C513" s="109">
        <v>245</v>
      </c>
      <c r="D513" s="109">
        <v>251.19</v>
      </c>
      <c r="E513" s="109">
        <v>263537</v>
      </c>
      <c r="F513" s="109" t="s">
        <v>1038</v>
      </c>
      <c r="G513" s="5">
        <f t="shared" si="7"/>
        <v>-1.4570643735817512E-2</v>
      </c>
    </row>
    <row r="514" spans="1:7">
      <c r="A514" s="109">
        <v>250.36</v>
      </c>
      <c r="B514" s="109">
        <v>260.33999999999997</v>
      </c>
      <c r="C514" s="109">
        <v>249.67500000000001</v>
      </c>
      <c r="D514" s="109">
        <v>260.33999999999997</v>
      </c>
      <c r="E514" s="109">
        <v>248384</v>
      </c>
      <c r="F514" s="109" t="s">
        <v>1039</v>
      </c>
      <c r="G514" s="5">
        <f t="shared" si="7"/>
        <v>-3.8334485672581908E-2</v>
      </c>
    </row>
    <row r="515" spans="1:7">
      <c r="A515" s="109">
        <v>262.43</v>
      </c>
      <c r="B515" s="109">
        <v>265.2</v>
      </c>
      <c r="C515" s="109">
        <v>261.5</v>
      </c>
      <c r="D515" s="109">
        <v>265.07</v>
      </c>
      <c r="E515" s="109">
        <v>248919</v>
      </c>
      <c r="F515" s="109" t="s">
        <v>1040</v>
      </c>
      <c r="G515" s="5">
        <f t="shared" si="7"/>
        <v>-9.959633304410076E-3</v>
      </c>
    </row>
    <row r="516" spans="1:7">
      <c r="A516" s="109">
        <v>262.7</v>
      </c>
      <c r="B516" s="109">
        <v>263.83999999999997</v>
      </c>
      <c r="C516" s="109">
        <v>260</v>
      </c>
      <c r="D516" s="109">
        <v>260.87</v>
      </c>
      <c r="E516" s="109">
        <v>261492</v>
      </c>
      <c r="F516" s="109" t="s">
        <v>1041</v>
      </c>
      <c r="G516" s="5">
        <f t="shared" si="7"/>
        <v>7.0149883083527875E-3</v>
      </c>
    </row>
    <row r="517" spans="1:7">
      <c r="A517" s="109">
        <v>262.25</v>
      </c>
      <c r="B517" s="109">
        <v>268.06</v>
      </c>
      <c r="C517" s="109">
        <v>261.19</v>
      </c>
      <c r="D517" s="109">
        <v>265.83999999999997</v>
      </c>
      <c r="E517" s="109">
        <v>310107</v>
      </c>
      <c r="F517" s="109" t="s">
        <v>1042</v>
      </c>
      <c r="G517" s="5">
        <f t="shared" si="7"/>
        <v>-1.3504363526933405E-2</v>
      </c>
    </row>
    <row r="518" spans="1:7">
      <c r="A518" s="109">
        <v>267.58999999999997</v>
      </c>
      <c r="B518" s="109">
        <v>269.43040000000002</v>
      </c>
      <c r="C518" s="109">
        <v>262.85000000000002</v>
      </c>
      <c r="D518" s="109">
        <v>268.70999999999998</v>
      </c>
      <c r="E518" s="109">
        <v>614402</v>
      </c>
      <c r="F518" s="109" t="s">
        <v>1043</v>
      </c>
      <c r="G518" s="5">
        <f t="shared" si="7"/>
        <v>-4.1680622232146414E-3</v>
      </c>
    </row>
    <row r="519" spans="1:7">
      <c r="A519" s="109">
        <v>269.45999999999998</v>
      </c>
      <c r="B519" s="109">
        <v>282.11</v>
      </c>
      <c r="C519" s="109">
        <v>269.33</v>
      </c>
      <c r="D519" s="109">
        <v>279.77</v>
      </c>
      <c r="E519" s="109">
        <v>396500</v>
      </c>
      <c r="F519" s="109" t="s">
        <v>1044</v>
      </c>
      <c r="G519" s="5">
        <f t="shared" si="7"/>
        <v>-3.6851699610394251E-2</v>
      </c>
    </row>
    <row r="520" spans="1:7">
      <c r="A520" s="109">
        <v>279.26</v>
      </c>
      <c r="B520" s="109">
        <v>292.26</v>
      </c>
      <c r="C520" s="109">
        <v>278.315</v>
      </c>
      <c r="D520" s="109">
        <v>288.55</v>
      </c>
      <c r="E520" s="109">
        <v>392986</v>
      </c>
      <c r="F520" s="109" t="s">
        <v>1045</v>
      </c>
      <c r="G520" s="5">
        <f t="shared" si="7"/>
        <v>-3.2195460058915382E-2</v>
      </c>
    </row>
    <row r="521" spans="1:7">
      <c r="A521" s="109">
        <v>290.22000000000003</v>
      </c>
      <c r="B521" s="109">
        <v>298.97000000000003</v>
      </c>
      <c r="C521" s="109">
        <v>288.06</v>
      </c>
      <c r="D521" s="109">
        <v>298.97000000000003</v>
      </c>
      <c r="E521" s="109">
        <v>402300</v>
      </c>
      <c r="F521" s="109" t="s">
        <v>1046</v>
      </c>
      <c r="G521" s="5">
        <f t="shared" si="7"/>
        <v>-2.9267150550222443E-2</v>
      </c>
    </row>
    <row r="522" spans="1:7">
      <c r="A522" s="109">
        <v>300.02</v>
      </c>
      <c r="B522" s="109">
        <v>302</v>
      </c>
      <c r="C522" s="109">
        <v>293.80360000000002</v>
      </c>
      <c r="D522" s="109">
        <v>294.69</v>
      </c>
      <c r="E522" s="109">
        <v>433085</v>
      </c>
      <c r="F522" s="109" t="s">
        <v>1047</v>
      </c>
      <c r="G522" s="5">
        <f t="shared" si="7"/>
        <v>1.8086803081204028E-2</v>
      </c>
    </row>
    <row r="523" spans="1:7">
      <c r="A523" s="109">
        <v>292.98</v>
      </c>
      <c r="B523" s="109">
        <v>294</v>
      </c>
      <c r="C523" s="109">
        <v>283.46499999999997</v>
      </c>
      <c r="D523" s="109">
        <v>288.66000000000003</v>
      </c>
      <c r="E523" s="109">
        <v>841023</v>
      </c>
      <c r="F523" s="109" t="s">
        <v>1048</v>
      </c>
      <c r="G523" s="5">
        <f t="shared" si="7"/>
        <v>1.4965703595926083E-2</v>
      </c>
    </row>
    <row r="524" spans="1:7">
      <c r="A524" s="109">
        <v>289.52999999999997</v>
      </c>
      <c r="B524" s="109">
        <v>291.38</v>
      </c>
      <c r="C524" s="109">
        <v>277.86</v>
      </c>
      <c r="D524" s="109">
        <v>277.86</v>
      </c>
      <c r="E524" s="109">
        <v>683289</v>
      </c>
      <c r="F524" s="109" t="s">
        <v>1049</v>
      </c>
      <c r="G524" s="5">
        <f t="shared" si="7"/>
        <v>4.1999568127834008E-2</v>
      </c>
    </row>
    <row r="525" spans="1:7">
      <c r="A525" s="109">
        <v>279.06</v>
      </c>
      <c r="B525" s="109">
        <v>281.47000000000003</v>
      </c>
      <c r="C525" s="109">
        <v>265.44</v>
      </c>
      <c r="D525" s="109">
        <v>265.44</v>
      </c>
      <c r="E525" s="109">
        <v>510505</v>
      </c>
      <c r="F525" s="109" t="s">
        <v>1050</v>
      </c>
      <c r="G525" s="5">
        <f t="shared" si="7"/>
        <v>5.1311030741410413E-2</v>
      </c>
    </row>
    <row r="526" spans="1:7">
      <c r="A526" s="109">
        <v>262.10000000000002</v>
      </c>
      <c r="B526" s="109">
        <v>264.41000000000003</v>
      </c>
      <c r="C526" s="109">
        <v>258.435</v>
      </c>
      <c r="D526" s="109">
        <v>263.07</v>
      </c>
      <c r="E526" s="109">
        <v>315379</v>
      </c>
      <c r="F526" s="109" t="s">
        <v>1051</v>
      </c>
      <c r="G526" s="5">
        <f t="shared" si="7"/>
        <v>-3.6872315353326801E-3</v>
      </c>
    </row>
    <row r="527" spans="1:7">
      <c r="A527" s="109">
        <v>264.12</v>
      </c>
      <c r="B527" s="109">
        <v>267.37</v>
      </c>
      <c r="C527" s="109">
        <v>262.62</v>
      </c>
      <c r="D527" s="109">
        <v>266.62</v>
      </c>
      <c r="E527" s="109">
        <v>229067</v>
      </c>
      <c r="F527" s="109" t="s">
        <v>1052</v>
      </c>
      <c r="G527" s="5">
        <f t="shared" si="7"/>
        <v>-9.3766409121596173E-3</v>
      </c>
    </row>
    <row r="528" spans="1:7">
      <c r="A528" s="109">
        <v>264.5</v>
      </c>
      <c r="B528" s="109">
        <v>268.51</v>
      </c>
      <c r="C528" s="109">
        <v>262.44499999999999</v>
      </c>
      <c r="D528" s="109">
        <v>264.08</v>
      </c>
      <c r="E528" s="109">
        <v>358066</v>
      </c>
      <c r="F528" s="109" t="s">
        <v>1053</v>
      </c>
      <c r="G528" s="5">
        <f t="shared" si="7"/>
        <v>1.5904271432900519E-3</v>
      </c>
    </row>
    <row r="529" spans="1:7">
      <c r="A529" s="109">
        <v>263.94</v>
      </c>
      <c r="B529" s="109">
        <v>266.82</v>
      </c>
      <c r="C529" s="109">
        <v>259.04000000000002</v>
      </c>
      <c r="D529" s="109">
        <v>259.25</v>
      </c>
      <c r="E529" s="109">
        <v>253273</v>
      </c>
      <c r="F529" s="109" t="s">
        <v>1054</v>
      </c>
      <c r="G529" s="5">
        <f t="shared" si="7"/>
        <v>1.8090646094503393E-2</v>
      </c>
    </row>
    <row r="530" spans="1:7">
      <c r="A530" s="109">
        <v>259.01</v>
      </c>
      <c r="B530" s="109">
        <v>259.36</v>
      </c>
      <c r="C530" s="109">
        <v>252.04</v>
      </c>
      <c r="D530" s="109">
        <v>252.04</v>
      </c>
      <c r="E530" s="109">
        <v>181353</v>
      </c>
      <c r="F530" s="109" t="s">
        <v>1055</v>
      </c>
      <c r="G530" s="5">
        <f t="shared" si="7"/>
        <v>2.7654340580860248E-2</v>
      </c>
    </row>
    <row r="531" spans="1:7">
      <c r="A531" s="109">
        <v>252.53</v>
      </c>
      <c r="B531" s="109">
        <v>256.875</v>
      </c>
      <c r="C531" s="109">
        <v>252.37</v>
      </c>
      <c r="D531" s="109">
        <v>253</v>
      </c>
      <c r="E531" s="109">
        <v>223849</v>
      </c>
      <c r="F531" s="109" t="s">
        <v>1056</v>
      </c>
      <c r="G531" s="5">
        <f t="shared" si="7"/>
        <v>-1.8577075098814566E-3</v>
      </c>
    </row>
    <row r="532" spans="1:7">
      <c r="A532" s="109">
        <v>251.43</v>
      </c>
      <c r="B532" s="109">
        <v>252.18</v>
      </c>
      <c r="C532" s="109">
        <v>247.29499999999999</v>
      </c>
      <c r="D532" s="109">
        <v>249.45</v>
      </c>
      <c r="E532" s="109">
        <v>185817</v>
      </c>
      <c r="F532" s="109" t="s">
        <v>1057</v>
      </c>
      <c r="G532" s="5">
        <f t="shared" si="7"/>
        <v>7.9374624173180752E-3</v>
      </c>
    </row>
    <row r="533" spans="1:7">
      <c r="A533" s="109">
        <v>248.71</v>
      </c>
      <c r="B533" s="109">
        <v>254</v>
      </c>
      <c r="C533" s="109">
        <v>248.52</v>
      </c>
      <c r="D533" s="109">
        <v>253.46</v>
      </c>
      <c r="E533" s="109">
        <v>185023</v>
      </c>
      <c r="F533" s="109" t="s">
        <v>1058</v>
      </c>
      <c r="G533" s="5">
        <f t="shared" si="7"/>
        <v>-1.8740629685157439E-2</v>
      </c>
    </row>
    <row r="534" spans="1:7">
      <c r="A534" s="109">
        <v>252.88</v>
      </c>
      <c r="B534" s="109">
        <v>254.22499999999999</v>
      </c>
      <c r="C534" s="109">
        <v>250.2</v>
      </c>
      <c r="D534" s="109">
        <v>252.64</v>
      </c>
      <c r="E534" s="109">
        <v>207559</v>
      </c>
      <c r="F534" s="109" t="s">
        <v>1059</v>
      </c>
      <c r="G534" s="5">
        <f t="shared" si="7"/>
        <v>9.499683343889842E-4</v>
      </c>
    </row>
    <row r="535" spans="1:7">
      <c r="A535" s="109">
        <v>252.44</v>
      </c>
      <c r="B535" s="109">
        <v>254.09</v>
      </c>
      <c r="C535" s="109">
        <v>247.77</v>
      </c>
      <c r="D535" s="109">
        <v>249.05</v>
      </c>
      <c r="E535" s="109">
        <v>347626</v>
      </c>
      <c r="F535" s="109" t="s">
        <v>1060</v>
      </c>
      <c r="G535" s="5">
        <f t="shared" si="7"/>
        <v>1.3611724553302507E-2</v>
      </c>
    </row>
    <row r="536" spans="1:7">
      <c r="A536" s="109">
        <v>248.71</v>
      </c>
      <c r="B536" s="109">
        <v>252.7</v>
      </c>
      <c r="C536" s="109">
        <v>246.69</v>
      </c>
      <c r="D536" s="109">
        <v>251.53</v>
      </c>
      <c r="E536" s="109">
        <v>328863</v>
      </c>
      <c r="F536" s="109" t="s">
        <v>1061</v>
      </c>
      <c r="G536" s="5">
        <f t="shared" si="7"/>
        <v>-1.1211386315747585E-2</v>
      </c>
    </row>
    <row r="537" spans="1:7">
      <c r="A537" s="109">
        <v>251.22</v>
      </c>
      <c r="B537" s="109">
        <v>253.92</v>
      </c>
      <c r="C537" s="109">
        <v>248.03</v>
      </c>
      <c r="D537" s="109">
        <v>253.61</v>
      </c>
      <c r="E537" s="109">
        <v>453990</v>
      </c>
      <c r="F537" s="109" t="s">
        <v>1062</v>
      </c>
      <c r="G537" s="5">
        <f t="shared" si="7"/>
        <v>-9.423918615196647E-3</v>
      </c>
    </row>
    <row r="538" spans="1:7">
      <c r="A538" s="109">
        <v>254.99</v>
      </c>
      <c r="B538" s="109">
        <v>259.11</v>
      </c>
      <c r="C538" s="109">
        <v>253.47</v>
      </c>
      <c r="D538" s="109">
        <v>255.63</v>
      </c>
      <c r="E538" s="109">
        <v>377084</v>
      </c>
      <c r="F538" s="109" t="s">
        <v>1063</v>
      </c>
      <c r="G538" s="5">
        <f t="shared" si="7"/>
        <v>-2.5036185111293463E-3</v>
      </c>
    </row>
    <row r="539" spans="1:7">
      <c r="A539" s="109">
        <v>255.43</v>
      </c>
      <c r="B539" s="109">
        <v>261.3</v>
      </c>
      <c r="C539" s="109">
        <v>254.36250000000001</v>
      </c>
      <c r="D539" s="109">
        <v>259.95</v>
      </c>
      <c r="E539" s="109">
        <v>344664</v>
      </c>
      <c r="F539" s="109" t="s">
        <v>1064</v>
      </c>
      <c r="G539" s="5">
        <f t="shared" si="7"/>
        <v>-1.7387959222927463E-2</v>
      </c>
    </row>
    <row r="540" spans="1:7">
      <c r="A540" s="109">
        <v>260.12</v>
      </c>
      <c r="B540" s="109">
        <v>261.48500000000001</v>
      </c>
      <c r="C540" s="109">
        <v>255.35499999999999</v>
      </c>
      <c r="D540" s="109">
        <v>255.43</v>
      </c>
      <c r="E540" s="109">
        <v>415822</v>
      </c>
      <c r="F540" s="109" t="s">
        <v>1065</v>
      </c>
      <c r="G540" s="5">
        <f t="shared" si="7"/>
        <v>1.8361194847903439E-2</v>
      </c>
    </row>
    <row r="541" spans="1:7">
      <c r="A541" s="109">
        <v>255.63</v>
      </c>
      <c r="B541" s="109">
        <v>255.74</v>
      </c>
      <c r="C541" s="109">
        <v>246.82</v>
      </c>
      <c r="D541" s="109">
        <v>246.82</v>
      </c>
      <c r="E541" s="109">
        <v>375564</v>
      </c>
      <c r="F541" s="109" t="s">
        <v>1066</v>
      </c>
      <c r="G541" s="5">
        <f t="shared" si="7"/>
        <v>3.5694028036625802E-2</v>
      </c>
    </row>
    <row r="542" spans="1:7">
      <c r="A542" s="109">
        <v>247.44</v>
      </c>
      <c r="B542" s="109">
        <v>248.9</v>
      </c>
      <c r="C542" s="109">
        <v>246.04</v>
      </c>
      <c r="D542" s="109">
        <v>247.15</v>
      </c>
      <c r="E542" s="109">
        <v>204089</v>
      </c>
      <c r="F542" s="109" t="s">
        <v>1067</v>
      </c>
      <c r="G542" s="5">
        <f t="shared" si="7"/>
        <v>1.1733764920087708E-3</v>
      </c>
    </row>
    <row r="543" spans="1:7">
      <c r="A543" s="109">
        <v>248.39</v>
      </c>
      <c r="B543" s="109">
        <v>251.16</v>
      </c>
      <c r="C543" s="109">
        <v>246.63</v>
      </c>
      <c r="D543" s="109">
        <v>247.13</v>
      </c>
      <c r="E543" s="109">
        <v>291848</v>
      </c>
      <c r="F543" s="109" t="s">
        <v>1068</v>
      </c>
      <c r="G543" s="5">
        <f t="shared" si="7"/>
        <v>5.0985311374580622E-3</v>
      </c>
    </row>
    <row r="544" spans="1:7">
      <c r="A544" s="109">
        <v>246.96</v>
      </c>
      <c r="B544" s="109">
        <v>250.25</v>
      </c>
      <c r="C544" s="109">
        <v>243.15</v>
      </c>
      <c r="D544" s="109">
        <v>248.37</v>
      </c>
      <c r="E544" s="109">
        <v>308870</v>
      </c>
      <c r="F544" s="109" t="s">
        <v>1069</v>
      </c>
      <c r="G544" s="5">
        <f t="shared" si="7"/>
        <v>-5.6770141321415002E-3</v>
      </c>
    </row>
    <row r="545" spans="1:7">
      <c r="A545" s="109">
        <v>247.89</v>
      </c>
      <c r="B545" s="109">
        <v>251</v>
      </c>
      <c r="C545" s="109">
        <v>244.54</v>
      </c>
      <c r="D545" s="109">
        <v>251</v>
      </c>
      <c r="E545" s="109">
        <v>408678</v>
      </c>
      <c r="F545" s="109" t="s">
        <v>1070</v>
      </c>
      <c r="G545" s="5">
        <f t="shared" si="7"/>
        <v>-1.2390438247012026E-2</v>
      </c>
    </row>
    <row r="546" spans="1:7">
      <c r="A546" s="109">
        <v>252.66</v>
      </c>
      <c r="B546" s="109">
        <v>261.04000000000002</v>
      </c>
      <c r="C546" s="109">
        <v>252.09</v>
      </c>
      <c r="D546" s="109">
        <v>253.48</v>
      </c>
      <c r="E546" s="109">
        <v>440126</v>
      </c>
      <c r="F546" s="109" t="s">
        <v>1071</v>
      </c>
      <c r="G546" s="5">
        <f t="shared" si="7"/>
        <v>-3.2349692283414333E-3</v>
      </c>
    </row>
    <row r="547" spans="1:7">
      <c r="A547" s="109">
        <v>252.36</v>
      </c>
      <c r="B547" s="109">
        <v>256.245</v>
      </c>
      <c r="C547" s="109">
        <v>248.45500000000001</v>
      </c>
      <c r="D547" s="109">
        <v>254.59</v>
      </c>
      <c r="E547" s="109">
        <v>647361</v>
      </c>
      <c r="F547" s="109" t="s">
        <v>1072</v>
      </c>
      <c r="G547" s="5">
        <f t="shared" si="7"/>
        <v>-8.7591814289641468E-3</v>
      </c>
    </row>
    <row r="548" spans="1:7">
      <c r="A548" s="109">
        <v>255.28</v>
      </c>
      <c r="B548" s="109">
        <v>270.63</v>
      </c>
      <c r="C548" s="109">
        <v>255.03</v>
      </c>
      <c r="D548" s="109">
        <v>270.06</v>
      </c>
      <c r="E548" s="109">
        <v>749870</v>
      </c>
      <c r="F548" s="109" t="s">
        <v>1073</v>
      </c>
      <c r="G548" s="5">
        <f t="shared" si="7"/>
        <v>-5.472857883433313E-2</v>
      </c>
    </row>
    <row r="549" spans="1:7">
      <c r="A549" s="109">
        <v>269.45999999999998</v>
      </c>
      <c r="B549" s="109">
        <v>277.35000000000002</v>
      </c>
      <c r="C549" s="109">
        <v>261.88</v>
      </c>
      <c r="D549" s="109">
        <v>263.83</v>
      </c>
      <c r="E549" s="109">
        <v>1621906</v>
      </c>
      <c r="F549" s="109" t="s">
        <v>1074</v>
      </c>
      <c r="G549" s="5">
        <f t="shared" si="7"/>
        <v>2.1339498919758837E-2</v>
      </c>
    </row>
    <row r="550" spans="1:7">
      <c r="A550" s="109">
        <v>298.33</v>
      </c>
      <c r="B550" s="109">
        <v>301.64999999999998</v>
      </c>
      <c r="C550" s="109">
        <v>294.27999999999997</v>
      </c>
      <c r="D550" s="109">
        <v>300.03500000000003</v>
      </c>
      <c r="E550" s="109">
        <v>493435</v>
      </c>
      <c r="F550" s="109" t="s">
        <v>1075</v>
      </c>
      <c r="G550" s="5">
        <f t="shared" si="7"/>
        <v>-5.6826703551253743E-3</v>
      </c>
    </row>
    <row r="551" spans="1:7">
      <c r="A551" s="109">
        <v>303.36</v>
      </c>
      <c r="B551" s="109">
        <v>310.51</v>
      </c>
      <c r="C551" s="109">
        <v>300.86</v>
      </c>
      <c r="D551" s="109">
        <v>309.72000000000003</v>
      </c>
      <c r="E551" s="109">
        <v>338057</v>
      </c>
      <c r="F551" s="109" t="s">
        <v>1076</v>
      </c>
      <c r="G551" s="5">
        <f t="shared" si="7"/>
        <v>-2.0534676481983816E-2</v>
      </c>
    </row>
    <row r="552" spans="1:7">
      <c r="A552" s="109">
        <v>308.06</v>
      </c>
      <c r="B552" s="109">
        <v>309.10500000000002</v>
      </c>
      <c r="C552" s="109">
        <v>304.04000000000002</v>
      </c>
      <c r="D552" s="109">
        <v>308.12</v>
      </c>
      <c r="E552" s="109">
        <v>261708</v>
      </c>
      <c r="F552" s="109" t="s">
        <v>1077</v>
      </c>
      <c r="G552" s="5">
        <f t="shared" si="7"/>
        <v>-1.9472932623654238E-4</v>
      </c>
    </row>
    <row r="553" spans="1:7">
      <c r="A553" s="109">
        <v>304.85000000000002</v>
      </c>
      <c r="B553" s="109">
        <v>307.44619999999998</v>
      </c>
      <c r="C553" s="109">
        <v>303.63</v>
      </c>
      <c r="D553" s="109">
        <v>307.19</v>
      </c>
      <c r="E553" s="109">
        <v>267420</v>
      </c>
      <c r="F553" s="109" t="s">
        <v>1078</v>
      </c>
      <c r="G553" s="5">
        <f t="shared" si="7"/>
        <v>-7.6174354633938846E-3</v>
      </c>
    </row>
    <row r="554" spans="1:7">
      <c r="A554" s="109">
        <v>304.88</v>
      </c>
      <c r="B554" s="109">
        <v>306.54500000000002</v>
      </c>
      <c r="C554" s="109">
        <v>298.39</v>
      </c>
      <c r="D554" s="109">
        <v>300.2</v>
      </c>
      <c r="E554" s="109">
        <v>335675</v>
      </c>
      <c r="F554" s="109" t="s">
        <v>1079</v>
      </c>
      <c r="G554" s="5">
        <f t="shared" si="7"/>
        <v>1.558960692871425E-2</v>
      </c>
    </row>
    <row r="555" spans="1:7">
      <c r="A555" s="109">
        <v>301.83999999999997</v>
      </c>
      <c r="B555" s="109">
        <v>303.5</v>
      </c>
      <c r="C555" s="109">
        <v>300.74</v>
      </c>
      <c r="D555" s="109">
        <v>300.74</v>
      </c>
      <c r="E555" s="109">
        <v>273405</v>
      </c>
      <c r="F555" s="109" t="s">
        <v>1080</v>
      </c>
      <c r="G555" s="5">
        <f t="shared" si="7"/>
        <v>3.6576444769567118E-3</v>
      </c>
    </row>
    <row r="556" spans="1:7">
      <c r="A556" s="109">
        <v>302.64999999999998</v>
      </c>
      <c r="B556" s="109">
        <v>304.83999999999997</v>
      </c>
      <c r="C556" s="109">
        <v>299.93</v>
      </c>
      <c r="D556" s="109">
        <v>302.61</v>
      </c>
      <c r="E556" s="109">
        <v>381664</v>
      </c>
      <c r="F556" s="109" t="s">
        <v>1081</v>
      </c>
      <c r="G556" s="5">
        <f t="shared" si="7"/>
        <v>1.3218333829012607E-4</v>
      </c>
    </row>
    <row r="557" spans="1:7">
      <c r="A557" s="109">
        <v>303.57</v>
      </c>
      <c r="B557" s="109">
        <v>306.82</v>
      </c>
      <c r="C557" s="109">
        <v>301.43</v>
      </c>
      <c r="D557" s="109">
        <v>305.12</v>
      </c>
      <c r="E557" s="109">
        <v>324196</v>
      </c>
      <c r="F557" s="109" t="s">
        <v>1082</v>
      </c>
      <c r="G557" s="5">
        <f t="shared" si="7"/>
        <v>-5.0799685369691261E-3</v>
      </c>
    </row>
    <row r="558" spans="1:7">
      <c r="A558" s="109">
        <v>305.86</v>
      </c>
      <c r="B558" s="109">
        <v>308.58</v>
      </c>
      <c r="C558" s="109">
        <v>302.14</v>
      </c>
      <c r="D558" s="109">
        <v>302.94</v>
      </c>
      <c r="E558" s="109">
        <v>376152</v>
      </c>
      <c r="F558" s="109" t="s">
        <v>1083</v>
      </c>
      <c r="G558" s="5">
        <f t="shared" si="7"/>
        <v>9.6388723839704316E-3</v>
      </c>
    </row>
    <row r="559" spans="1:7">
      <c r="A559" s="109">
        <v>302.36</v>
      </c>
      <c r="B559" s="109">
        <v>319.67</v>
      </c>
      <c r="C559" s="109">
        <v>301.68</v>
      </c>
      <c r="D559" s="109">
        <v>319.22000000000003</v>
      </c>
      <c r="E559" s="109">
        <v>725603</v>
      </c>
      <c r="F559" s="109" t="s">
        <v>1084</v>
      </c>
      <c r="G559" s="5">
        <f t="shared" si="7"/>
        <v>-5.2816239583985958E-2</v>
      </c>
    </row>
    <row r="560" spans="1:7">
      <c r="A560" s="109">
        <v>314.54000000000002</v>
      </c>
      <c r="B560" s="109">
        <v>314.74</v>
      </c>
      <c r="C560" s="109">
        <v>308.07</v>
      </c>
      <c r="D560" s="109">
        <v>312.77</v>
      </c>
      <c r="E560" s="109">
        <v>440067</v>
      </c>
      <c r="F560" s="109" t="s">
        <v>1085</v>
      </c>
      <c r="G560" s="5">
        <f t="shared" si="7"/>
        <v>5.6591105285035415E-3</v>
      </c>
    </row>
    <row r="561" spans="1:7">
      <c r="A561" s="109">
        <v>313.49</v>
      </c>
      <c r="B561" s="109">
        <v>315.77999999999997</v>
      </c>
      <c r="C561" s="109">
        <v>312.45</v>
      </c>
      <c r="D561" s="109">
        <v>315.26</v>
      </c>
      <c r="E561" s="109">
        <v>419878</v>
      </c>
      <c r="F561" s="109" t="s">
        <v>1086</v>
      </c>
      <c r="G561" s="5">
        <f t="shared" si="7"/>
        <v>-5.6144134999682738E-3</v>
      </c>
    </row>
    <row r="562" spans="1:7">
      <c r="A562" s="109">
        <v>314.93</v>
      </c>
      <c r="B562" s="109">
        <v>323.33999999999997</v>
      </c>
      <c r="C562" s="109">
        <v>313.29000000000002</v>
      </c>
      <c r="D562" s="109">
        <v>318</v>
      </c>
      <c r="E562" s="109">
        <v>414821</v>
      </c>
      <c r="F562" s="109" t="s">
        <v>1087</v>
      </c>
      <c r="G562" s="5">
        <f t="shared" ref="G562:G625" si="8">A562/D562-1</f>
        <v>-9.6540880503144244E-3</v>
      </c>
    </row>
    <row r="563" spans="1:7">
      <c r="A563" s="109">
        <v>319.07</v>
      </c>
      <c r="B563" s="109">
        <v>320.16000000000003</v>
      </c>
      <c r="C563" s="109">
        <v>314.97000000000003</v>
      </c>
      <c r="D563" s="109">
        <v>318.51</v>
      </c>
      <c r="E563" s="109">
        <v>402008</v>
      </c>
      <c r="F563" s="109" t="s">
        <v>1088</v>
      </c>
      <c r="G563" s="5">
        <f t="shared" si="8"/>
        <v>1.7581865561520083E-3</v>
      </c>
    </row>
    <row r="564" spans="1:7">
      <c r="A564" s="109">
        <v>317.95999999999998</v>
      </c>
      <c r="B564" s="109">
        <v>324.58999999999997</v>
      </c>
      <c r="C564" s="109">
        <v>316.18</v>
      </c>
      <c r="D564" s="109">
        <v>324.5</v>
      </c>
      <c r="E564" s="109">
        <v>517965</v>
      </c>
      <c r="F564" s="109" t="s">
        <v>1089</v>
      </c>
      <c r="G564" s="5">
        <f t="shared" si="8"/>
        <v>-2.0154083204930728E-2</v>
      </c>
    </row>
    <row r="565" spans="1:7">
      <c r="A565" s="109">
        <v>321.36</v>
      </c>
      <c r="B565" s="109">
        <v>328.57</v>
      </c>
      <c r="C565" s="109">
        <v>320.80880000000002</v>
      </c>
      <c r="D565" s="109">
        <v>327.04000000000002</v>
      </c>
      <c r="E565" s="109">
        <v>463973</v>
      </c>
      <c r="F565" s="109" t="s">
        <v>1090</v>
      </c>
      <c r="G565" s="5">
        <f t="shared" si="8"/>
        <v>-1.7367906066536265E-2</v>
      </c>
    </row>
    <row r="566" spans="1:7">
      <c r="A566" s="109">
        <v>327.25</v>
      </c>
      <c r="B566" s="109">
        <v>332.52</v>
      </c>
      <c r="C566" s="109">
        <v>326.55</v>
      </c>
      <c r="D566" s="109">
        <v>329.4</v>
      </c>
      <c r="E566" s="109">
        <v>335051</v>
      </c>
      <c r="F566" s="109" t="s">
        <v>1091</v>
      </c>
      <c r="G566" s="5">
        <f t="shared" si="8"/>
        <v>-6.5270188221007164E-3</v>
      </c>
    </row>
    <row r="567" spans="1:7">
      <c r="A567" s="109">
        <v>327.37</v>
      </c>
      <c r="B567" s="109">
        <v>333.34</v>
      </c>
      <c r="C567" s="109">
        <v>326.70499999999998</v>
      </c>
      <c r="D567" s="109">
        <v>331.15</v>
      </c>
      <c r="E567" s="109">
        <v>273176</v>
      </c>
      <c r="F567" s="109" t="s">
        <v>1092</v>
      </c>
      <c r="G567" s="5">
        <f t="shared" si="8"/>
        <v>-1.1414766722029235E-2</v>
      </c>
    </row>
    <row r="568" spans="1:7">
      <c r="A568" s="109">
        <v>331.58</v>
      </c>
      <c r="B568" s="109">
        <v>339.26</v>
      </c>
      <c r="C568" s="109">
        <v>329.38</v>
      </c>
      <c r="D568" s="109">
        <v>336.67</v>
      </c>
      <c r="E568" s="109">
        <v>313639</v>
      </c>
      <c r="F568" s="109" t="s">
        <v>1093</v>
      </c>
      <c r="G568" s="5">
        <f t="shared" si="8"/>
        <v>-1.5118662191463517E-2</v>
      </c>
    </row>
    <row r="569" spans="1:7">
      <c r="A569" s="109">
        <v>337.29</v>
      </c>
      <c r="B569" s="109">
        <v>341.23</v>
      </c>
      <c r="C569" s="109">
        <v>333.6</v>
      </c>
      <c r="D569" s="109">
        <v>338.27</v>
      </c>
      <c r="E569" s="109">
        <v>310618</v>
      </c>
      <c r="F569" s="109" t="s">
        <v>1094</v>
      </c>
      <c r="G569" s="5">
        <f t="shared" si="8"/>
        <v>-2.8970940373073129E-3</v>
      </c>
    </row>
    <row r="570" spans="1:7">
      <c r="A570" s="109">
        <v>338.77</v>
      </c>
      <c r="B570" s="109">
        <v>344.04</v>
      </c>
      <c r="C570" s="109">
        <v>338.37</v>
      </c>
      <c r="D570" s="109">
        <v>341.45</v>
      </c>
      <c r="E570" s="109">
        <v>272414</v>
      </c>
      <c r="F570" s="109" t="s">
        <v>1095</v>
      </c>
      <c r="G570" s="5">
        <f t="shared" si="8"/>
        <v>-7.8488797774198815E-3</v>
      </c>
    </row>
    <row r="571" spans="1:7">
      <c r="A571" s="109">
        <v>344.06</v>
      </c>
      <c r="B571" s="109">
        <v>348.67</v>
      </c>
      <c r="C571" s="109">
        <v>341.39</v>
      </c>
      <c r="D571" s="109">
        <v>343.71</v>
      </c>
      <c r="E571" s="109">
        <v>378326</v>
      </c>
      <c r="F571" s="109" t="s">
        <v>1096</v>
      </c>
      <c r="G571" s="5">
        <f t="shared" si="8"/>
        <v>1.0183003113091171E-3</v>
      </c>
    </row>
    <row r="572" spans="1:7">
      <c r="A572" s="109">
        <v>340.37</v>
      </c>
      <c r="B572" s="109">
        <v>340.7</v>
      </c>
      <c r="C572" s="109">
        <v>328.94</v>
      </c>
      <c r="D572" s="109">
        <v>329</v>
      </c>
      <c r="E572" s="109">
        <v>350036</v>
      </c>
      <c r="F572" s="109" t="s">
        <v>1097</v>
      </c>
      <c r="G572" s="5">
        <f t="shared" si="8"/>
        <v>3.4559270516717255E-2</v>
      </c>
    </row>
    <row r="573" spans="1:7">
      <c r="A573" s="109">
        <v>329.43</v>
      </c>
      <c r="B573" s="109">
        <v>330.68</v>
      </c>
      <c r="C573" s="109">
        <v>327.08</v>
      </c>
      <c r="D573" s="109">
        <v>327.13</v>
      </c>
      <c r="E573" s="109">
        <v>262316</v>
      </c>
      <c r="F573" s="109" t="s">
        <v>1098</v>
      </c>
      <c r="G573" s="5">
        <f t="shared" si="8"/>
        <v>7.0308440069697387E-3</v>
      </c>
    </row>
    <row r="574" spans="1:7">
      <c r="A574" s="109">
        <v>327.35000000000002</v>
      </c>
      <c r="B574" s="109">
        <v>332.13</v>
      </c>
      <c r="C574" s="109">
        <v>325.77</v>
      </c>
      <c r="D574" s="109">
        <v>329.51</v>
      </c>
      <c r="E574" s="109">
        <v>346062</v>
      </c>
      <c r="F574" s="109" t="s">
        <v>1099</v>
      </c>
      <c r="G574" s="5">
        <f t="shared" si="8"/>
        <v>-6.555188006433732E-3</v>
      </c>
    </row>
    <row r="575" spans="1:7">
      <c r="A575" s="109">
        <v>329.26</v>
      </c>
      <c r="B575" s="109">
        <v>334.25</v>
      </c>
      <c r="C575" s="109">
        <v>328.78</v>
      </c>
      <c r="D575" s="109">
        <v>334.25</v>
      </c>
      <c r="E575" s="109">
        <v>320998</v>
      </c>
      <c r="F575" s="109" t="s">
        <v>1100</v>
      </c>
      <c r="G575" s="5">
        <f t="shared" si="8"/>
        <v>-1.4928945400149662E-2</v>
      </c>
    </row>
    <row r="576" spans="1:7">
      <c r="A576" s="109">
        <v>334.1</v>
      </c>
      <c r="B576" s="109">
        <v>339.44</v>
      </c>
      <c r="C576" s="109">
        <v>333.41</v>
      </c>
      <c r="D576" s="109">
        <v>337.23</v>
      </c>
      <c r="E576" s="109">
        <v>373262</v>
      </c>
      <c r="F576" s="109" t="s">
        <v>1101</v>
      </c>
      <c r="G576" s="5">
        <f t="shared" si="8"/>
        <v>-9.2814992734928659E-3</v>
      </c>
    </row>
    <row r="577" spans="1:7">
      <c r="A577" s="109">
        <v>339.98</v>
      </c>
      <c r="B577" s="109">
        <v>342.08499999999998</v>
      </c>
      <c r="C577" s="109">
        <v>334.92</v>
      </c>
      <c r="D577" s="109">
        <v>335.55</v>
      </c>
      <c r="E577" s="109">
        <v>300046</v>
      </c>
      <c r="F577" s="109" t="s">
        <v>1102</v>
      </c>
      <c r="G577" s="5">
        <f t="shared" si="8"/>
        <v>1.3202205334525319E-2</v>
      </c>
    </row>
    <row r="578" spans="1:7">
      <c r="A578" s="109">
        <v>336.37</v>
      </c>
      <c r="B578" s="109">
        <v>338.48500000000001</v>
      </c>
      <c r="C578" s="109">
        <v>328.79</v>
      </c>
      <c r="D578" s="109">
        <v>337.16</v>
      </c>
      <c r="E578" s="109">
        <v>509020</v>
      </c>
      <c r="F578" s="109" t="s">
        <v>1103</v>
      </c>
      <c r="G578" s="5">
        <f t="shared" si="8"/>
        <v>-2.3431011982442129E-3</v>
      </c>
    </row>
    <row r="579" spans="1:7">
      <c r="A579" s="109">
        <v>337.77</v>
      </c>
      <c r="B579" s="109">
        <v>339.67</v>
      </c>
      <c r="C579" s="109">
        <v>332.88</v>
      </c>
      <c r="D579" s="109">
        <v>333.97</v>
      </c>
      <c r="E579" s="109">
        <v>332008</v>
      </c>
      <c r="F579" s="109" t="s">
        <v>1104</v>
      </c>
      <c r="G579" s="5">
        <f t="shared" si="8"/>
        <v>1.137826750905746E-2</v>
      </c>
    </row>
    <row r="580" spans="1:7">
      <c r="A580" s="109">
        <v>337.37</v>
      </c>
      <c r="B580" s="109">
        <v>344.81</v>
      </c>
      <c r="C580" s="109">
        <v>336.75</v>
      </c>
      <c r="D580" s="109">
        <v>340.74</v>
      </c>
      <c r="E580" s="109">
        <v>558848</v>
      </c>
      <c r="F580" s="109" t="s">
        <v>1105</v>
      </c>
      <c r="G580" s="5">
        <f t="shared" si="8"/>
        <v>-9.8902388918237216E-3</v>
      </c>
    </row>
    <row r="581" spans="1:7">
      <c r="A581" s="109">
        <v>338.28</v>
      </c>
      <c r="B581" s="109">
        <v>339.28500000000003</v>
      </c>
      <c r="C581" s="109">
        <v>335.09</v>
      </c>
      <c r="D581" s="109">
        <v>336.74</v>
      </c>
      <c r="E581" s="109">
        <v>282075</v>
      </c>
      <c r="F581" s="109" t="s">
        <v>1106</v>
      </c>
      <c r="G581" s="5">
        <f t="shared" si="8"/>
        <v>4.5732612698223818E-3</v>
      </c>
    </row>
    <row r="582" spans="1:7">
      <c r="A582" s="109">
        <v>337.53</v>
      </c>
      <c r="B582" s="109">
        <v>342.68</v>
      </c>
      <c r="C582" s="109">
        <v>334.89</v>
      </c>
      <c r="D582" s="109">
        <v>334.89</v>
      </c>
      <c r="E582" s="109">
        <v>510142</v>
      </c>
      <c r="F582" s="109" t="s">
        <v>1107</v>
      </c>
      <c r="G582" s="5">
        <f t="shared" si="8"/>
        <v>7.8831855236047854E-3</v>
      </c>
    </row>
    <row r="583" spans="1:7">
      <c r="A583" s="109">
        <v>331.72</v>
      </c>
      <c r="B583" s="109">
        <v>334.7</v>
      </c>
      <c r="C583" s="109">
        <v>327.42</v>
      </c>
      <c r="D583" s="109">
        <v>327.42</v>
      </c>
      <c r="E583" s="109">
        <v>325256</v>
      </c>
      <c r="F583" s="109" t="s">
        <v>1108</v>
      </c>
      <c r="G583" s="5">
        <f t="shared" si="8"/>
        <v>1.3132979048317228E-2</v>
      </c>
    </row>
    <row r="584" spans="1:7">
      <c r="A584" s="109">
        <v>328.14</v>
      </c>
      <c r="B584" s="109">
        <v>328.24</v>
      </c>
      <c r="C584" s="109">
        <v>320.27</v>
      </c>
      <c r="D584" s="109">
        <v>324.27999999999997</v>
      </c>
      <c r="E584" s="109">
        <v>420583</v>
      </c>
      <c r="F584" s="109" t="s">
        <v>1109</v>
      </c>
      <c r="G584" s="5">
        <f t="shared" si="8"/>
        <v>1.1903293450104879E-2</v>
      </c>
    </row>
    <row r="585" spans="1:7">
      <c r="A585" s="109">
        <v>323.08999999999997</v>
      </c>
      <c r="B585" s="109">
        <v>325.01749999999998</v>
      </c>
      <c r="C585" s="109">
        <v>315.8</v>
      </c>
      <c r="D585" s="109">
        <v>315.8</v>
      </c>
      <c r="E585" s="109">
        <v>199174</v>
      </c>
      <c r="F585" s="109" t="s">
        <v>1110</v>
      </c>
      <c r="G585" s="5">
        <f t="shared" si="8"/>
        <v>2.3084230525649119E-2</v>
      </c>
    </row>
    <row r="586" spans="1:7">
      <c r="A586" s="109">
        <v>314.72000000000003</v>
      </c>
      <c r="B586" s="109">
        <v>316.16000000000003</v>
      </c>
      <c r="C586" s="109">
        <v>310.16000000000003</v>
      </c>
      <c r="D586" s="109">
        <v>311.57</v>
      </c>
      <c r="E586" s="109">
        <v>225611</v>
      </c>
      <c r="F586" s="109" t="s">
        <v>1111</v>
      </c>
      <c r="G586" s="5">
        <f t="shared" si="8"/>
        <v>1.01100876207596E-2</v>
      </c>
    </row>
    <row r="587" spans="1:7">
      <c r="A587" s="109">
        <v>312.74</v>
      </c>
      <c r="B587" s="109">
        <v>327.04000000000002</v>
      </c>
      <c r="C587" s="109">
        <v>312.61</v>
      </c>
      <c r="D587" s="109">
        <v>322.33</v>
      </c>
      <c r="E587" s="109">
        <v>322573</v>
      </c>
      <c r="F587" s="109" t="s">
        <v>1112</v>
      </c>
      <c r="G587" s="5">
        <f t="shared" si="8"/>
        <v>-2.9752117395215993E-2</v>
      </c>
    </row>
    <row r="588" spans="1:7">
      <c r="A588" s="109">
        <v>322.37</v>
      </c>
      <c r="B588" s="109">
        <v>322.77999999999997</v>
      </c>
      <c r="C588" s="109">
        <v>319.10000000000002</v>
      </c>
      <c r="D588" s="109">
        <v>320.85000000000002</v>
      </c>
      <c r="E588" s="109">
        <v>146677</v>
      </c>
      <c r="F588" s="109" t="s">
        <v>1113</v>
      </c>
      <c r="G588" s="5">
        <f t="shared" si="8"/>
        <v>4.73741623811752E-3</v>
      </c>
    </row>
    <row r="589" spans="1:7">
      <c r="A589" s="109">
        <v>321.83</v>
      </c>
      <c r="B589" s="109">
        <v>323</v>
      </c>
      <c r="C589" s="109">
        <v>318.60000000000002</v>
      </c>
      <c r="D589" s="109">
        <v>318.11</v>
      </c>
      <c r="E589" s="109">
        <v>244675</v>
      </c>
      <c r="F589" s="109" t="s">
        <v>1114</v>
      </c>
      <c r="G589" s="5">
        <f t="shared" si="8"/>
        <v>1.1694068089654452E-2</v>
      </c>
    </row>
    <row r="590" spans="1:7">
      <c r="A590" s="109">
        <v>320.86</v>
      </c>
      <c r="B590" s="109">
        <v>320.94</v>
      </c>
      <c r="C590" s="109">
        <v>312.08</v>
      </c>
      <c r="D590" s="109">
        <v>315.07</v>
      </c>
      <c r="E590" s="109">
        <v>292738</v>
      </c>
      <c r="F590" s="109" t="s">
        <v>1115</v>
      </c>
      <c r="G590" s="5">
        <f t="shared" si="8"/>
        <v>1.8376868632367538E-2</v>
      </c>
    </row>
    <row r="591" spans="1:7">
      <c r="A591" s="109">
        <v>314.24</v>
      </c>
      <c r="B591" s="109">
        <v>314.87</v>
      </c>
      <c r="C591" s="109">
        <v>305.64</v>
      </c>
      <c r="D591" s="109">
        <v>308.2</v>
      </c>
      <c r="E591" s="109">
        <v>241773</v>
      </c>
      <c r="F591" s="109" t="s">
        <v>1116</v>
      </c>
      <c r="G591" s="5">
        <f t="shared" si="8"/>
        <v>1.9597663854640013E-2</v>
      </c>
    </row>
    <row r="592" spans="1:7">
      <c r="A592" s="109">
        <v>307.33999999999997</v>
      </c>
      <c r="B592" s="109">
        <v>310</v>
      </c>
      <c r="C592" s="109">
        <v>304.53789999999998</v>
      </c>
      <c r="D592" s="109">
        <v>309.98</v>
      </c>
      <c r="E592" s="109">
        <v>267491</v>
      </c>
      <c r="F592" s="109" t="s">
        <v>1117</v>
      </c>
      <c r="G592" s="5">
        <f t="shared" si="8"/>
        <v>-8.5166784953869534E-3</v>
      </c>
    </row>
    <row r="593" spans="1:7">
      <c r="A593" s="109">
        <v>310.73</v>
      </c>
      <c r="B593" s="109">
        <v>314.29000000000002</v>
      </c>
      <c r="C593" s="109">
        <v>306.39999999999998</v>
      </c>
      <c r="D593" s="109">
        <v>306.39999999999998</v>
      </c>
      <c r="E593" s="109">
        <v>289421</v>
      </c>
      <c r="F593" s="109" t="s">
        <v>1118</v>
      </c>
      <c r="G593" s="5">
        <f t="shared" si="8"/>
        <v>1.4131853785900983E-2</v>
      </c>
    </row>
    <row r="594" spans="1:7">
      <c r="A594" s="109">
        <v>306.5</v>
      </c>
      <c r="B594" s="109">
        <v>308.70999999999998</v>
      </c>
      <c r="C594" s="109">
        <v>303</v>
      </c>
      <c r="D594" s="109">
        <v>304.94</v>
      </c>
      <c r="E594" s="109">
        <v>254268</v>
      </c>
      <c r="F594" s="109" t="s">
        <v>1119</v>
      </c>
      <c r="G594" s="5">
        <f t="shared" si="8"/>
        <v>5.1157604774709764E-3</v>
      </c>
    </row>
    <row r="595" spans="1:7">
      <c r="A595" s="109">
        <v>304.89999999999998</v>
      </c>
      <c r="B595" s="109">
        <v>309.42</v>
      </c>
      <c r="C595" s="109">
        <v>303.48</v>
      </c>
      <c r="D595" s="109">
        <v>309.13</v>
      </c>
      <c r="E595" s="109">
        <v>334875</v>
      </c>
      <c r="F595" s="109" t="s">
        <v>1120</v>
      </c>
      <c r="G595" s="5">
        <f t="shared" si="8"/>
        <v>-1.368356354931588E-2</v>
      </c>
    </row>
    <row r="596" spans="1:7">
      <c r="A596" s="109">
        <v>307.57</v>
      </c>
      <c r="B596" s="109">
        <v>310.76</v>
      </c>
      <c r="C596" s="109">
        <v>302.11</v>
      </c>
      <c r="D596" s="109">
        <v>303.20999999999998</v>
      </c>
      <c r="E596" s="109">
        <v>222155</v>
      </c>
      <c r="F596" s="109" t="s">
        <v>1121</v>
      </c>
      <c r="G596" s="5">
        <f t="shared" si="8"/>
        <v>1.4379472972527285E-2</v>
      </c>
    </row>
    <row r="597" spans="1:7">
      <c r="A597" s="109">
        <v>305.72000000000003</v>
      </c>
      <c r="B597" s="109">
        <v>318.93</v>
      </c>
      <c r="C597" s="109">
        <v>301.43</v>
      </c>
      <c r="D597" s="109">
        <v>316.64</v>
      </c>
      <c r="E597" s="109">
        <v>400887</v>
      </c>
      <c r="F597" s="109" t="s">
        <v>1122</v>
      </c>
      <c r="G597" s="5">
        <f t="shared" si="8"/>
        <v>-3.4487114704396027E-2</v>
      </c>
    </row>
    <row r="598" spans="1:7">
      <c r="A598" s="109">
        <v>318.64999999999998</v>
      </c>
      <c r="B598" s="109">
        <v>322.83499999999998</v>
      </c>
      <c r="C598" s="109">
        <v>316.68</v>
      </c>
      <c r="D598" s="109">
        <v>316.89</v>
      </c>
      <c r="E598" s="109">
        <v>321040</v>
      </c>
      <c r="F598" s="109" t="s">
        <v>1123</v>
      </c>
      <c r="G598" s="5">
        <f t="shared" si="8"/>
        <v>5.5539777209756558E-3</v>
      </c>
    </row>
    <row r="599" spans="1:7">
      <c r="A599" s="109">
        <v>317.60000000000002</v>
      </c>
      <c r="B599" s="109">
        <v>320.83</v>
      </c>
      <c r="C599" s="109">
        <v>314.02999999999997</v>
      </c>
      <c r="D599" s="109">
        <v>316.11</v>
      </c>
      <c r="E599" s="109">
        <v>371620</v>
      </c>
      <c r="F599" s="109" t="s">
        <v>1124</v>
      </c>
      <c r="G599" s="5">
        <f t="shared" si="8"/>
        <v>4.7135490810161773E-3</v>
      </c>
    </row>
    <row r="600" spans="1:7">
      <c r="A600" s="109">
        <v>315.10000000000002</v>
      </c>
      <c r="B600" s="109">
        <v>318.47500000000002</v>
      </c>
      <c r="C600" s="109">
        <v>314.06</v>
      </c>
      <c r="D600" s="109">
        <v>315.39</v>
      </c>
      <c r="E600" s="109">
        <v>250056</v>
      </c>
      <c r="F600" s="109" t="s">
        <v>1125</v>
      </c>
      <c r="G600" s="5">
        <f t="shared" si="8"/>
        <v>-9.1949649640121756E-4</v>
      </c>
    </row>
    <row r="601" spans="1:7">
      <c r="A601" s="109">
        <v>313.77999999999997</v>
      </c>
      <c r="B601" s="109">
        <v>316.99</v>
      </c>
      <c r="C601" s="109">
        <v>312.01</v>
      </c>
      <c r="D601" s="109">
        <v>315.25</v>
      </c>
      <c r="E601" s="109">
        <v>234923</v>
      </c>
      <c r="F601" s="109" t="s">
        <v>1126</v>
      </c>
      <c r="G601" s="5">
        <f t="shared" si="8"/>
        <v>-4.6629659000794188E-3</v>
      </c>
    </row>
    <row r="602" spans="1:7">
      <c r="A602" s="109">
        <v>315.77999999999997</v>
      </c>
      <c r="B602" s="109">
        <v>317.23</v>
      </c>
      <c r="C602" s="109">
        <v>308.5</v>
      </c>
      <c r="D602" s="109">
        <v>312.89</v>
      </c>
      <c r="E602" s="109">
        <v>624065</v>
      </c>
      <c r="F602" s="109" t="s">
        <v>1127</v>
      </c>
      <c r="G602" s="5">
        <f t="shared" si="8"/>
        <v>9.2364728818434827E-3</v>
      </c>
    </row>
    <row r="603" spans="1:7">
      <c r="A603" s="109">
        <v>314.92</v>
      </c>
      <c r="B603" s="109">
        <v>320.76</v>
      </c>
      <c r="C603" s="109">
        <v>313.25</v>
      </c>
      <c r="D603" s="109">
        <v>319.70999999999998</v>
      </c>
      <c r="E603" s="109">
        <v>297238</v>
      </c>
      <c r="F603" s="109" t="s">
        <v>1128</v>
      </c>
      <c r="G603" s="5">
        <f t="shared" si="8"/>
        <v>-1.4982327734509249E-2</v>
      </c>
    </row>
    <row r="604" spans="1:7">
      <c r="A604" s="109">
        <v>320.45999999999998</v>
      </c>
      <c r="B604" s="109">
        <v>324.38</v>
      </c>
      <c r="C604" s="109">
        <v>317.38</v>
      </c>
      <c r="D604" s="109">
        <v>317.62</v>
      </c>
      <c r="E604" s="109">
        <v>351219</v>
      </c>
      <c r="F604" s="109" t="s">
        <v>1129</v>
      </c>
      <c r="G604" s="5">
        <f t="shared" si="8"/>
        <v>8.9415024242804897E-3</v>
      </c>
    </row>
    <row r="605" spans="1:7">
      <c r="A605" s="109">
        <v>317.39</v>
      </c>
      <c r="B605" s="109">
        <v>321.43</v>
      </c>
      <c r="C605" s="109">
        <v>316.83999999999997</v>
      </c>
      <c r="D605" s="109">
        <v>320.67</v>
      </c>
      <c r="E605" s="109">
        <v>287706</v>
      </c>
      <c r="F605" s="109" t="s">
        <v>1130</v>
      </c>
      <c r="G605" s="5">
        <f t="shared" si="8"/>
        <v>-1.0228583902454291E-2</v>
      </c>
    </row>
    <row r="606" spans="1:7">
      <c r="A606" s="109">
        <v>320</v>
      </c>
      <c r="B606" s="109">
        <v>320.5</v>
      </c>
      <c r="C606" s="109">
        <v>313.995</v>
      </c>
      <c r="D606" s="109">
        <v>315.39</v>
      </c>
      <c r="E606" s="109">
        <v>451734</v>
      </c>
      <c r="F606" s="109" t="s">
        <v>1131</v>
      </c>
      <c r="G606" s="5">
        <f t="shared" si="8"/>
        <v>1.4616823615206664E-2</v>
      </c>
    </row>
    <row r="607" spans="1:7">
      <c r="A607" s="109">
        <v>314.87</v>
      </c>
      <c r="B607" s="109">
        <v>317.77</v>
      </c>
      <c r="C607" s="109">
        <v>307.75</v>
      </c>
      <c r="D607" s="109">
        <v>309.89999999999998</v>
      </c>
      <c r="E607" s="109">
        <v>334421</v>
      </c>
      <c r="F607" s="109" t="s">
        <v>1132</v>
      </c>
      <c r="G607" s="5">
        <f t="shared" si="8"/>
        <v>1.6037431429493543E-2</v>
      </c>
    </row>
    <row r="608" spans="1:7">
      <c r="A608" s="109">
        <v>310.69</v>
      </c>
      <c r="B608" s="109">
        <v>314.91500000000002</v>
      </c>
      <c r="C608" s="109">
        <v>306.98</v>
      </c>
      <c r="D608" s="109">
        <v>308.87</v>
      </c>
      <c r="E608" s="109">
        <v>312228</v>
      </c>
      <c r="F608" s="109" t="s">
        <v>1133</v>
      </c>
      <c r="G608" s="5">
        <f t="shared" si="8"/>
        <v>5.8924466604073356E-3</v>
      </c>
    </row>
    <row r="609" spans="1:7">
      <c r="A609" s="109">
        <v>310.08</v>
      </c>
      <c r="B609" s="109">
        <v>311.2</v>
      </c>
      <c r="C609" s="109">
        <v>297.63400000000001</v>
      </c>
      <c r="D609" s="109">
        <v>299.17</v>
      </c>
      <c r="E609" s="109">
        <v>521013</v>
      </c>
      <c r="F609" s="109" t="s">
        <v>1134</v>
      </c>
      <c r="G609" s="5">
        <f t="shared" si="8"/>
        <v>3.6467560250025066E-2</v>
      </c>
    </row>
    <row r="610" spans="1:7">
      <c r="A610" s="109">
        <v>301.88</v>
      </c>
      <c r="B610" s="109">
        <v>310</v>
      </c>
      <c r="C610" s="109">
        <v>299.16000000000003</v>
      </c>
      <c r="D610" s="109">
        <v>301</v>
      </c>
      <c r="E610" s="109">
        <v>549705</v>
      </c>
      <c r="F610" s="109" t="s">
        <v>1135</v>
      </c>
      <c r="G610" s="5">
        <f t="shared" si="8"/>
        <v>2.9235880398670311E-3</v>
      </c>
    </row>
    <row r="611" spans="1:7">
      <c r="A611" s="109">
        <v>301.04000000000002</v>
      </c>
      <c r="B611" s="109">
        <v>306.7</v>
      </c>
      <c r="C611" s="109">
        <v>284.32</v>
      </c>
      <c r="D611" s="109">
        <v>285.33</v>
      </c>
      <c r="E611" s="109">
        <v>1117057</v>
      </c>
      <c r="F611" s="109" t="s">
        <v>1136</v>
      </c>
      <c r="G611" s="5">
        <f t="shared" si="8"/>
        <v>5.5059054428206133E-2</v>
      </c>
    </row>
    <row r="612" spans="1:7">
      <c r="A612" s="109">
        <v>281.33</v>
      </c>
      <c r="B612" s="109">
        <v>285.48</v>
      </c>
      <c r="C612" s="109">
        <v>279</v>
      </c>
      <c r="D612" s="109">
        <v>283.88</v>
      </c>
      <c r="E612" s="109">
        <v>635562</v>
      </c>
      <c r="F612" s="109" t="s">
        <v>1137</v>
      </c>
      <c r="G612" s="5">
        <f t="shared" si="8"/>
        <v>-8.9826687332675847E-3</v>
      </c>
    </row>
    <row r="613" spans="1:7">
      <c r="A613" s="109">
        <v>285.45999999999998</v>
      </c>
      <c r="B613" s="109">
        <v>288.82</v>
      </c>
      <c r="C613" s="109">
        <v>282.33</v>
      </c>
      <c r="D613" s="109">
        <v>284.25</v>
      </c>
      <c r="E613" s="109">
        <v>377902</v>
      </c>
      <c r="F613" s="109" t="s">
        <v>1138</v>
      </c>
      <c r="G613" s="5">
        <f t="shared" si="8"/>
        <v>4.2568161829374951E-3</v>
      </c>
    </row>
    <row r="614" spans="1:7">
      <c r="A614" s="109">
        <v>284.12</v>
      </c>
      <c r="B614" s="109">
        <v>287.14999999999998</v>
      </c>
      <c r="C614" s="109">
        <v>280</v>
      </c>
      <c r="D614" s="109">
        <v>283.16000000000003</v>
      </c>
      <c r="E614" s="109">
        <v>605593</v>
      </c>
      <c r="F614" s="109" t="s">
        <v>1139</v>
      </c>
      <c r="G614" s="5">
        <f t="shared" si="8"/>
        <v>3.3903093657294825E-3</v>
      </c>
    </row>
    <row r="615" spans="1:7">
      <c r="A615" s="109">
        <v>283.16000000000003</v>
      </c>
      <c r="B615" s="109">
        <v>285.27999999999997</v>
      </c>
      <c r="C615" s="109">
        <v>280.77</v>
      </c>
      <c r="D615" s="109">
        <v>283.35000000000002</v>
      </c>
      <c r="E615" s="109">
        <v>414450</v>
      </c>
      <c r="F615" s="109" t="s">
        <v>1140</v>
      </c>
      <c r="G615" s="5">
        <f t="shared" si="8"/>
        <v>-6.7054879124761602E-4</v>
      </c>
    </row>
    <row r="616" spans="1:7">
      <c r="A616" s="109">
        <v>284.18</v>
      </c>
      <c r="B616" s="109">
        <v>284.79000000000002</v>
      </c>
      <c r="C616" s="109">
        <v>280.04000000000002</v>
      </c>
      <c r="D616" s="109">
        <v>284.33999999999997</v>
      </c>
      <c r="E616" s="109">
        <v>293371</v>
      </c>
      <c r="F616" s="109" t="s">
        <v>1141</v>
      </c>
      <c r="G616" s="5">
        <f t="shared" si="8"/>
        <v>-5.6270661883650597E-4</v>
      </c>
    </row>
    <row r="617" spans="1:7">
      <c r="A617" s="109">
        <v>284.89999999999998</v>
      </c>
      <c r="B617" s="109">
        <v>287.89</v>
      </c>
      <c r="C617" s="109">
        <v>283.75</v>
      </c>
      <c r="D617" s="109">
        <v>286.79000000000002</v>
      </c>
      <c r="E617" s="109">
        <v>291898</v>
      </c>
      <c r="F617" s="109" t="s">
        <v>1142</v>
      </c>
      <c r="G617" s="5">
        <f t="shared" si="8"/>
        <v>-6.5901879423970744E-3</v>
      </c>
    </row>
    <row r="618" spans="1:7">
      <c r="A618" s="109">
        <v>288.32</v>
      </c>
      <c r="B618" s="109">
        <v>288.88</v>
      </c>
      <c r="C618" s="109">
        <v>279.4588</v>
      </c>
      <c r="D618" s="109">
        <v>280.68</v>
      </c>
      <c r="E618" s="109">
        <v>248829</v>
      </c>
      <c r="F618" s="109" t="s">
        <v>1143</v>
      </c>
      <c r="G618" s="5">
        <f t="shared" si="8"/>
        <v>2.7219609519737675E-2</v>
      </c>
    </row>
    <row r="619" spans="1:7">
      <c r="A619" s="109">
        <v>279.89999999999998</v>
      </c>
      <c r="B619" s="109">
        <v>280.61</v>
      </c>
      <c r="C619" s="109">
        <v>275.99</v>
      </c>
      <c r="D619" s="109">
        <v>275.99</v>
      </c>
      <c r="E619" s="109">
        <v>248849</v>
      </c>
      <c r="F619" s="109" t="s">
        <v>1144</v>
      </c>
      <c r="G619" s="5">
        <f t="shared" si="8"/>
        <v>1.4167179970288712E-2</v>
      </c>
    </row>
    <row r="620" spans="1:7">
      <c r="A620" s="109">
        <v>275.22000000000003</v>
      </c>
      <c r="B620" s="109">
        <v>275.52</v>
      </c>
      <c r="C620" s="109">
        <v>272</v>
      </c>
      <c r="D620" s="109">
        <v>273.10000000000002</v>
      </c>
      <c r="E620" s="109">
        <v>408103</v>
      </c>
      <c r="F620" s="109" t="s">
        <v>1145</v>
      </c>
      <c r="G620" s="5">
        <f t="shared" si="8"/>
        <v>7.7627242768216753E-3</v>
      </c>
    </row>
    <row r="621" spans="1:7">
      <c r="A621" s="109">
        <v>274.25</v>
      </c>
      <c r="B621" s="109">
        <v>280.49</v>
      </c>
      <c r="C621" s="109">
        <v>272.52999999999997</v>
      </c>
      <c r="D621" s="109">
        <v>272.89999999999998</v>
      </c>
      <c r="E621" s="109">
        <v>342709</v>
      </c>
      <c r="F621" s="109" t="s">
        <v>1146</v>
      </c>
      <c r="G621" s="5">
        <f t="shared" si="8"/>
        <v>4.9468669842434032E-3</v>
      </c>
    </row>
    <row r="622" spans="1:7">
      <c r="A622" s="109">
        <v>271.54000000000002</v>
      </c>
      <c r="B622" s="109">
        <v>273.45</v>
      </c>
      <c r="C622" s="109">
        <v>266.55</v>
      </c>
      <c r="D622" s="109">
        <v>273.45</v>
      </c>
      <c r="E622" s="109">
        <v>471664</v>
      </c>
      <c r="F622" s="109" t="s">
        <v>1147</v>
      </c>
      <c r="G622" s="5">
        <f t="shared" si="8"/>
        <v>-6.9848235509232248E-3</v>
      </c>
    </row>
    <row r="623" spans="1:7">
      <c r="A623" s="109">
        <v>271.94</v>
      </c>
      <c r="B623" s="109">
        <v>280</v>
      </c>
      <c r="C623" s="109">
        <v>270.60000000000002</v>
      </c>
      <c r="D623" s="109">
        <v>278.06</v>
      </c>
      <c r="E623" s="109">
        <v>286297</v>
      </c>
      <c r="F623" s="109" t="s">
        <v>1148</v>
      </c>
      <c r="G623" s="5">
        <f t="shared" si="8"/>
        <v>-2.2009638207581061E-2</v>
      </c>
    </row>
    <row r="624" spans="1:7">
      <c r="A624" s="109">
        <v>277.62</v>
      </c>
      <c r="B624" s="109">
        <v>279.99</v>
      </c>
      <c r="C624" s="109">
        <v>275.43</v>
      </c>
      <c r="D624" s="109">
        <v>275.43</v>
      </c>
      <c r="E624" s="109">
        <v>279011</v>
      </c>
      <c r="F624" s="109" t="s">
        <v>1149</v>
      </c>
      <c r="G624" s="5">
        <f t="shared" si="8"/>
        <v>7.9512035725954888E-3</v>
      </c>
    </row>
    <row r="625" spans="1:7">
      <c r="A625" s="109">
        <v>276.97000000000003</v>
      </c>
      <c r="B625" s="109">
        <v>280.97000000000003</v>
      </c>
      <c r="C625" s="109">
        <v>276.19</v>
      </c>
      <c r="D625" s="109">
        <v>280.06</v>
      </c>
      <c r="E625" s="109">
        <v>424781</v>
      </c>
      <c r="F625" s="109" t="s">
        <v>1150</v>
      </c>
      <c r="G625" s="5">
        <f t="shared" si="8"/>
        <v>-1.1033349996429243E-2</v>
      </c>
    </row>
    <row r="626" spans="1:7">
      <c r="A626" s="109">
        <v>277.27999999999997</v>
      </c>
      <c r="B626" s="109">
        <v>287.58999999999997</v>
      </c>
      <c r="C626" s="109">
        <v>276.74</v>
      </c>
      <c r="D626" s="109">
        <v>287.58999999999997</v>
      </c>
      <c r="E626" s="109">
        <v>204605</v>
      </c>
      <c r="F626" s="109" t="s">
        <v>1151</v>
      </c>
      <c r="G626" s="5">
        <f t="shared" ref="G626:G689" si="9">A626/D626-1</f>
        <v>-3.5849647067005108E-2</v>
      </c>
    </row>
    <row r="627" spans="1:7">
      <c r="A627" s="109">
        <v>286.64999999999998</v>
      </c>
      <c r="B627" s="109">
        <v>286.68</v>
      </c>
      <c r="C627" s="109">
        <v>279.3</v>
      </c>
      <c r="D627" s="109">
        <v>280.20999999999998</v>
      </c>
      <c r="E627" s="109">
        <v>300711</v>
      </c>
      <c r="F627" s="109" t="s">
        <v>1152</v>
      </c>
      <c r="G627" s="5">
        <f t="shared" si="9"/>
        <v>2.2982762927804101E-2</v>
      </c>
    </row>
    <row r="628" spans="1:7">
      <c r="A628" s="109">
        <v>278.82</v>
      </c>
      <c r="B628" s="109">
        <v>280.13499999999999</v>
      </c>
      <c r="C628" s="109">
        <v>271.25</v>
      </c>
      <c r="D628" s="109">
        <v>272.81</v>
      </c>
      <c r="E628" s="109">
        <v>259177</v>
      </c>
      <c r="F628" s="109" t="s">
        <v>1153</v>
      </c>
      <c r="G628" s="5">
        <f t="shared" si="9"/>
        <v>2.202998423811442E-2</v>
      </c>
    </row>
    <row r="629" spans="1:7">
      <c r="A629" s="109">
        <v>274.16000000000003</v>
      </c>
      <c r="B629" s="109">
        <v>281.91000000000003</v>
      </c>
      <c r="C629" s="109">
        <v>272.35000000000002</v>
      </c>
      <c r="D629" s="109">
        <v>281.8</v>
      </c>
      <c r="E629" s="109">
        <v>269197</v>
      </c>
      <c r="F629" s="109" t="s">
        <v>1154</v>
      </c>
      <c r="G629" s="5">
        <f t="shared" si="9"/>
        <v>-2.7111426543647954E-2</v>
      </c>
    </row>
    <row r="630" spans="1:7">
      <c r="A630" s="109">
        <v>282.57</v>
      </c>
      <c r="B630" s="109">
        <v>283.64</v>
      </c>
      <c r="C630" s="109">
        <v>279.64</v>
      </c>
      <c r="D630" s="109">
        <v>280.89</v>
      </c>
      <c r="E630" s="109">
        <v>241501</v>
      </c>
      <c r="F630" s="109" t="s">
        <v>1155</v>
      </c>
      <c r="G630" s="5">
        <f t="shared" si="9"/>
        <v>5.9809889992523679E-3</v>
      </c>
    </row>
    <row r="631" spans="1:7">
      <c r="A631" s="109">
        <v>280.82</v>
      </c>
      <c r="B631" s="109">
        <v>285.99</v>
      </c>
      <c r="C631" s="109">
        <v>280.45499999999998</v>
      </c>
      <c r="D631" s="109">
        <v>281.73</v>
      </c>
      <c r="E631" s="109">
        <v>251183</v>
      </c>
      <c r="F631" s="109" t="s">
        <v>1156</v>
      </c>
      <c r="G631" s="5">
        <f t="shared" si="9"/>
        <v>-3.2300429489228177E-3</v>
      </c>
    </row>
    <row r="632" spans="1:7">
      <c r="A632" s="109">
        <v>281.73</v>
      </c>
      <c r="B632" s="109">
        <v>281.91000000000003</v>
      </c>
      <c r="C632" s="109">
        <v>273.63</v>
      </c>
      <c r="D632" s="109">
        <v>276.37</v>
      </c>
      <c r="E632" s="109">
        <v>305692</v>
      </c>
      <c r="F632" s="109" t="s">
        <v>1157</v>
      </c>
      <c r="G632" s="5">
        <f t="shared" si="9"/>
        <v>1.9394290263053282E-2</v>
      </c>
    </row>
    <row r="633" spans="1:7">
      <c r="A633" s="109">
        <v>278.69</v>
      </c>
      <c r="B633" s="109">
        <v>282.68</v>
      </c>
      <c r="C633" s="109">
        <v>278.39999999999998</v>
      </c>
      <c r="D633" s="109">
        <v>278.68</v>
      </c>
      <c r="E633" s="109">
        <v>369110</v>
      </c>
      <c r="F633" s="109" t="s">
        <v>1158</v>
      </c>
      <c r="G633" s="5">
        <f t="shared" si="9"/>
        <v>3.588345055249853E-5</v>
      </c>
    </row>
    <row r="634" spans="1:7">
      <c r="A634" s="109">
        <v>277.08999999999997</v>
      </c>
      <c r="B634" s="109">
        <v>278.10000000000002</v>
      </c>
      <c r="C634" s="109">
        <v>273.17</v>
      </c>
      <c r="D634" s="109">
        <v>277.95</v>
      </c>
      <c r="E634" s="109">
        <v>238804</v>
      </c>
      <c r="F634" s="109" t="s">
        <v>1159</v>
      </c>
      <c r="G634" s="5">
        <f t="shared" si="9"/>
        <v>-3.0940816693650897E-3</v>
      </c>
    </row>
    <row r="635" spans="1:7">
      <c r="A635" s="109">
        <v>274.79000000000002</v>
      </c>
      <c r="B635" s="109">
        <v>279.55500000000001</v>
      </c>
      <c r="C635" s="109">
        <v>271</v>
      </c>
      <c r="D635" s="109">
        <v>271</v>
      </c>
      <c r="E635" s="109">
        <v>307749</v>
      </c>
      <c r="F635" s="109" t="s">
        <v>1160</v>
      </c>
      <c r="G635" s="5">
        <f t="shared" si="9"/>
        <v>1.3985239852398523E-2</v>
      </c>
    </row>
    <row r="636" spans="1:7">
      <c r="A636" s="109">
        <v>275.54000000000002</v>
      </c>
      <c r="B636" s="109">
        <v>280.45999999999998</v>
      </c>
      <c r="C636" s="109">
        <v>275.10000000000002</v>
      </c>
      <c r="D636" s="109">
        <v>278.27</v>
      </c>
      <c r="E636" s="109">
        <v>290883</v>
      </c>
      <c r="F636" s="109" t="s">
        <v>1161</v>
      </c>
      <c r="G636" s="5">
        <f t="shared" si="9"/>
        <v>-9.8106155891758418E-3</v>
      </c>
    </row>
    <row r="637" spans="1:7">
      <c r="A637" s="109">
        <v>277.16000000000003</v>
      </c>
      <c r="B637" s="109">
        <v>278.45</v>
      </c>
      <c r="C637" s="109">
        <v>274.02999999999997</v>
      </c>
      <c r="D637" s="109">
        <v>276.95999999999998</v>
      </c>
      <c r="E637" s="109">
        <v>212534</v>
      </c>
      <c r="F637" s="109" t="s">
        <v>1162</v>
      </c>
      <c r="G637" s="5">
        <f t="shared" si="9"/>
        <v>7.2212593876397335E-4</v>
      </c>
    </row>
    <row r="638" spans="1:7">
      <c r="A638" s="109">
        <v>274.67</v>
      </c>
      <c r="B638" s="109">
        <v>278.33999999999997</v>
      </c>
      <c r="C638" s="109">
        <v>272.61</v>
      </c>
      <c r="D638" s="109">
        <v>277.58999999999997</v>
      </c>
      <c r="E638" s="109">
        <v>307102</v>
      </c>
      <c r="F638" s="109" t="s">
        <v>1163</v>
      </c>
      <c r="G638" s="5">
        <f t="shared" si="9"/>
        <v>-1.0519110918981056E-2</v>
      </c>
    </row>
    <row r="639" spans="1:7">
      <c r="A639" s="109">
        <v>277.82</v>
      </c>
      <c r="B639" s="109">
        <v>283.42</v>
      </c>
      <c r="C639" s="109">
        <v>273.76</v>
      </c>
      <c r="D639" s="109">
        <v>276.41000000000003</v>
      </c>
      <c r="E639" s="109">
        <v>467000</v>
      </c>
      <c r="F639" s="109" t="s">
        <v>1164</v>
      </c>
      <c r="G639" s="5">
        <f t="shared" si="9"/>
        <v>5.1011179045619137E-3</v>
      </c>
    </row>
    <row r="640" spans="1:7">
      <c r="A640" s="109">
        <v>273.61</v>
      </c>
      <c r="B640" s="109">
        <v>278.19</v>
      </c>
      <c r="C640" s="109">
        <v>267.77</v>
      </c>
      <c r="D640" s="109">
        <v>269.8</v>
      </c>
      <c r="E640" s="109">
        <v>515816</v>
      </c>
      <c r="F640" s="109" t="s">
        <v>1165</v>
      </c>
      <c r="G640" s="5">
        <f t="shared" si="9"/>
        <v>1.4121571534470023E-2</v>
      </c>
    </row>
    <row r="641" spans="1:7">
      <c r="A641" s="109">
        <v>270.07</v>
      </c>
      <c r="B641" s="109">
        <v>270.7</v>
      </c>
      <c r="C641" s="109">
        <v>264.8</v>
      </c>
      <c r="D641" s="109">
        <v>267.20999999999998</v>
      </c>
      <c r="E641" s="109">
        <v>281210</v>
      </c>
      <c r="F641" s="109" t="s">
        <v>1166</v>
      </c>
      <c r="G641" s="5">
        <f t="shared" si="9"/>
        <v>1.0703192245799187E-2</v>
      </c>
    </row>
    <row r="642" spans="1:7">
      <c r="A642" s="109">
        <v>266.17</v>
      </c>
      <c r="B642" s="109">
        <v>267.25</v>
      </c>
      <c r="C642" s="109">
        <v>260.45999999999998</v>
      </c>
      <c r="D642" s="109">
        <v>262.37</v>
      </c>
      <c r="E642" s="109">
        <v>231273</v>
      </c>
      <c r="F642" s="109" t="s">
        <v>1167</v>
      </c>
      <c r="G642" s="5">
        <f t="shared" si="9"/>
        <v>1.4483363189389031E-2</v>
      </c>
    </row>
    <row r="643" spans="1:7">
      <c r="A643" s="109">
        <v>263</v>
      </c>
      <c r="B643" s="109">
        <v>266.56</v>
      </c>
      <c r="C643" s="109">
        <v>262.18</v>
      </c>
      <c r="D643" s="109">
        <v>265.83</v>
      </c>
      <c r="E643" s="109">
        <v>399450</v>
      </c>
      <c r="F643" s="109" t="s">
        <v>1168</v>
      </c>
      <c r="G643" s="5">
        <f t="shared" si="9"/>
        <v>-1.0645901516006417E-2</v>
      </c>
    </row>
    <row r="644" spans="1:7">
      <c r="A644" s="109">
        <v>267.95999999999998</v>
      </c>
      <c r="B644" s="109">
        <v>267.98</v>
      </c>
      <c r="C644" s="109">
        <v>252.51</v>
      </c>
      <c r="D644" s="109">
        <v>254.78</v>
      </c>
      <c r="E644" s="109">
        <v>378913</v>
      </c>
      <c r="F644" s="109" t="s">
        <v>1169</v>
      </c>
      <c r="G644" s="5">
        <f t="shared" si="9"/>
        <v>5.1730905094591328E-2</v>
      </c>
    </row>
    <row r="645" spans="1:7">
      <c r="A645" s="109">
        <v>257</v>
      </c>
      <c r="B645" s="109">
        <v>258.26</v>
      </c>
      <c r="C645" s="109">
        <v>251.98500000000001</v>
      </c>
      <c r="D645" s="109">
        <v>254.98</v>
      </c>
      <c r="E645" s="109">
        <v>287708</v>
      </c>
      <c r="F645" s="109" t="s">
        <v>1170</v>
      </c>
      <c r="G645" s="5">
        <f t="shared" si="9"/>
        <v>7.9221899756845016E-3</v>
      </c>
    </row>
    <row r="646" spans="1:7">
      <c r="A646" s="109">
        <v>259.36</v>
      </c>
      <c r="B646" s="109">
        <v>259.55</v>
      </c>
      <c r="C646" s="109">
        <v>253.09</v>
      </c>
      <c r="D646" s="109">
        <v>256.69</v>
      </c>
      <c r="E646" s="109">
        <v>311614</v>
      </c>
      <c r="F646" s="109" t="s">
        <v>1171</v>
      </c>
      <c r="G646" s="5">
        <f t="shared" si="9"/>
        <v>1.0401651797888656E-2</v>
      </c>
    </row>
    <row r="647" spans="1:7">
      <c r="A647" s="109">
        <v>252.08</v>
      </c>
      <c r="B647" s="109">
        <v>256.18</v>
      </c>
      <c r="C647" s="109">
        <v>244.71</v>
      </c>
      <c r="D647" s="109">
        <v>245.3</v>
      </c>
      <c r="E647" s="109">
        <v>327296</v>
      </c>
      <c r="F647" s="109" t="s">
        <v>1172</v>
      </c>
      <c r="G647" s="5">
        <f t="shared" si="9"/>
        <v>2.7639624949042041E-2</v>
      </c>
    </row>
    <row r="648" spans="1:7">
      <c r="A648" s="109">
        <v>246.09</v>
      </c>
      <c r="B648" s="109">
        <v>252.48</v>
      </c>
      <c r="C648" s="109">
        <v>245.06</v>
      </c>
      <c r="D648" s="109">
        <v>249.12</v>
      </c>
      <c r="E648" s="109">
        <v>350358</v>
      </c>
      <c r="F648" s="109" t="s">
        <v>1173</v>
      </c>
      <c r="G648" s="5">
        <f t="shared" si="9"/>
        <v>-1.2162813102119419E-2</v>
      </c>
    </row>
    <row r="649" spans="1:7">
      <c r="A649" s="109">
        <v>249.68</v>
      </c>
      <c r="B649" s="109">
        <v>254.79</v>
      </c>
      <c r="C649" s="109">
        <v>249.32</v>
      </c>
      <c r="D649" s="109">
        <v>253.15</v>
      </c>
      <c r="E649" s="109">
        <v>330604</v>
      </c>
      <c r="F649" s="109" t="s">
        <v>1174</v>
      </c>
      <c r="G649" s="5">
        <f t="shared" si="9"/>
        <v>-1.3707288169069742E-2</v>
      </c>
    </row>
    <row r="650" spans="1:7">
      <c r="A650" s="109">
        <v>251.47</v>
      </c>
      <c r="B650" s="109">
        <v>254.99</v>
      </c>
      <c r="C650" s="109">
        <v>249.75</v>
      </c>
      <c r="D650" s="109">
        <v>254.99</v>
      </c>
      <c r="E650" s="109">
        <v>347595</v>
      </c>
      <c r="F650" s="109" t="s">
        <v>1175</v>
      </c>
      <c r="G650" s="5">
        <f t="shared" si="9"/>
        <v>-1.3804462920114502E-2</v>
      </c>
    </row>
    <row r="651" spans="1:7">
      <c r="A651" s="109">
        <v>254.61</v>
      </c>
      <c r="B651" s="109">
        <v>257.82</v>
      </c>
      <c r="C651" s="109">
        <v>252.47</v>
      </c>
      <c r="D651" s="109">
        <v>254.64</v>
      </c>
      <c r="E651" s="109">
        <v>248552</v>
      </c>
      <c r="F651" s="109" t="s">
        <v>1176</v>
      </c>
      <c r="G651" s="5">
        <f t="shared" si="9"/>
        <v>-1.1781338360028482E-4</v>
      </c>
    </row>
    <row r="652" spans="1:7">
      <c r="A652" s="109">
        <v>254.7</v>
      </c>
      <c r="B652" s="109">
        <v>260.3</v>
      </c>
      <c r="C652" s="109">
        <v>254.68</v>
      </c>
      <c r="D652" s="109">
        <v>259.48</v>
      </c>
      <c r="E652" s="109">
        <v>358088</v>
      </c>
      <c r="F652" s="109" t="s">
        <v>1177</v>
      </c>
      <c r="G652" s="5">
        <f t="shared" si="9"/>
        <v>-1.8421458301217886E-2</v>
      </c>
    </row>
    <row r="653" spans="1:7">
      <c r="A653" s="109">
        <v>261.38</v>
      </c>
      <c r="B653" s="109">
        <v>262.63</v>
      </c>
      <c r="C653" s="109">
        <v>260.35000000000002</v>
      </c>
      <c r="D653" s="109">
        <v>262.60000000000002</v>
      </c>
      <c r="E653" s="109">
        <v>292877</v>
      </c>
      <c r="F653" s="109" t="s">
        <v>1178</v>
      </c>
      <c r="G653" s="5">
        <f t="shared" si="9"/>
        <v>-4.6458492003047525E-3</v>
      </c>
    </row>
    <row r="654" spans="1:7">
      <c r="A654" s="109">
        <v>260.89999999999998</v>
      </c>
      <c r="B654" s="109">
        <v>261.26</v>
      </c>
      <c r="C654" s="109">
        <v>253.63</v>
      </c>
      <c r="D654" s="109">
        <v>256.42</v>
      </c>
      <c r="E654" s="109">
        <v>307573</v>
      </c>
      <c r="F654" s="109" t="s">
        <v>1179</v>
      </c>
      <c r="G654" s="5">
        <f t="shared" si="9"/>
        <v>1.7471336089228462E-2</v>
      </c>
    </row>
    <row r="655" spans="1:7">
      <c r="A655" s="109">
        <v>258.38</v>
      </c>
      <c r="B655" s="109">
        <v>260.52999999999997</v>
      </c>
      <c r="C655" s="109">
        <v>255.03</v>
      </c>
      <c r="D655" s="109">
        <v>259.48</v>
      </c>
      <c r="E655" s="109">
        <v>328053</v>
      </c>
      <c r="F655" s="109" t="s">
        <v>1180</v>
      </c>
      <c r="G655" s="5">
        <f t="shared" si="9"/>
        <v>-4.2392477262217509E-3</v>
      </c>
    </row>
    <row r="656" spans="1:7">
      <c r="A656" s="109">
        <v>259.99</v>
      </c>
      <c r="B656" s="109">
        <v>271</v>
      </c>
      <c r="C656" s="109">
        <v>259.73</v>
      </c>
      <c r="D656" s="109">
        <v>265.07</v>
      </c>
      <c r="E656" s="109">
        <v>436099</v>
      </c>
      <c r="F656" s="109" t="s">
        <v>1181</v>
      </c>
      <c r="G656" s="5">
        <f t="shared" si="9"/>
        <v>-1.9164748934243692E-2</v>
      </c>
    </row>
    <row r="657" spans="1:7">
      <c r="A657" s="109">
        <v>264.82</v>
      </c>
      <c r="B657" s="109">
        <v>274.70999999999998</v>
      </c>
      <c r="C657" s="109">
        <v>262.89</v>
      </c>
      <c r="D657" s="109">
        <v>270</v>
      </c>
      <c r="E657" s="109">
        <v>427985</v>
      </c>
      <c r="F657" s="109" t="s">
        <v>1182</v>
      </c>
      <c r="G657" s="5">
        <f t="shared" si="9"/>
        <v>-1.9185185185185194E-2</v>
      </c>
    </row>
    <row r="658" spans="1:7">
      <c r="A658" s="109">
        <v>267.38</v>
      </c>
      <c r="B658" s="109">
        <v>268.60500000000002</v>
      </c>
      <c r="C658" s="109">
        <v>240</v>
      </c>
      <c r="D658" s="109">
        <v>259</v>
      </c>
      <c r="E658" s="109">
        <v>1003496</v>
      </c>
      <c r="F658" s="109" t="s">
        <v>1183</v>
      </c>
      <c r="G658" s="5">
        <f t="shared" si="9"/>
        <v>3.2355212355212437E-2</v>
      </c>
    </row>
    <row r="659" spans="1:7">
      <c r="A659" s="109">
        <v>261.72000000000003</v>
      </c>
      <c r="B659" s="109">
        <v>263.77999999999997</v>
      </c>
      <c r="C659" s="109">
        <v>257.29000000000002</v>
      </c>
      <c r="D659" s="109">
        <v>262.64</v>
      </c>
      <c r="E659" s="109">
        <v>447708</v>
      </c>
      <c r="F659" s="109" t="s">
        <v>1184</v>
      </c>
      <c r="G659" s="5">
        <f t="shared" si="9"/>
        <v>-3.502893694791176E-3</v>
      </c>
    </row>
    <row r="660" spans="1:7">
      <c r="A660" s="109">
        <v>261.35000000000002</v>
      </c>
      <c r="B660" s="109">
        <v>263.51</v>
      </c>
      <c r="C660" s="109">
        <v>258.31</v>
      </c>
      <c r="D660" s="109">
        <v>258.82</v>
      </c>
      <c r="E660" s="109">
        <v>290956</v>
      </c>
      <c r="F660" s="109" t="s">
        <v>1185</v>
      </c>
      <c r="G660" s="5">
        <f t="shared" si="9"/>
        <v>9.7751332972724203E-3</v>
      </c>
    </row>
    <row r="661" spans="1:7">
      <c r="A661" s="109">
        <v>258.18</v>
      </c>
      <c r="B661" s="109">
        <v>264.45999999999998</v>
      </c>
      <c r="C661" s="109">
        <v>254.59</v>
      </c>
      <c r="D661" s="109">
        <v>260.29000000000002</v>
      </c>
      <c r="E661" s="109">
        <v>449072</v>
      </c>
      <c r="F661" s="109" t="s">
        <v>1186</v>
      </c>
      <c r="G661" s="5">
        <f t="shared" si="9"/>
        <v>-8.1063429251988506E-3</v>
      </c>
    </row>
    <row r="662" spans="1:7">
      <c r="A662" s="109">
        <v>264.69</v>
      </c>
      <c r="B662" s="109">
        <v>266.31</v>
      </c>
      <c r="C662" s="109">
        <v>259.05059999999997</v>
      </c>
      <c r="D662" s="109">
        <v>266.31</v>
      </c>
      <c r="E662" s="109">
        <v>254022</v>
      </c>
      <c r="F662" s="109" t="s">
        <v>1187</v>
      </c>
      <c r="G662" s="5">
        <f t="shared" si="9"/>
        <v>-6.0831361946603879E-3</v>
      </c>
    </row>
    <row r="663" spans="1:7">
      <c r="A663" s="109">
        <v>267.73</v>
      </c>
      <c r="B663" s="109">
        <v>269.19</v>
      </c>
      <c r="C663" s="109">
        <v>259.13</v>
      </c>
      <c r="D663" s="109">
        <v>259.13</v>
      </c>
      <c r="E663" s="109">
        <v>505521</v>
      </c>
      <c r="F663" s="109" t="s">
        <v>1188</v>
      </c>
      <c r="G663" s="5">
        <f t="shared" si="9"/>
        <v>3.3187975147609405E-2</v>
      </c>
    </row>
    <row r="664" spans="1:7">
      <c r="A664" s="109">
        <v>264.19</v>
      </c>
      <c r="B664" s="109">
        <v>264.23500000000001</v>
      </c>
      <c r="C664" s="109">
        <v>259.51</v>
      </c>
      <c r="D664" s="109">
        <v>261.02999999999997</v>
      </c>
      <c r="E664" s="109">
        <v>406106</v>
      </c>
      <c r="F664" s="109" t="s">
        <v>1189</v>
      </c>
      <c r="G664" s="5">
        <f t="shared" si="9"/>
        <v>1.2105888212083027E-2</v>
      </c>
    </row>
    <row r="665" spans="1:7">
      <c r="A665" s="109">
        <v>262.60000000000002</v>
      </c>
      <c r="B665" s="109">
        <v>266.35000000000002</v>
      </c>
      <c r="C665" s="109">
        <v>260.67</v>
      </c>
      <c r="D665" s="109">
        <v>264.82</v>
      </c>
      <c r="E665" s="109">
        <v>437399</v>
      </c>
      <c r="F665" s="109" t="s">
        <v>1190</v>
      </c>
      <c r="G665" s="5">
        <f t="shared" si="9"/>
        <v>-8.3830526395286542E-3</v>
      </c>
    </row>
    <row r="666" spans="1:7">
      <c r="A666" s="109">
        <v>266.72000000000003</v>
      </c>
      <c r="B666" s="109">
        <v>268.44</v>
      </c>
      <c r="C666" s="109">
        <v>264.61</v>
      </c>
      <c r="D666" s="109">
        <v>266</v>
      </c>
      <c r="E666" s="109">
        <v>169702</v>
      </c>
      <c r="F666" s="109" t="s">
        <v>1191</v>
      </c>
      <c r="G666" s="5">
        <f t="shared" si="9"/>
        <v>2.706766917293324E-3</v>
      </c>
    </row>
    <row r="667" spans="1:7">
      <c r="A667" s="109">
        <v>264.58</v>
      </c>
      <c r="B667" s="109">
        <v>264.82</v>
      </c>
      <c r="C667" s="109">
        <v>258.8</v>
      </c>
      <c r="D667" s="109">
        <v>260.33999999999997</v>
      </c>
      <c r="E667" s="109">
        <v>209750</v>
      </c>
      <c r="F667" s="109" t="s">
        <v>1192</v>
      </c>
      <c r="G667" s="5">
        <f t="shared" si="9"/>
        <v>1.6286394714603913E-2</v>
      </c>
    </row>
    <row r="668" spans="1:7">
      <c r="A668" s="109">
        <v>262.02</v>
      </c>
      <c r="B668" s="109">
        <v>266.29000000000002</v>
      </c>
      <c r="C668" s="109">
        <v>259.8</v>
      </c>
      <c r="D668" s="109">
        <v>265.58999999999997</v>
      </c>
      <c r="E668" s="109">
        <v>301958</v>
      </c>
      <c r="F668" s="109" t="s">
        <v>1193</v>
      </c>
      <c r="G668" s="5">
        <f t="shared" si="9"/>
        <v>-1.3441771151022186E-2</v>
      </c>
    </row>
    <row r="669" spans="1:7">
      <c r="A669" s="109">
        <v>267.3</v>
      </c>
      <c r="B669" s="109">
        <v>269</v>
      </c>
      <c r="C669" s="109">
        <v>264.11</v>
      </c>
      <c r="D669" s="109">
        <v>265.3</v>
      </c>
      <c r="E669" s="109">
        <v>217682</v>
      </c>
      <c r="F669" s="109" t="s">
        <v>1194</v>
      </c>
      <c r="G669" s="5">
        <f t="shared" si="9"/>
        <v>7.5386355069733124E-3</v>
      </c>
    </row>
    <row r="670" spans="1:7">
      <c r="A670" s="109">
        <v>267.10000000000002</v>
      </c>
      <c r="B670" s="109">
        <v>268.49</v>
      </c>
      <c r="C670" s="109">
        <v>257.86</v>
      </c>
      <c r="D670" s="109">
        <v>258.66000000000003</v>
      </c>
      <c r="E670" s="109">
        <v>212836</v>
      </c>
      <c r="F670" s="109" t="s">
        <v>1195</v>
      </c>
      <c r="G670" s="5">
        <f t="shared" si="9"/>
        <v>3.2629706951210036E-2</v>
      </c>
    </row>
    <row r="671" spans="1:7">
      <c r="A671" s="109">
        <v>259.69</v>
      </c>
      <c r="B671" s="109">
        <v>261.69</v>
      </c>
      <c r="C671" s="109">
        <v>256.14</v>
      </c>
      <c r="D671" s="109">
        <v>257.88</v>
      </c>
      <c r="E671" s="109">
        <v>133447</v>
      </c>
      <c r="F671" s="109" t="s">
        <v>1196</v>
      </c>
      <c r="G671" s="5">
        <f t="shared" si="9"/>
        <v>7.0187684194198408E-3</v>
      </c>
    </row>
    <row r="672" spans="1:7">
      <c r="A672" s="109">
        <v>261.02</v>
      </c>
      <c r="B672" s="109">
        <v>266.15499999999997</v>
      </c>
      <c r="C672" s="109">
        <v>259.75</v>
      </c>
      <c r="D672" s="109">
        <v>260.86</v>
      </c>
      <c r="E672" s="109">
        <v>210772</v>
      </c>
      <c r="F672" s="109" t="s">
        <v>1197</v>
      </c>
      <c r="G672" s="5">
        <f t="shared" si="9"/>
        <v>6.1335582304677949E-4</v>
      </c>
    </row>
    <row r="673" spans="1:7">
      <c r="A673" s="109">
        <v>265.19</v>
      </c>
      <c r="B673" s="109">
        <v>266.63</v>
      </c>
      <c r="C673" s="109">
        <v>258</v>
      </c>
      <c r="D673" s="109">
        <v>258</v>
      </c>
      <c r="E673" s="109">
        <v>354017</v>
      </c>
      <c r="F673" s="109" t="s">
        <v>1198</v>
      </c>
      <c r="G673" s="5">
        <f t="shared" si="9"/>
        <v>2.7868217054263456E-2</v>
      </c>
    </row>
    <row r="674" spans="1:7">
      <c r="A674" s="109">
        <v>257.3</v>
      </c>
      <c r="B674" s="109">
        <v>257.76</v>
      </c>
      <c r="C674" s="109">
        <v>250.47</v>
      </c>
      <c r="D674" s="109">
        <v>251.55</v>
      </c>
      <c r="E674" s="109">
        <v>230903</v>
      </c>
      <c r="F674" s="109" t="s">
        <v>1199</v>
      </c>
      <c r="G674" s="5">
        <f t="shared" si="9"/>
        <v>2.2858278672232224E-2</v>
      </c>
    </row>
    <row r="675" spans="1:7">
      <c r="A675" s="109">
        <v>250.41</v>
      </c>
      <c r="B675" s="109">
        <v>252.49</v>
      </c>
      <c r="C675" s="109">
        <v>245.89</v>
      </c>
      <c r="D675" s="109">
        <v>250</v>
      </c>
      <c r="E675" s="109">
        <v>352846</v>
      </c>
      <c r="F675" s="109" t="s">
        <v>1200</v>
      </c>
      <c r="G675" s="5">
        <f t="shared" si="9"/>
        <v>1.6400000000000858E-3</v>
      </c>
    </row>
    <row r="676" spans="1:7">
      <c r="A676" s="109">
        <v>250</v>
      </c>
      <c r="B676" s="109">
        <v>252.17</v>
      </c>
      <c r="C676" s="109">
        <v>245.68</v>
      </c>
      <c r="D676" s="109">
        <v>248.81</v>
      </c>
      <c r="E676" s="109">
        <v>234386</v>
      </c>
      <c r="F676" s="109" t="s">
        <v>1201</v>
      </c>
      <c r="G676" s="5">
        <f t="shared" si="9"/>
        <v>4.782765965998248E-3</v>
      </c>
    </row>
    <row r="677" spans="1:7">
      <c r="A677" s="109">
        <v>250.44</v>
      </c>
      <c r="B677" s="109">
        <v>252.68</v>
      </c>
      <c r="C677" s="109">
        <v>242.05</v>
      </c>
      <c r="D677" s="109">
        <v>243.54</v>
      </c>
      <c r="E677" s="109">
        <v>268750</v>
      </c>
      <c r="F677" s="109" t="s">
        <v>1202</v>
      </c>
      <c r="G677" s="5">
        <f t="shared" si="9"/>
        <v>2.8332101502833273E-2</v>
      </c>
    </row>
    <row r="678" spans="1:7">
      <c r="A678" s="109">
        <v>244.58</v>
      </c>
      <c r="B678" s="109">
        <v>245.01</v>
      </c>
      <c r="C678" s="109">
        <v>237.14</v>
      </c>
      <c r="D678" s="109">
        <v>240.08</v>
      </c>
      <c r="E678" s="109">
        <v>251317</v>
      </c>
      <c r="F678" s="109" t="s">
        <v>1203</v>
      </c>
      <c r="G678" s="5">
        <f t="shared" si="9"/>
        <v>1.8743752082639009E-2</v>
      </c>
    </row>
    <row r="679" spans="1:7">
      <c r="A679" s="109">
        <v>238.86</v>
      </c>
      <c r="B679" s="109">
        <v>240.56</v>
      </c>
      <c r="C679" s="109">
        <v>233.5</v>
      </c>
      <c r="D679" s="109">
        <v>239.2</v>
      </c>
      <c r="E679" s="109">
        <v>319408</v>
      </c>
      <c r="F679" s="109" t="s">
        <v>1204</v>
      </c>
      <c r="G679" s="5">
        <f t="shared" si="9"/>
        <v>-1.4214046822741411E-3</v>
      </c>
    </row>
    <row r="680" spans="1:7">
      <c r="A680" s="109">
        <v>243.6</v>
      </c>
      <c r="B680" s="109">
        <v>253.22</v>
      </c>
      <c r="C680" s="109">
        <v>242.08</v>
      </c>
      <c r="D680" s="109">
        <v>247.21</v>
      </c>
      <c r="E680" s="109">
        <v>209939</v>
      </c>
      <c r="F680" s="109" t="s">
        <v>1205</v>
      </c>
      <c r="G680" s="5">
        <f t="shared" si="9"/>
        <v>-1.4602969135552812E-2</v>
      </c>
    </row>
    <row r="681" spans="1:7">
      <c r="A681" s="109">
        <v>250.63</v>
      </c>
      <c r="B681" s="109">
        <v>250.85</v>
      </c>
      <c r="C681" s="109">
        <v>245.27</v>
      </c>
      <c r="D681" s="109">
        <v>247.57</v>
      </c>
      <c r="E681" s="109">
        <v>308862</v>
      </c>
      <c r="F681" s="109" t="s">
        <v>1206</v>
      </c>
      <c r="G681" s="5">
        <f t="shared" si="9"/>
        <v>1.2360140566304523E-2</v>
      </c>
    </row>
    <row r="682" spans="1:7">
      <c r="A682" s="109">
        <v>248.34</v>
      </c>
      <c r="B682" s="109">
        <v>248.67</v>
      </c>
      <c r="C682" s="109">
        <v>239.03</v>
      </c>
      <c r="D682" s="109">
        <v>240.85</v>
      </c>
      <c r="E682" s="109">
        <v>335396</v>
      </c>
      <c r="F682" s="109" t="s">
        <v>1207</v>
      </c>
      <c r="G682" s="5">
        <f t="shared" si="9"/>
        <v>3.1098193896616166E-2</v>
      </c>
    </row>
    <row r="683" spans="1:7">
      <c r="A683" s="109">
        <v>239.66</v>
      </c>
      <c r="B683" s="109">
        <v>241.41</v>
      </c>
      <c r="C683" s="109">
        <v>235.88</v>
      </c>
      <c r="D683" s="109">
        <v>238.15</v>
      </c>
      <c r="E683" s="109">
        <v>274538</v>
      </c>
      <c r="F683" s="109" t="s">
        <v>1208</v>
      </c>
      <c r="G683" s="5">
        <f t="shared" si="9"/>
        <v>6.340541675414535E-3</v>
      </c>
    </row>
    <row r="684" spans="1:7">
      <c r="A684" s="109">
        <v>239.51</v>
      </c>
      <c r="B684" s="109">
        <v>246.005</v>
      </c>
      <c r="C684" s="109">
        <v>234.12</v>
      </c>
      <c r="D684" s="109">
        <v>234.73</v>
      </c>
      <c r="E684" s="109">
        <v>327631</v>
      </c>
      <c r="F684" s="109" t="s">
        <v>1209</v>
      </c>
      <c r="G684" s="5">
        <f t="shared" si="9"/>
        <v>2.0363822263877562E-2</v>
      </c>
    </row>
    <row r="685" spans="1:7">
      <c r="A685" s="109">
        <v>233.13</v>
      </c>
      <c r="B685" s="109">
        <v>237.61</v>
      </c>
      <c r="C685" s="109">
        <v>229.78</v>
      </c>
      <c r="D685" s="109">
        <v>232.18</v>
      </c>
      <c r="E685" s="109">
        <v>339320</v>
      </c>
      <c r="F685" s="109" t="s">
        <v>1210</v>
      </c>
      <c r="G685" s="5">
        <f t="shared" si="9"/>
        <v>4.0916530278232166E-3</v>
      </c>
    </row>
    <row r="686" spans="1:7">
      <c r="A686" s="109">
        <v>237.78</v>
      </c>
      <c r="B686" s="109">
        <v>240.4</v>
      </c>
      <c r="C686" s="109">
        <v>229.19</v>
      </c>
      <c r="D686" s="109">
        <v>229.19</v>
      </c>
      <c r="E686" s="109">
        <v>411480</v>
      </c>
      <c r="F686" s="109" t="s">
        <v>1211</v>
      </c>
      <c r="G686" s="5">
        <f t="shared" si="9"/>
        <v>3.7479820236484995E-2</v>
      </c>
    </row>
    <row r="687" spans="1:7">
      <c r="A687" s="109">
        <v>230.51</v>
      </c>
      <c r="B687" s="109">
        <v>231.15</v>
      </c>
      <c r="C687" s="109">
        <v>224.03</v>
      </c>
      <c r="D687" s="109">
        <v>226.89</v>
      </c>
      <c r="E687" s="109">
        <v>235916</v>
      </c>
      <c r="F687" s="109" t="s">
        <v>1212</v>
      </c>
      <c r="G687" s="5">
        <f t="shared" si="9"/>
        <v>1.5954867997708178E-2</v>
      </c>
    </row>
    <row r="688" spans="1:7">
      <c r="A688" s="109">
        <v>227.87</v>
      </c>
      <c r="B688" s="109">
        <v>233.61</v>
      </c>
      <c r="C688" s="109">
        <v>222.64</v>
      </c>
      <c r="D688" s="109">
        <v>232.87</v>
      </c>
      <c r="E688" s="109">
        <v>516798</v>
      </c>
      <c r="F688" s="109" t="s">
        <v>1213</v>
      </c>
      <c r="G688" s="5">
        <f t="shared" si="9"/>
        <v>-2.1471207111263824E-2</v>
      </c>
    </row>
    <row r="689" spans="1:7">
      <c r="A689" s="109">
        <v>232.1</v>
      </c>
      <c r="B689" s="109">
        <v>232.14</v>
      </c>
      <c r="C689" s="109">
        <v>223.05</v>
      </c>
      <c r="D689" s="109">
        <v>227.49</v>
      </c>
      <c r="E689" s="109">
        <v>415212</v>
      </c>
      <c r="F689" s="109" t="s">
        <v>1214</v>
      </c>
      <c r="G689" s="5">
        <f t="shared" si="9"/>
        <v>2.0264627016572057E-2</v>
      </c>
    </row>
    <row r="690" spans="1:7">
      <c r="A690" s="109">
        <v>226</v>
      </c>
      <c r="B690" s="109">
        <v>233.64</v>
      </c>
      <c r="C690" s="109">
        <v>222.5</v>
      </c>
      <c r="D690" s="109">
        <v>233.09</v>
      </c>
      <c r="E690" s="109">
        <v>604133</v>
      </c>
      <c r="F690" s="109" t="s">
        <v>1215</v>
      </c>
      <c r="G690" s="5">
        <f t="shared" ref="G690:G753" si="10">A690/D690-1</f>
        <v>-3.0417435325410747E-2</v>
      </c>
    </row>
    <row r="691" spans="1:7">
      <c r="A691" s="109">
        <v>230.45</v>
      </c>
      <c r="B691" s="109">
        <v>230.52500000000001</v>
      </c>
      <c r="C691" s="109">
        <v>218.55</v>
      </c>
      <c r="D691" s="109">
        <v>221.61</v>
      </c>
      <c r="E691" s="109">
        <v>222248</v>
      </c>
      <c r="F691" s="109" t="s">
        <v>1216</v>
      </c>
      <c r="G691" s="5">
        <f t="shared" si="10"/>
        <v>3.988989666531273E-2</v>
      </c>
    </row>
    <row r="692" spans="1:7">
      <c r="A692" s="109">
        <v>220.77</v>
      </c>
      <c r="B692" s="109">
        <v>226.07499999999999</v>
      </c>
      <c r="C692" s="109">
        <v>220.01</v>
      </c>
      <c r="D692" s="109">
        <v>223.86</v>
      </c>
      <c r="E692" s="109">
        <v>236906</v>
      </c>
      <c r="F692" s="109" t="s">
        <v>1217</v>
      </c>
      <c r="G692" s="5">
        <f t="shared" si="10"/>
        <v>-1.3803269900830917E-2</v>
      </c>
    </row>
    <row r="693" spans="1:7">
      <c r="A693" s="109">
        <v>224.65</v>
      </c>
      <c r="B693" s="109">
        <v>226.28</v>
      </c>
      <c r="C693" s="109">
        <v>218.89</v>
      </c>
      <c r="D693" s="109">
        <v>223.64</v>
      </c>
      <c r="E693" s="109">
        <v>312834</v>
      </c>
      <c r="F693" s="109" t="s">
        <v>1218</v>
      </c>
      <c r="G693" s="5">
        <f t="shared" si="10"/>
        <v>4.5161867286711566E-3</v>
      </c>
    </row>
    <row r="694" spans="1:7">
      <c r="A694" s="109">
        <v>221.2</v>
      </c>
      <c r="B694" s="109">
        <v>228.7</v>
      </c>
      <c r="C694" s="109">
        <v>218.69</v>
      </c>
      <c r="D694" s="109">
        <v>227.12</v>
      </c>
      <c r="E694" s="109">
        <v>278836</v>
      </c>
      <c r="F694" s="109" t="s">
        <v>1219</v>
      </c>
      <c r="G694" s="5">
        <f t="shared" si="10"/>
        <v>-2.6065516026770097E-2</v>
      </c>
    </row>
    <row r="695" spans="1:7">
      <c r="A695" s="109">
        <v>222.46</v>
      </c>
      <c r="B695" s="109">
        <v>222.99</v>
      </c>
      <c r="C695" s="109">
        <v>217.2</v>
      </c>
      <c r="D695" s="109">
        <v>219.38</v>
      </c>
      <c r="E695" s="109">
        <v>160468</v>
      </c>
      <c r="F695" s="109" t="s">
        <v>1220</v>
      </c>
      <c r="G695" s="5">
        <f t="shared" si="10"/>
        <v>1.4039566049776742E-2</v>
      </c>
    </row>
    <row r="696" spans="1:7">
      <c r="A696" s="109">
        <v>221.86</v>
      </c>
      <c r="B696" s="109">
        <v>224.68</v>
      </c>
      <c r="C696" s="109">
        <v>221.26840000000001</v>
      </c>
      <c r="D696" s="109">
        <v>222.59</v>
      </c>
      <c r="E696" s="109">
        <v>161372</v>
      </c>
      <c r="F696" s="109" t="s">
        <v>1221</v>
      </c>
      <c r="G696" s="5">
        <f t="shared" si="10"/>
        <v>-3.2795723078304917E-3</v>
      </c>
    </row>
    <row r="697" spans="1:7">
      <c r="A697" s="109">
        <v>220.14</v>
      </c>
      <c r="B697" s="109">
        <v>221.71</v>
      </c>
      <c r="C697" s="109">
        <v>216.32</v>
      </c>
      <c r="D697" s="109">
        <v>220.3</v>
      </c>
      <c r="E697" s="109">
        <v>153793</v>
      </c>
      <c r="F697" s="109" t="s">
        <v>1222</v>
      </c>
      <c r="G697" s="5">
        <f t="shared" si="10"/>
        <v>-7.2628234226068678E-4</v>
      </c>
    </row>
    <row r="698" spans="1:7">
      <c r="A698" s="109">
        <v>219.47</v>
      </c>
      <c r="B698" s="109">
        <v>222.01</v>
      </c>
      <c r="C698" s="109">
        <v>215.98500000000001</v>
      </c>
      <c r="D698" s="109">
        <v>218.83</v>
      </c>
      <c r="E698" s="109">
        <v>178928</v>
      </c>
      <c r="F698" s="109" t="s">
        <v>1223</v>
      </c>
      <c r="G698" s="5">
        <f t="shared" si="10"/>
        <v>2.9246447013662191E-3</v>
      </c>
    </row>
    <row r="699" spans="1:7">
      <c r="A699" s="109">
        <v>219.62</v>
      </c>
      <c r="B699" s="109">
        <v>223.03</v>
      </c>
      <c r="C699" s="109">
        <v>217.7</v>
      </c>
      <c r="D699" s="109">
        <v>223.03</v>
      </c>
      <c r="E699" s="109">
        <v>185855</v>
      </c>
      <c r="F699" s="109" t="s">
        <v>1224</v>
      </c>
      <c r="G699" s="5">
        <f t="shared" si="10"/>
        <v>-1.5289422947585507E-2</v>
      </c>
    </row>
    <row r="700" spans="1:7">
      <c r="A700" s="109">
        <v>223.53</v>
      </c>
      <c r="B700" s="109">
        <v>224.19499999999999</v>
      </c>
      <c r="C700" s="109">
        <v>218.34</v>
      </c>
      <c r="D700" s="109">
        <v>220.69</v>
      </c>
      <c r="E700" s="109">
        <v>249463</v>
      </c>
      <c r="F700" s="109" t="s">
        <v>1225</v>
      </c>
      <c r="G700" s="5">
        <f t="shared" si="10"/>
        <v>1.2868729892609565E-2</v>
      </c>
    </row>
    <row r="701" spans="1:7">
      <c r="A701" s="109">
        <v>220.95</v>
      </c>
      <c r="B701" s="109">
        <v>225.02</v>
      </c>
      <c r="C701" s="109">
        <v>218.73</v>
      </c>
      <c r="D701" s="109">
        <v>221.3</v>
      </c>
      <c r="E701" s="109">
        <v>203133</v>
      </c>
      <c r="F701" s="109" t="s">
        <v>1226</v>
      </c>
      <c r="G701" s="5">
        <f t="shared" si="10"/>
        <v>-1.5815634884772667E-3</v>
      </c>
    </row>
    <row r="702" spans="1:7">
      <c r="A702" s="109">
        <v>220.1</v>
      </c>
      <c r="B702" s="109">
        <v>223.57730000000001</v>
      </c>
      <c r="C702" s="109">
        <v>219.26</v>
      </c>
      <c r="D702" s="109">
        <v>220.07</v>
      </c>
      <c r="E702" s="109">
        <v>327939</v>
      </c>
      <c r="F702" s="109" t="s">
        <v>1227</v>
      </c>
      <c r="G702" s="5">
        <f t="shared" si="10"/>
        <v>1.3632026173482359E-4</v>
      </c>
    </row>
    <row r="703" spans="1:7">
      <c r="A703" s="109">
        <v>219.77</v>
      </c>
      <c r="B703" s="109">
        <v>222.78</v>
      </c>
      <c r="C703" s="109">
        <v>216.59</v>
      </c>
      <c r="D703" s="109">
        <v>221.15</v>
      </c>
      <c r="E703" s="109">
        <v>232687</v>
      </c>
      <c r="F703" s="109" t="s">
        <v>1228</v>
      </c>
      <c r="G703" s="5">
        <f t="shared" si="10"/>
        <v>-6.240108523626442E-3</v>
      </c>
    </row>
    <row r="704" spans="1:7">
      <c r="A704" s="109">
        <v>223.06</v>
      </c>
      <c r="B704" s="109">
        <v>223.75</v>
      </c>
      <c r="C704" s="109">
        <v>219.63</v>
      </c>
      <c r="D704" s="109">
        <v>221.88</v>
      </c>
      <c r="E704" s="109">
        <v>503164</v>
      </c>
      <c r="F704" s="109" t="s">
        <v>1229</v>
      </c>
      <c r="G704" s="5">
        <f t="shared" si="10"/>
        <v>5.3181900126195725E-3</v>
      </c>
    </row>
    <row r="705" spans="1:7">
      <c r="A705" s="109">
        <v>223.81</v>
      </c>
      <c r="B705" s="109">
        <v>225.34</v>
      </c>
      <c r="C705" s="109">
        <v>218.38149999999999</v>
      </c>
      <c r="D705" s="109">
        <v>221.45</v>
      </c>
      <c r="E705" s="109">
        <v>223925</v>
      </c>
      <c r="F705" s="109" t="s">
        <v>1230</v>
      </c>
      <c r="G705" s="5">
        <f t="shared" si="10"/>
        <v>1.0657033190336396E-2</v>
      </c>
    </row>
    <row r="706" spans="1:7">
      <c r="A706" s="109">
        <v>224.97</v>
      </c>
      <c r="B706" s="109">
        <v>233.26</v>
      </c>
      <c r="C706" s="109">
        <v>223.5</v>
      </c>
      <c r="D706" s="109">
        <v>223.77</v>
      </c>
      <c r="E706" s="109">
        <v>302278</v>
      </c>
      <c r="F706" s="109" t="s">
        <v>1231</v>
      </c>
      <c r="G706" s="5">
        <f t="shared" si="10"/>
        <v>5.3626491486793437E-3</v>
      </c>
    </row>
    <row r="707" spans="1:7">
      <c r="A707" s="109">
        <v>225.32</v>
      </c>
      <c r="B707" s="109">
        <v>227.46</v>
      </c>
      <c r="C707" s="109">
        <v>219.82499999999999</v>
      </c>
      <c r="D707" s="109">
        <v>224.76</v>
      </c>
      <c r="E707" s="109">
        <v>325600</v>
      </c>
      <c r="F707" s="109" t="s">
        <v>1232</v>
      </c>
      <c r="G707" s="5">
        <f t="shared" si="10"/>
        <v>2.4915465385300095E-3</v>
      </c>
    </row>
    <row r="708" spans="1:7">
      <c r="A708" s="109">
        <v>215.37</v>
      </c>
      <c r="B708" s="109">
        <v>222.23</v>
      </c>
      <c r="C708" s="109">
        <v>214.29</v>
      </c>
      <c r="D708" s="109">
        <v>218.31</v>
      </c>
      <c r="E708" s="109">
        <v>497750</v>
      </c>
      <c r="F708" s="109" t="s">
        <v>1233</v>
      </c>
      <c r="G708" s="5">
        <f t="shared" si="10"/>
        <v>-1.346708808574959E-2</v>
      </c>
    </row>
    <row r="709" spans="1:7">
      <c r="A709" s="109">
        <v>216.2</v>
      </c>
      <c r="B709" s="109">
        <v>230.94</v>
      </c>
      <c r="C709" s="109">
        <v>216.19</v>
      </c>
      <c r="D709" s="109">
        <v>227.2</v>
      </c>
      <c r="E709" s="109">
        <v>375640</v>
      </c>
      <c r="F709" s="109" t="s">
        <v>1234</v>
      </c>
      <c r="G709" s="5">
        <f t="shared" si="10"/>
        <v>-4.8415492957746498E-2</v>
      </c>
    </row>
    <row r="710" spans="1:7">
      <c r="A710" s="109">
        <v>228.27</v>
      </c>
      <c r="B710" s="109">
        <v>232.73500000000001</v>
      </c>
      <c r="C710" s="109">
        <v>218.28</v>
      </c>
      <c r="D710" s="109">
        <v>220.56</v>
      </c>
      <c r="E710" s="109">
        <v>727122</v>
      </c>
      <c r="F710" s="109" t="s">
        <v>1235</v>
      </c>
      <c r="G710" s="5">
        <f t="shared" si="10"/>
        <v>3.4956474428726958E-2</v>
      </c>
    </row>
    <row r="711" spans="1:7">
      <c r="A711" s="109">
        <v>220</v>
      </c>
      <c r="B711" s="109">
        <v>220.54</v>
      </c>
      <c r="C711" s="109">
        <v>215.32</v>
      </c>
      <c r="D711" s="109">
        <v>215.32</v>
      </c>
      <c r="E711" s="109">
        <v>514924</v>
      </c>
      <c r="F711" s="109" t="s">
        <v>1236</v>
      </c>
      <c r="G711" s="5">
        <f t="shared" si="10"/>
        <v>2.1735091956158303E-2</v>
      </c>
    </row>
    <row r="712" spans="1:7">
      <c r="A712" s="109">
        <v>216.01</v>
      </c>
      <c r="B712" s="109">
        <v>216.4</v>
      </c>
      <c r="C712" s="109">
        <v>208</v>
      </c>
      <c r="D712" s="109">
        <v>211.17</v>
      </c>
      <c r="E712" s="109">
        <v>610502</v>
      </c>
      <c r="F712" s="109" t="s">
        <v>1237</v>
      </c>
      <c r="G712" s="5">
        <f t="shared" si="10"/>
        <v>2.2919922337453214E-2</v>
      </c>
    </row>
    <row r="713" spans="1:7">
      <c r="A713" s="109">
        <v>212</v>
      </c>
      <c r="B713" s="109">
        <v>212.54</v>
      </c>
      <c r="C713" s="109">
        <v>206.11</v>
      </c>
      <c r="D713" s="109">
        <v>208.52</v>
      </c>
      <c r="E713" s="109">
        <v>842275</v>
      </c>
      <c r="F713" s="109" t="s">
        <v>1238</v>
      </c>
      <c r="G713" s="5">
        <f t="shared" si="10"/>
        <v>1.6689046614233538E-2</v>
      </c>
    </row>
    <row r="714" spans="1:7">
      <c r="A714" s="109">
        <v>210.85</v>
      </c>
      <c r="B714" s="109">
        <v>212.19</v>
      </c>
      <c r="C714" s="109">
        <v>206.11</v>
      </c>
      <c r="D714" s="109">
        <v>206.63</v>
      </c>
      <c r="E714" s="109">
        <v>259143</v>
      </c>
      <c r="F714" s="109" t="s">
        <v>1239</v>
      </c>
      <c r="G714" s="5">
        <f t="shared" si="10"/>
        <v>2.0422978270338232E-2</v>
      </c>
    </row>
    <row r="715" spans="1:7">
      <c r="A715" s="109">
        <v>210.11</v>
      </c>
      <c r="B715" s="109">
        <v>213.71</v>
      </c>
      <c r="C715" s="109">
        <v>207.33500000000001</v>
      </c>
      <c r="D715" s="109">
        <v>208.85</v>
      </c>
      <c r="E715" s="109">
        <v>237651</v>
      </c>
      <c r="F715" s="109" t="s">
        <v>1240</v>
      </c>
      <c r="G715" s="5">
        <f t="shared" si="10"/>
        <v>6.033038065597518E-3</v>
      </c>
    </row>
    <row r="716" spans="1:7">
      <c r="A716" s="109">
        <v>209.51</v>
      </c>
      <c r="B716" s="109">
        <v>209.54</v>
      </c>
      <c r="C716" s="109">
        <v>200.26</v>
      </c>
      <c r="D716" s="109">
        <v>200.99</v>
      </c>
      <c r="E716" s="109">
        <v>401711</v>
      </c>
      <c r="F716" s="109" t="s">
        <v>1241</v>
      </c>
      <c r="G716" s="5">
        <f t="shared" si="10"/>
        <v>4.2390168665107586E-2</v>
      </c>
    </row>
    <row r="717" spans="1:7">
      <c r="A717" s="109">
        <v>199.76</v>
      </c>
      <c r="B717" s="109">
        <v>203.86500000000001</v>
      </c>
      <c r="C717" s="109">
        <v>197.28</v>
      </c>
      <c r="D717" s="109">
        <v>199</v>
      </c>
      <c r="E717" s="109">
        <v>688985</v>
      </c>
      <c r="F717" s="109" t="s">
        <v>1242</v>
      </c>
      <c r="G717" s="5">
        <f t="shared" si="10"/>
        <v>3.8190954773869024E-3</v>
      </c>
    </row>
    <row r="718" spans="1:7">
      <c r="A718" s="109">
        <v>198.05</v>
      </c>
      <c r="B718" s="109">
        <v>198.11</v>
      </c>
      <c r="C718" s="109">
        <v>192.78</v>
      </c>
      <c r="D718" s="109">
        <v>193.84</v>
      </c>
      <c r="E718" s="109">
        <v>551552</v>
      </c>
      <c r="F718" s="109" t="s">
        <v>1243</v>
      </c>
      <c r="G718" s="5">
        <f t="shared" si="10"/>
        <v>2.1718943458522544E-2</v>
      </c>
    </row>
    <row r="719" spans="1:7">
      <c r="A719" s="109">
        <v>195.94</v>
      </c>
      <c r="B719" s="109">
        <v>197.7</v>
      </c>
      <c r="C719" s="109">
        <v>195.28</v>
      </c>
      <c r="D719" s="109">
        <v>195.61</v>
      </c>
      <c r="E719" s="109">
        <v>153460</v>
      </c>
      <c r="F719" s="109" t="s">
        <v>1244</v>
      </c>
      <c r="G719" s="5">
        <f t="shared" si="10"/>
        <v>1.6870303154234989E-3</v>
      </c>
    </row>
    <row r="720" spans="1:7">
      <c r="A720" s="109">
        <v>196.22</v>
      </c>
      <c r="B720" s="109">
        <v>196.36</v>
      </c>
      <c r="C720" s="109">
        <v>190.34</v>
      </c>
      <c r="D720" s="109">
        <v>192.72</v>
      </c>
      <c r="E720" s="109">
        <v>275239</v>
      </c>
      <c r="F720" s="109" t="s">
        <v>1245</v>
      </c>
      <c r="G720" s="5">
        <f t="shared" si="10"/>
        <v>1.8161062681610662E-2</v>
      </c>
    </row>
    <row r="721" spans="1:7">
      <c r="A721" s="109">
        <v>192.72</v>
      </c>
      <c r="B721" s="109">
        <v>193.5</v>
      </c>
      <c r="C721" s="109">
        <v>188.32</v>
      </c>
      <c r="D721" s="109">
        <v>192</v>
      </c>
      <c r="E721" s="109">
        <v>232086</v>
      </c>
      <c r="F721" s="109" t="s">
        <v>1246</v>
      </c>
      <c r="G721" s="5">
        <f t="shared" si="10"/>
        <v>3.7499999999999201E-3</v>
      </c>
    </row>
    <row r="722" spans="1:7">
      <c r="A722" s="109">
        <v>192.42</v>
      </c>
      <c r="B722" s="109">
        <v>193.44</v>
      </c>
      <c r="C722" s="109">
        <v>188.94</v>
      </c>
      <c r="D722" s="109">
        <v>189.05</v>
      </c>
      <c r="E722" s="109">
        <v>230814</v>
      </c>
      <c r="F722" s="109" t="s">
        <v>1247</v>
      </c>
      <c r="G722" s="5">
        <f t="shared" si="10"/>
        <v>1.7825971965088394E-2</v>
      </c>
    </row>
    <row r="723" spans="1:7">
      <c r="A723" s="109">
        <v>191.28</v>
      </c>
      <c r="B723" s="109">
        <v>195.49</v>
      </c>
      <c r="C723" s="109">
        <v>190.12</v>
      </c>
      <c r="D723" s="109">
        <v>195.49</v>
      </c>
      <c r="E723" s="109">
        <v>355615</v>
      </c>
      <c r="F723" s="109" t="s">
        <v>1248</v>
      </c>
      <c r="G723" s="5">
        <f t="shared" si="10"/>
        <v>-2.1535628420891184E-2</v>
      </c>
    </row>
    <row r="724" spans="1:7">
      <c r="A724" s="109">
        <v>193.18</v>
      </c>
      <c r="B724" s="109">
        <v>196.71</v>
      </c>
      <c r="C724" s="109">
        <v>190.59</v>
      </c>
      <c r="D724" s="109">
        <v>194</v>
      </c>
      <c r="E724" s="109">
        <v>214878</v>
      </c>
      <c r="F724" s="109" t="s">
        <v>1249</v>
      </c>
      <c r="G724" s="5">
        <f t="shared" si="10"/>
        <v>-4.2268041237113474E-3</v>
      </c>
    </row>
    <row r="725" spans="1:7">
      <c r="A725" s="109">
        <v>197.75</v>
      </c>
      <c r="B725" s="109">
        <v>198.57</v>
      </c>
      <c r="C725" s="109">
        <v>192.81</v>
      </c>
      <c r="D725" s="109">
        <v>193.8</v>
      </c>
      <c r="E725" s="109">
        <v>191544</v>
      </c>
      <c r="F725" s="109" t="s">
        <v>1250</v>
      </c>
      <c r="G725" s="5">
        <f t="shared" si="10"/>
        <v>2.0381836945304377E-2</v>
      </c>
    </row>
    <row r="726" spans="1:7">
      <c r="A726" s="109">
        <v>195.99</v>
      </c>
      <c r="B726" s="109">
        <v>199.78</v>
      </c>
      <c r="C726" s="109">
        <v>192.63</v>
      </c>
      <c r="D726" s="109">
        <v>197.94</v>
      </c>
      <c r="E726" s="109">
        <v>329981</v>
      </c>
      <c r="F726" s="109" t="s">
        <v>1251</v>
      </c>
      <c r="G726" s="5">
        <f t="shared" si="10"/>
        <v>-9.8514701424673445E-3</v>
      </c>
    </row>
    <row r="727" spans="1:7">
      <c r="A727" s="109">
        <v>193.48</v>
      </c>
      <c r="B727" s="109">
        <v>196.36</v>
      </c>
      <c r="C727" s="109">
        <v>192.12</v>
      </c>
      <c r="D727" s="109">
        <v>195.13</v>
      </c>
      <c r="E727" s="109">
        <v>301863</v>
      </c>
      <c r="F727" s="109" t="s">
        <v>1252</v>
      </c>
      <c r="G727" s="5">
        <f t="shared" si="10"/>
        <v>-8.4559011940757989E-3</v>
      </c>
    </row>
    <row r="728" spans="1:7">
      <c r="A728" s="109">
        <v>194.02</v>
      </c>
      <c r="B728" s="109">
        <v>201.53</v>
      </c>
      <c r="C728" s="109">
        <v>190.91</v>
      </c>
      <c r="D728" s="109">
        <v>190.91</v>
      </c>
      <c r="E728" s="109">
        <v>457211</v>
      </c>
      <c r="F728" s="109" t="s">
        <v>1253</v>
      </c>
      <c r="G728" s="5">
        <f t="shared" si="10"/>
        <v>1.6290398617149426E-2</v>
      </c>
    </row>
    <row r="729" spans="1:7">
      <c r="A729" s="109">
        <v>190.9</v>
      </c>
      <c r="B729" s="109">
        <v>194.97</v>
      </c>
      <c r="C729" s="109">
        <v>181.6</v>
      </c>
      <c r="D729" s="109">
        <v>181.6</v>
      </c>
      <c r="E729" s="109">
        <v>469872</v>
      </c>
      <c r="F729" s="109" t="s">
        <v>1254</v>
      </c>
      <c r="G729" s="5">
        <f t="shared" si="10"/>
        <v>5.1211453744493429E-2</v>
      </c>
    </row>
    <row r="730" spans="1:7">
      <c r="A730" s="109">
        <v>176</v>
      </c>
      <c r="B730" s="109">
        <v>179.79</v>
      </c>
      <c r="C730" s="109">
        <v>172.8672</v>
      </c>
      <c r="D730" s="109">
        <v>176.31</v>
      </c>
      <c r="E730" s="109">
        <v>408357</v>
      </c>
      <c r="F730" s="109" t="s">
        <v>1255</v>
      </c>
      <c r="G730" s="5">
        <f t="shared" si="10"/>
        <v>-1.7582666893539711E-3</v>
      </c>
    </row>
    <row r="731" spans="1:7">
      <c r="A731" s="109">
        <v>176.27</v>
      </c>
      <c r="B731" s="109">
        <v>176.94</v>
      </c>
      <c r="C731" s="109">
        <v>167.52</v>
      </c>
      <c r="D731" s="109">
        <v>176.41</v>
      </c>
      <c r="E731" s="109">
        <v>654490</v>
      </c>
      <c r="F731" s="109" t="s">
        <v>1256</v>
      </c>
      <c r="G731" s="5">
        <f t="shared" si="10"/>
        <v>-7.9360580465948072E-4</v>
      </c>
    </row>
    <row r="732" spans="1:7">
      <c r="A732" s="109">
        <v>178.16</v>
      </c>
      <c r="B732" s="109">
        <v>179.68</v>
      </c>
      <c r="C732" s="109">
        <v>163.68</v>
      </c>
      <c r="D732" s="109">
        <v>163.80000000000001</v>
      </c>
      <c r="E732" s="109">
        <v>643398</v>
      </c>
      <c r="F732" s="109" t="s">
        <v>1257</v>
      </c>
      <c r="G732" s="5">
        <f t="shared" si="10"/>
        <v>8.7667887667887578E-2</v>
      </c>
    </row>
    <row r="733" spans="1:7">
      <c r="A733" s="109">
        <v>162.03</v>
      </c>
      <c r="B733" s="109">
        <v>164.95</v>
      </c>
      <c r="C733" s="109">
        <v>144.76</v>
      </c>
      <c r="D733" s="109">
        <v>158.61000000000001</v>
      </c>
      <c r="E733" s="109">
        <v>1348070</v>
      </c>
      <c r="F733" s="109" t="s">
        <v>1258</v>
      </c>
      <c r="G733" s="5">
        <f t="shared" si="10"/>
        <v>2.1562322678267298E-2</v>
      </c>
    </row>
    <row r="734" spans="1:7">
      <c r="A734" s="109">
        <v>151.88</v>
      </c>
      <c r="B734" s="109">
        <v>156.065</v>
      </c>
      <c r="C734" s="109">
        <v>148.54499999999999</v>
      </c>
      <c r="D734" s="109">
        <v>154.94999999999999</v>
      </c>
      <c r="E734" s="109">
        <v>492561</v>
      </c>
      <c r="F734" s="109" t="s">
        <v>1259</v>
      </c>
      <c r="G734" s="5">
        <f t="shared" si="10"/>
        <v>-1.9812842852533041E-2</v>
      </c>
    </row>
    <row r="735" spans="1:7">
      <c r="A735" s="109">
        <v>157.38</v>
      </c>
      <c r="B735" s="109">
        <v>163.58000000000001</v>
      </c>
      <c r="C735" s="109">
        <v>156.93</v>
      </c>
      <c r="D735" s="109">
        <v>161.1</v>
      </c>
      <c r="E735" s="109">
        <v>489828</v>
      </c>
      <c r="F735" s="109" t="s">
        <v>1260</v>
      </c>
      <c r="G735" s="5">
        <f t="shared" si="10"/>
        <v>-2.3091247672253234E-2</v>
      </c>
    </row>
    <row r="736" spans="1:7">
      <c r="A736" s="109">
        <v>161.85</v>
      </c>
      <c r="B736" s="109">
        <v>175.71</v>
      </c>
      <c r="C736" s="109">
        <v>161.34</v>
      </c>
      <c r="D736" s="109">
        <v>174.83</v>
      </c>
      <c r="E736" s="109">
        <v>588414</v>
      </c>
      <c r="F736" s="109" t="s">
        <v>1261</v>
      </c>
      <c r="G736" s="5">
        <f t="shared" si="10"/>
        <v>-7.4243550877995834E-2</v>
      </c>
    </row>
    <row r="737" spans="1:7">
      <c r="A737" s="109">
        <v>171.47</v>
      </c>
      <c r="B737" s="109">
        <v>172.47</v>
      </c>
      <c r="C737" s="109">
        <v>167.65</v>
      </c>
      <c r="D737" s="109">
        <v>169.08</v>
      </c>
      <c r="E737" s="109">
        <v>294238</v>
      </c>
      <c r="F737" s="109" t="s">
        <v>1262</v>
      </c>
      <c r="G737" s="5">
        <f t="shared" si="10"/>
        <v>1.4135320558315456E-2</v>
      </c>
    </row>
    <row r="738" spans="1:7">
      <c r="A738" s="109">
        <v>169.48</v>
      </c>
      <c r="B738" s="109">
        <v>173.08</v>
      </c>
      <c r="C738" s="109">
        <v>167.13499999999999</v>
      </c>
      <c r="D738" s="109">
        <v>170.85</v>
      </c>
      <c r="E738" s="109">
        <v>440840</v>
      </c>
      <c r="F738" s="109" t="s">
        <v>1263</v>
      </c>
      <c r="G738" s="5">
        <f t="shared" si="10"/>
        <v>-8.0187298800117324E-3</v>
      </c>
    </row>
    <row r="739" spans="1:7">
      <c r="A739" s="109">
        <v>171.59</v>
      </c>
      <c r="B739" s="109">
        <v>179.24</v>
      </c>
      <c r="C739" s="109">
        <v>170.13499999999999</v>
      </c>
      <c r="D739" s="109">
        <v>177.5</v>
      </c>
      <c r="E739" s="109">
        <v>252558</v>
      </c>
      <c r="F739" s="109" t="s">
        <v>1264</v>
      </c>
      <c r="G739" s="5">
        <f t="shared" si="10"/>
        <v>-3.3295774647887355E-2</v>
      </c>
    </row>
    <row r="740" spans="1:7">
      <c r="A740" s="109">
        <v>176.82</v>
      </c>
      <c r="B740" s="109">
        <v>182.04</v>
      </c>
      <c r="C740" s="109">
        <v>175.57</v>
      </c>
      <c r="D740" s="109">
        <v>177.19</v>
      </c>
      <c r="E740" s="109">
        <v>313468</v>
      </c>
      <c r="F740" s="109" t="s">
        <v>1265</v>
      </c>
      <c r="G740" s="5">
        <f t="shared" si="10"/>
        <v>-2.0881539590270615E-3</v>
      </c>
    </row>
    <row r="741" spans="1:7">
      <c r="A741" s="109">
        <v>175.52</v>
      </c>
      <c r="B741" s="109">
        <v>177.19</v>
      </c>
      <c r="C741" s="109">
        <v>171.62</v>
      </c>
      <c r="D741" s="109">
        <v>172.22</v>
      </c>
      <c r="E741" s="109">
        <v>229648</v>
      </c>
      <c r="F741" s="109" t="s">
        <v>1266</v>
      </c>
      <c r="G741" s="5">
        <f t="shared" si="10"/>
        <v>1.9161537568226805E-2</v>
      </c>
    </row>
    <row r="742" spans="1:7">
      <c r="A742" s="109">
        <v>171.5</v>
      </c>
      <c r="B742" s="109">
        <v>172.88499999999999</v>
      </c>
      <c r="C742" s="109">
        <v>168.09</v>
      </c>
      <c r="D742" s="109">
        <v>172.41</v>
      </c>
      <c r="E742" s="109">
        <v>289245</v>
      </c>
      <c r="F742" s="109" t="s">
        <v>1267</v>
      </c>
      <c r="G742" s="5">
        <f t="shared" si="10"/>
        <v>-5.2781161185545544E-3</v>
      </c>
    </row>
    <row r="743" spans="1:7">
      <c r="A743" s="109">
        <v>171.23</v>
      </c>
      <c r="B743" s="109">
        <v>172.98</v>
      </c>
      <c r="C743" s="109">
        <v>165.995</v>
      </c>
      <c r="D743" s="109">
        <v>170.58</v>
      </c>
      <c r="E743" s="109">
        <v>405255</v>
      </c>
      <c r="F743" s="109" t="s">
        <v>1268</v>
      </c>
      <c r="G743" s="5">
        <f t="shared" si="10"/>
        <v>3.810528784148115E-3</v>
      </c>
    </row>
    <row r="744" spans="1:7">
      <c r="A744" s="109">
        <v>170.12</v>
      </c>
      <c r="B744" s="109">
        <v>177.745</v>
      </c>
      <c r="C744" s="109">
        <v>169.35</v>
      </c>
      <c r="D744" s="109">
        <v>174.29</v>
      </c>
      <c r="E744" s="109">
        <v>389121</v>
      </c>
      <c r="F744" s="109" t="s">
        <v>1269</v>
      </c>
      <c r="G744" s="5">
        <f t="shared" si="10"/>
        <v>-2.3925641172757972E-2</v>
      </c>
    </row>
    <row r="745" spans="1:7">
      <c r="A745" s="109">
        <v>175.16</v>
      </c>
      <c r="B745" s="109">
        <v>182.58</v>
      </c>
      <c r="C745" s="109">
        <v>171.14</v>
      </c>
      <c r="D745" s="109">
        <v>181.97</v>
      </c>
      <c r="E745" s="109">
        <v>420133</v>
      </c>
      <c r="F745" s="109" t="s">
        <v>1270</v>
      </c>
      <c r="G745" s="5">
        <f t="shared" si="10"/>
        <v>-3.7423751167774966E-2</v>
      </c>
    </row>
    <row r="746" spans="1:7">
      <c r="A746" s="109">
        <v>185.04</v>
      </c>
      <c r="B746" s="109">
        <v>192.89</v>
      </c>
      <c r="C746" s="109">
        <v>183.68</v>
      </c>
      <c r="D746" s="109">
        <v>189.85</v>
      </c>
      <c r="E746" s="109">
        <v>280835</v>
      </c>
      <c r="F746" s="109" t="s">
        <v>1271</v>
      </c>
      <c r="G746" s="5">
        <f t="shared" si="10"/>
        <v>-2.5335791414274444E-2</v>
      </c>
    </row>
    <row r="747" spans="1:7">
      <c r="A747" s="109">
        <v>183.67</v>
      </c>
      <c r="B747" s="109">
        <v>187.88</v>
      </c>
      <c r="C747" s="109">
        <v>182.23</v>
      </c>
      <c r="D747" s="109">
        <v>184.19</v>
      </c>
      <c r="E747" s="109">
        <v>165310</v>
      </c>
      <c r="F747" s="109" t="s">
        <v>1272</v>
      </c>
      <c r="G747" s="5">
        <f t="shared" si="10"/>
        <v>-2.8231717248493604E-3</v>
      </c>
    </row>
    <row r="748" spans="1:7">
      <c r="A748" s="109">
        <v>179.94</v>
      </c>
      <c r="B748" s="109">
        <v>187.82</v>
      </c>
      <c r="C748" s="109">
        <v>177.94</v>
      </c>
      <c r="D748" s="109">
        <v>187.61</v>
      </c>
      <c r="E748" s="109">
        <v>160354</v>
      </c>
      <c r="F748" s="109" t="s">
        <v>1273</v>
      </c>
      <c r="G748" s="5">
        <f t="shared" si="10"/>
        <v>-4.0882682159799622E-2</v>
      </c>
    </row>
    <row r="749" spans="1:7">
      <c r="A749" s="109">
        <v>185.58</v>
      </c>
      <c r="B749" s="109">
        <v>186.54499999999999</v>
      </c>
      <c r="C749" s="109">
        <v>175.91</v>
      </c>
      <c r="D749" s="109">
        <v>177.04</v>
      </c>
      <c r="E749" s="109">
        <v>167316</v>
      </c>
      <c r="F749" s="109" t="s">
        <v>1274</v>
      </c>
      <c r="G749" s="5">
        <f t="shared" si="10"/>
        <v>4.823768639855408E-2</v>
      </c>
    </row>
    <row r="750" spans="1:7">
      <c r="A750" s="109">
        <v>182.22</v>
      </c>
      <c r="B750" s="109">
        <v>182.72499999999999</v>
      </c>
      <c r="C750" s="109">
        <v>178.42</v>
      </c>
      <c r="D750" s="109">
        <v>182.28</v>
      </c>
      <c r="E750" s="109">
        <v>129727</v>
      </c>
      <c r="F750" s="109" t="s">
        <v>1275</v>
      </c>
      <c r="G750" s="5">
        <f t="shared" si="10"/>
        <v>-3.291639236340238E-4</v>
      </c>
    </row>
    <row r="751" spans="1:7">
      <c r="A751" s="109">
        <v>179.88</v>
      </c>
      <c r="B751" s="109">
        <v>183.95</v>
      </c>
      <c r="C751" s="109">
        <v>172.54</v>
      </c>
      <c r="D751" s="109">
        <v>180.09</v>
      </c>
      <c r="E751" s="109">
        <v>268481</v>
      </c>
      <c r="F751" s="109" t="s">
        <v>1276</v>
      </c>
      <c r="G751" s="5">
        <f t="shared" si="10"/>
        <v>-1.1660836248542639E-3</v>
      </c>
    </row>
    <row r="752" spans="1:7">
      <c r="A752" s="109">
        <v>180.52</v>
      </c>
      <c r="B752" s="109">
        <v>182.4</v>
      </c>
      <c r="C752" s="109">
        <v>176</v>
      </c>
      <c r="D752" s="109">
        <v>182.4</v>
      </c>
      <c r="E752" s="109">
        <v>266708</v>
      </c>
      <c r="F752" s="109" t="s">
        <v>1277</v>
      </c>
      <c r="G752" s="5">
        <f t="shared" si="10"/>
        <v>-1.0307017543859653E-2</v>
      </c>
    </row>
    <row r="753" spans="1:7">
      <c r="A753" s="109">
        <v>181.26</v>
      </c>
      <c r="B753" s="109">
        <v>191.41</v>
      </c>
      <c r="C753" s="109">
        <v>180.17</v>
      </c>
      <c r="D753" s="109">
        <v>190.41</v>
      </c>
      <c r="E753" s="109">
        <v>256358</v>
      </c>
      <c r="F753" s="109" t="s">
        <v>1278</v>
      </c>
      <c r="G753" s="5">
        <f t="shared" si="10"/>
        <v>-4.8054198834094897E-2</v>
      </c>
    </row>
    <row r="754" spans="1:7">
      <c r="A754" s="109">
        <v>194.66</v>
      </c>
      <c r="B754" s="109">
        <v>198.26499999999999</v>
      </c>
      <c r="C754" s="109">
        <v>194.23</v>
      </c>
      <c r="D754" s="109">
        <v>195.64</v>
      </c>
      <c r="E754" s="109">
        <v>250902</v>
      </c>
      <c r="F754" s="109" t="s">
        <v>1279</v>
      </c>
      <c r="G754" s="5">
        <f t="shared" ref="G754:G817" si="11">A754/D754-1</f>
        <v>-5.0092005724799993E-3</v>
      </c>
    </row>
    <row r="755" spans="1:7">
      <c r="A755" s="109">
        <v>196.23</v>
      </c>
      <c r="B755" s="109">
        <v>197.95</v>
      </c>
      <c r="C755" s="109">
        <v>191.2</v>
      </c>
      <c r="D755" s="109">
        <v>194.12</v>
      </c>
      <c r="E755" s="109">
        <v>267144</v>
      </c>
      <c r="F755" s="109" t="s">
        <v>1280</v>
      </c>
      <c r="G755" s="5">
        <f t="shared" si="11"/>
        <v>1.0869565217391131E-2</v>
      </c>
    </row>
    <row r="756" spans="1:7">
      <c r="A756" s="109">
        <v>200.92</v>
      </c>
      <c r="B756" s="109">
        <v>203.81</v>
      </c>
      <c r="C756" s="109">
        <v>198.95</v>
      </c>
      <c r="D756" s="109">
        <v>198.95</v>
      </c>
      <c r="E756" s="109">
        <v>231605</v>
      </c>
      <c r="F756" s="109" t="s">
        <v>1281</v>
      </c>
      <c r="G756" s="5">
        <f t="shared" si="11"/>
        <v>9.901985423473203E-3</v>
      </c>
    </row>
    <row r="757" spans="1:7">
      <c r="A757" s="109">
        <v>195.57</v>
      </c>
      <c r="B757" s="109">
        <v>196.33</v>
      </c>
      <c r="C757" s="109">
        <v>187.87</v>
      </c>
      <c r="D757" s="109">
        <v>191.2</v>
      </c>
      <c r="E757" s="109">
        <v>207765</v>
      </c>
      <c r="F757" s="109" t="s">
        <v>1282</v>
      </c>
      <c r="G757" s="5">
        <f t="shared" si="11"/>
        <v>2.2855648535564876E-2</v>
      </c>
    </row>
    <row r="758" spans="1:7">
      <c r="A758" s="109">
        <v>189.6</v>
      </c>
      <c r="B758" s="109">
        <v>198.65</v>
      </c>
      <c r="C758" s="109">
        <v>189.39</v>
      </c>
      <c r="D758" s="109">
        <v>192.82</v>
      </c>
      <c r="E758" s="109">
        <v>266049</v>
      </c>
      <c r="F758" s="109" t="s">
        <v>1283</v>
      </c>
      <c r="G758" s="5">
        <f t="shared" si="11"/>
        <v>-1.6699512498703495E-2</v>
      </c>
    </row>
    <row r="759" spans="1:7">
      <c r="A759" s="109">
        <v>191.82</v>
      </c>
      <c r="B759" s="109">
        <v>193.35</v>
      </c>
      <c r="C759" s="109">
        <v>187.95</v>
      </c>
      <c r="D759" s="109">
        <v>191</v>
      </c>
      <c r="E759" s="109">
        <v>245309</v>
      </c>
      <c r="F759" s="109" t="s">
        <v>1284</v>
      </c>
      <c r="G759" s="5">
        <f t="shared" si="11"/>
        <v>4.2931937172774326E-3</v>
      </c>
    </row>
    <row r="760" spans="1:7">
      <c r="A760" s="109">
        <v>193.23</v>
      </c>
      <c r="B760" s="109">
        <v>194.21</v>
      </c>
      <c r="C760" s="109">
        <v>184.9</v>
      </c>
      <c r="D760" s="109">
        <v>184.9</v>
      </c>
      <c r="E760" s="109">
        <v>269651</v>
      </c>
      <c r="F760" s="109" t="s">
        <v>1285</v>
      </c>
      <c r="G760" s="5">
        <f t="shared" si="11"/>
        <v>4.505137912385071E-2</v>
      </c>
    </row>
    <row r="761" spans="1:7">
      <c r="A761" s="109">
        <v>184.24</v>
      </c>
      <c r="B761" s="109">
        <v>188.8</v>
      </c>
      <c r="C761" s="109">
        <v>179.34</v>
      </c>
      <c r="D761" s="109">
        <v>185.73</v>
      </c>
      <c r="E761" s="109">
        <v>234515</v>
      </c>
      <c r="F761" s="109" t="s">
        <v>1286</v>
      </c>
      <c r="G761" s="5">
        <f t="shared" si="11"/>
        <v>-8.0223981047756743E-3</v>
      </c>
    </row>
    <row r="762" spans="1:7">
      <c r="A762" s="109">
        <v>182.52</v>
      </c>
      <c r="B762" s="109">
        <v>186.33</v>
      </c>
      <c r="C762" s="109">
        <v>181.09</v>
      </c>
      <c r="D762" s="109">
        <v>183.44</v>
      </c>
      <c r="E762" s="109">
        <v>259989</v>
      </c>
      <c r="F762" s="109" t="s">
        <v>1287</v>
      </c>
      <c r="G762" s="5">
        <f t="shared" si="11"/>
        <v>-5.0152638464892041E-3</v>
      </c>
    </row>
    <row r="763" spans="1:7">
      <c r="A763" s="109">
        <v>184.94</v>
      </c>
      <c r="B763" s="109">
        <v>186.2</v>
      </c>
      <c r="C763" s="109">
        <v>177.12</v>
      </c>
      <c r="D763" s="109">
        <v>179.2</v>
      </c>
      <c r="E763" s="109">
        <v>448413</v>
      </c>
      <c r="F763" s="109" t="s">
        <v>1288</v>
      </c>
      <c r="G763" s="5">
        <f t="shared" si="11"/>
        <v>3.2031249999999956E-2</v>
      </c>
    </row>
    <row r="764" spans="1:7">
      <c r="A764" s="109">
        <v>180.39</v>
      </c>
      <c r="B764" s="109">
        <v>185.23</v>
      </c>
      <c r="C764" s="109">
        <v>179.92500000000001</v>
      </c>
      <c r="D764" s="109">
        <v>185.23</v>
      </c>
      <c r="E764" s="109">
        <v>218219</v>
      </c>
      <c r="F764" s="109" t="s">
        <v>1289</v>
      </c>
      <c r="G764" s="5">
        <f t="shared" si="11"/>
        <v>-2.612967661825838E-2</v>
      </c>
    </row>
    <row r="765" spans="1:7">
      <c r="A765" s="109">
        <v>186.02</v>
      </c>
      <c r="B765" s="109">
        <v>193.38</v>
      </c>
      <c r="C765" s="109">
        <v>186.01</v>
      </c>
      <c r="D765" s="109">
        <v>193.38</v>
      </c>
      <c r="E765" s="109">
        <v>205900</v>
      </c>
      <c r="F765" s="109" t="s">
        <v>1290</v>
      </c>
      <c r="G765" s="5">
        <f t="shared" si="11"/>
        <v>-3.8059778674113032E-2</v>
      </c>
    </row>
    <row r="766" spans="1:7">
      <c r="A766" s="109">
        <v>191.95</v>
      </c>
      <c r="B766" s="109">
        <v>195.22</v>
      </c>
      <c r="C766" s="109">
        <v>189.13</v>
      </c>
      <c r="D766" s="109">
        <v>192.91</v>
      </c>
      <c r="E766" s="109">
        <v>220681</v>
      </c>
      <c r="F766" s="109" t="s">
        <v>1291</v>
      </c>
      <c r="G766" s="5">
        <f t="shared" si="11"/>
        <v>-4.9764138717537376E-3</v>
      </c>
    </row>
    <row r="767" spans="1:7">
      <c r="A767" s="109">
        <v>194.45</v>
      </c>
      <c r="B767" s="109">
        <v>195.34</v>
      </c>
      <c r="C767" s="109">
        <v>188.13499999999999</v>
      </c>
      <c r="D767" s="109">
        <v>193.82</v>
      </c>
      <c r="E767" s="109">
        <v>259234</v>
      </c>
      <c r="F767" s="109" t="s">
        <v>1292</v>
      </c>
      <c r="G767" s="5">
        <f t="shared" si="11"/>
        <v>3.2504385512330813E-3</v>
      </c>
    </row>
    <row r="768" spans="1:7">
      <c r="A768" s="109">
        <v>195.55</v>
      </c>
      <c r="B768" s="109">
        <v>198.85</v>
      </c>
      <c r="C768" s="109">
        <v>194.02</v>
      </c>
      <c r="D768" s="109">
        <v>198.85</v>
      </c>
      <c r="E768" s="109">
        <v>651465</v>
      </c>
      <c r="F768" s="109" t="s">
        <v>1293</v>
      </c>
      <c r="G768" s="5">
        <f t="shared" si="11"/>
        <v>-1.6595423686195487E-2</v>
      </c>
    </row>
    <row r="769" spans="1:7">
      <c r="A769" s="109">
        <v>202.64</v>
      </c>
      <c r="B769" s="109">
        <v>205.24</v>
      </c>
      <c r="C769" s="109">
        <v>198.15</v>
      </c>
      <c r="D769" s="109">
        <v>198.15</v>
      </c>
      <c r="E769" s="109">
        <v>219604</v>
      </c>
      <c r="F769" s="109" t="s">
        <v>1294</v>
      </c>
      <c r="G769" s="5">
        <f t="shared" si="11"/>
        <v>2.2659601312137179E-2</v>
      </c>
    </row>
    <row r="770" spans="1:7">
      <c r="A770" s="109">
        <v>200.24</v>
      </c>
      <c r="B770" s="109">
        <v>202.43</v>
      </c>
      <c r="C770" s="109">
        <v>196.6474</v>
      </c>
      <c r="D770" s="109">
        <v>198.61</v>
      </c>
      <c r="E770" s="109">
        <v>230325</v>
      </c>
      <c r="F770" s="109" t="s">
        <v>1295</v>
      </c>
      <c r="G770" s="5">
        <f t="shared" si="11"/>
        <v>8.2070389204973448E-3</v>
      </c>
    </row>
    <row r="771" spans="1:7">
      <c r="A771" s="109">
        <v>199.65</v>
      </c>
      <c r="B771" s="109">
        <v>203.13499999999999</v>
      </c>
      <c r="C771" s="109">
        <v>194.45</v>
      </c>
      <c r="D771" s="109">
        <v>198.02</v>
      </c>
      <c r="E771" s="109">
        <v>362791</v>
      </c>
      <c r="F771" s="109" t="s">
        <v>1296</v>
      </c>
      <c r="G771" s="5">
        <f t="shared" si="11"/>
        <v>8.2314917685082367E-3</v>
      </c>
    </row>
    <row r="772" spans="1:7">
      <c r="A772" s="109">
        <v>200.86</v>
      </c>
      <c r="B772" s="109">
        <v>205.88</v>
      </c>
      <c r="C772" s="109">
        <v>199.05</v>
      </c>
      <c r="D772" s="109">
        <v>204.48</v>
      </c>
      <c r="E772" s="109">
        <v>401154</v>
      </c>
      <c r="F772" s="109" t="s">
        <v>1297</v>
      </c>
      <c r="G772" s="5">
        <f t="shared" si="11"/>
        <v>-1.7703442879499098E-2</v>
      </c>
    </row>
    <row r="773" spans="1:7">
      <c r="A773" s="109">
        <v>205.88</v>
      </c>
      <c r="B773" s="109">
        <v>211.48</v>
      </c>
      <c r="C773" s="109">
        <v>200.01</v>
      </c>
      <c r="D773" s="109">
        <v>200.41</v>
      </c>
      <c r="E773" s="109">
        <v>824166</v>
      </c>
      <c r="F773" s="109" t="s">
        <v>1298</v>
      </c>
      <c r="G773" s="5">
        <f t="shared" si="11"/>
        <v>2.7294047203233474E-2</v>
      </c>
    </row>
    <row r="774" spans="1:7">
      <c r="A774" s="109">
        <v>197.49</v>
      </c>
      <c r="B774" s="109">
        <v>203.26</v>
      </c>
      <c r="C774" s="109">
        <v>183</v>
      </c>
      <c r="D774" s="109">
        <v>183.99</v>
      </c>
      <c r="E774" s="109">
        <v>1069015</v>
      </c>
      <c r="F774" s="109" t="s">
        <v>1299</v>
      </c>
      <c r="G774" s="5">
        <f t="shared" si="11"/>
        <v>7.3373552910484197E-2</v>
      </c>
    </row>
    <row r="775" spans="1:7">
      <c r="A775" s="109">
        <v>185.9</v>
      </c>
      <c r="B775" s="109">
        <v>188.43</v>
      </c>
      <c r="C775" s="109">
        <v>162.86500000000001</v>
      </c>
      <c r="D775" s="109">
        <v>164.28</v>
      </c>
      <c r="E775" s="109">
        <v>834292</v>
      </c>
      <c r="F775" s="109" t="s">
        <v>1300</v>
      </c>
      <c r="G775" s="5">
        <f t="shared" si="11"/>
        <v>0.13160457755052346</v>
      </c>
    </row>
    <row r="776" spans="1:7">
      <c r="A776" s="109">
        <v>164.25</v>
      </c>
      <c r="B776" s="109">
        <v>167.41</v>
      </c>
      <c r="C776" s="109">
        <v>162.38</v>
      </c>
      <c r="D776" s="109">
        <v>166.08</v>
      </c>
      <c r="E776" s="109">
        <v>295703</v>
      </c>
      <c r="F776" s="109" t="s">
        <v>1301</v>
      </c>
      <c r="G776" s="5">
        <f t="shared" si="11"/>
        <v>-1.1018786127167668E-2</v>
      </c>
    </row>
    <row r="777" spans="1:7">
      <c r="A777" s="109">
        <v>165.03</v>
      </c>
      <c r="B777" s="109">
        <v>170.26</v>
      </c>
      <c r="C777" s="109">
        <v>163.52000000000001</v>
      </c>
      <c r="D777" s="109">
        <v>167.67</v>
      </c>
      <c r="E777" s="109">
        <v>388898</v>
      </c>
      <c r="F777" s="109" t="s">
        <v>1302</v>
      </c>
      <c r="G777" s="5">
        <f t="shared" si="11"/>
        <v>-1.5745213812846548E-2</v>
      </c>
    </row>
    <row r="778" spans="1:7">
      <c r="A778" s="109">
        <v>166.26</v>
      </c>
      <c r="B778" s="109">
        <v>166.77</v>
      </c>
      <c r="C778" s="109">
        <v>159.155</v>
      </c>
      <c r="D778" s="109">
        <v>162.16999999999999</v>
      </c>
      <c r="E778" s="109">
        <v>435894</v>
      </c>
      <c r="F778" s="109" t="s">
        <v>1303</v>
      </c>
      <c r="G778" s="5">
        <f t="shared" si="11"/>
        <v>2.5220447678362179E-2</v>
      </c>
    </row>
    <row r="779" spans="1:7">
      <c r="A779" s="109">
        <v>164.17</v>
      </c>
      <c r="B779" s="109">
        <v>168.25370000000001</v>
      </c>
      <c r="C779" s="109">
        <v>161.56</v>
      </c>
      <c r="D779" s="109">
        <v>164.46</v>
      </c>
      <c r="E779" s="109">
        <v>338422</v>
      </c>
      <c r="F779" s="109" t="s">
        <v>1304</v>
      </c>
      <c r="G779" s="5">
        <f t="shared" si="11"/>
        <v>-1.7633467104464229E-3</v>
      </c>
    </row>
    <row r="780" spans="1:7">
      <c r="A780" s="109">
        <v>161.76</v>
      </c>
      <c r="B780" s="109">
        <v>165.06</v>
      </c>
      <c r="C780" s="109">
        <v>159.24680000000001</v>
      </c>
      <c r="D780" s="109">
        <v>163.47999999999999</v>
      </c>
      <c r="E780" s="109">
        <v>258562</v>
      </c>
      <c r="F780" s="109" t="s">
        <v>1305</v>
      </c>
      <c r="G780" s="5">
        <f t="shared" si="11"/>
        <v>-1.0521164668460981E-2</v>
      </c>
    </row>
    <row r="781" spans="1:7">
      <c r="A781" s="109">
        <v>161.88</v>
      </c>
      <c r="B781" s="109">
        <v>164.51499999999999</v>
      </c>
      <c r="C781" s="109">
        <v>160.47</v>
      </c>
      <c r="D781" s="109">
        <v>163.34</v>
      </c>
      <c r="E781" s="109">
        <v>263596</v>
      </c>
      <c r="F781" s="109" t="s">
        <v>1306</v>
      </c>
      <c r="G781" s="5">
        <f t="shared" si="11"/>
        <v>-8.938410677115316E-3</v>
      </c>
    </row>
    <row r="782" spans="1:7">
      <c r="A782" s="109">
        <v>165.87</v>
      </c>
      <c r="B782" s="109">
        <v>170.78</v>
      </c>
      <c r="C782" s="109">
        <v>164.04</v>
      </c>
      <c r="D782" s="109">
        <v>168.91</v>
      </c>
      <c r="E782" s="109">
        <v>473643</v>
      </c>
      <c r="F782" s="109" t="s">
        <v>1307</v>
      </c>
      <c r="G782" s="5">
        <f t="shared" si="11"/>
        <v>-1.7997750281214753E-2</v>
      </c>
    </row>
    <row r="783" spans="1:7">
      <c r="A783" s="109">
        <v>169.08</v>
      </c>
      <c r="B783" s="109">
        <v>169.18</v>
      </c>
      <c r="C783" s="109">
        <v>161.54</v>
      </c>
      <c r="D783" s="109">
        <v>162.85</v>
      </c>
      <c r="E783" s="109">
        <v>232488</v>
      </c>
      <c r="F783" s="109" t="s">
        <v>1308</v>
      </c>
      <c r="G783" s="5">
        <f t="shared" si="11"/>
        <v>3.8256063862450285E-2</v>
      </c>
    </row>
    <row r="784" spans="1:7">
      <c r="A784" s="109">
        <v>161.22</v>
      </c>
      <c r="B784" s="109">
        <v>162.53</v>
      </c>
      <c r="C784" s="109">
        <v>158.59</v>
      </c>
      <c r="D784" s="109">
        <v>158.59</v>
      </c>
      <c r="E784" s="109">
        <v>238661</v>
      </c>
      <c r="F784" s="109" t="s">
        <v>1309</v>
      </c>
      <c r="G784" s="5">
        <f t="shared" si="11"/>
        <v>1.6583643357084288E-2</v>
      </c>
    </row>
    <row r="785" spans="1:7">
      <c r="A785" s="109">
        <v>157.36000000000001</v>
      </c>
      <c r="B785" s="109">
        <v>157.82</v>
      </c>
      <c r="C785" s="109">
        <v>153.93</v>
      </c>
      <c r="D785" s="109">
        <v>157.79</v>
      </c>
      <c r="E785" s="109">
        <v>192147</v>
      </c>
      <c r="F785" s="109" t="s">
        <v>1310</v>
      </c>
      <c r="G785" s="5">
        <f t="shared" si="11"/>
        <v>-2.7251410102032692E-3</v>
      </c>
    </row>
    <row r="786" spans="1:7">
      <c r="A786" s="109">
        <v>157.33000000000001</v>
      </c>
      <c r="B786" s="109">
        <v>161</v>
      </c>
      <c r="C786" s="109">
        <v>155.99</v>
      </c>
      <c r="D786" s="109">
        <v>159.53</v>
      </c>
      <c r="E786" s="109">
        <v>186791</v>
      </c>
      <c r="F786" s="109" t="s">
        <v>1311</v>
      </c>
      <c r="G786" s="5">
        <f t="shared" si="11"/>
        <v>-1.3790509622014557E-2</v>
      </c>
    </row>
    <row r="787" spans="1:7">
      <c r="A787" s="109">
        <v>162.47</v>
      </c>
      <c r="B787" s="109">
        <v>165.99</v>
      </c>
      <c r="C787" s="109">
        <v>160.61000000000001</v>
      </c>
      <c r="D787" s="109">
        <v>165.95</v>
      </c>
      <c r="E787" s="109">
        <v>240110</v>
      </c>
      <c r="F787" s="109" t="s">
        <v>1312</v>
      </c>
      <c r="G787" s="5">
        <f t="shared" si="11"/>
        <v>-2.0970171738475374E-2</v>
      </c>
    </row>
    <row r="788" spans="1:7">
      <c r="A788" s="109">
        <v>167.19</v>
      </c>
      <c r="B788" s="109">
        <v>168.21</v>
      </c>
      <c r="C788" s="109">
        <v>165</v>
      </c>
      <c r="D788" s="109">
        <v>168.21</v>
      </c>
      <c r="E788" s="109">
        <v>165915</v>
      </c>
      <c r="F788" s="109" t="s">
        <v>1313</v>
      </c>
      <c r="G788" s="5">
        <f t="shared" si="11"/>
        <v>-6.0638487604780522E-3</v>
      </c>
    </row>
    <row r="789" spans="1:7">
      <c r="A789" s="109">
        <v>168.2</v>
      </c>
      <c r="B789" s="109">
        <v>169.6</v>
      </c>
      <c r="C789" s="109">
        <v>165.01</v>
      </c>
      <c r="D789" s="109">
        <v>168.05</v>
      </c>
      <c r="E789" s="109">
        <v>217726</v>
      </c>
      <c r="F789" s="109" t="s">
        <v>1314</v>
      </c>
      <c r="G789" s="5">
        <f t="shared" si="11"/>
        <v>8.9259149062770327E-4</v>
      </c>
    </row>
    <row r="790" spans="1:7">
      <c r="A790" s="109">
        <v>169.72</v>
      </c>
      <c r="B790" s="109">
        <v>172.73</v>
      </c>
      <c r="C790" s="109">
        <v>167.73</v>
      </c>
      <c r="D790" s="109">
        <v>172.55</v>
      </c>
      <c r="E790" s="109">
        <v>251434</v>
      </c>
      <c r="F790" s="109" t="s">
        <v>1315</v>
      </c>
      <c r="G790" s="5">
        <f t="shared" si="11"/>
        <v>-1.6401043175891084E-2</v>
      </c>
    </row>
    <row r="791" spans="1:7">
      <c r="A791" s="109">
        <v>174.69</v>
      </c>
      <c r="B791" s="109">
        <v>175.21</v>
      </c>
      <c r="C791" s="109">
        <v>170.51</v>
      </c>
      <c r="D791" s="109">
        <v>171.29</v>
      </c>
      <c r="E791" s="109">
        <v>173698</v>
      </c>
      <c r="F791" s="109" t="s">
        <v>1316</v>
      </c>
      <c r="G791" s="5">
        <f t="shared" si="11"/>
        <v>1.9849378247416727E-2</v>
      </c>
    </row>
    <row r="792" spans="1:7">
      <c r="A792" s="109">
        <v>172.02</v>
      </c>
      <c r="B792" s="109">
        <v>173.42</v>
      </c>
      <c r="C792" s="109">
        <v>169.35</v>
      </c>
      <c r="D792" s="109">
        <v>171.42</v>
      </c>
      <c r="E792" s="109">
        <v>193865</v>
      </c>
      <c r="F792" s="109" t="s">
        <v>1317</v>
      </c>
      <c r="G792" s="5">
        <f t="shared" si="11"/>
        <v>3.5001750087506611E-3</v>
      </c>
    </row>
    <row r="793" spans="1:7">
      <c r="A793" s="109">
        <v>169.85</v>
      </c>
      <c r="B793" s="109">
        <v>176.8</v>
      </c>
      <c r="C793" s="109">
        <v>168.7</v>
      </c>
      <c r="D793" s="109">
        <v>174</v>
      </c>
      <c r="E793" s="109">
        <v>307557</v>
      </c>
      <c r="F793" s="109" t="s">
        <v>1318</v>
      </c>
      <c r="G793" s="5">
        <f t="shared" si="11"/>
        <v>-2.3850574712643735E-2</v>
      </c>
    </row>
    <row r="794" spans="1:7">
      <c r="A794" s="109">
        <v>173.06</v>
      </c>
      <c r="B794" s="109">
        <v>173.52</v>
      </c>
      <c r="C794" s="109">
        <v>161.09</v>
      </c>
      <c r="D794" s="109">
        <v>162.13999999999999</v>
      </c>
      <c r="E794" s="109">
        <v>395060</v>
      </c>
      <c r="F794" s="109" t="s">
        <v>1319</v>
      </c>
      <c r="G794" s="5">
        <f t="shared" si="11"/>
        <v>6.7349204391266904E-2</v>
      </c>
    </row>
    <row r="795" spans="1:7">
      <c r="A795" s="109">
        <v>159.47</v>
      </c>
      <c r="B795" s="109">
        <v>166.13</v>
      </c>
      <c r="C795" s="109">
        <v>159.34</v>
      </c>
      <c r="D795" s="109">
        <v>166.13</v>
      </c>
      <c r="E795" s="109">
        <v>583035</v>
      </c>
      <c r="F795" s="109" t="s">
        <v>1320</v>
      </c>
      <c r="G795" s="5">
        <f t="shared" si="11"/>
        <v>-4.008908685968815E-2</v>
      </c>
    </row>
    <row r="796" spans="1:7">
      <c r="A796" s="109">
        <v>169.1</v>
      </c>
      <c r="B796" s="109">
        <v>173.23</v>
      </c>
      <c r="C796" s="109">
        <v>164.77</v>
      </c>
      <c r="D796" s="109">
        <v>165.42</v>
      </c>
      <c r="E796" s="109">
        <v>627791</v>
      </c>
      <c r="F796" s="109" t="s">
        <v>1321</v>
      </c>
      <c r="G796" s="5">
        <f t="shared" si="11"/>
        <v>2.224640309515169E-2</v>
      </c>
    </row>
    <row r="797" spans="1:7">
      <c r="A797" s="109">
        <v>166.83</v>
      </c>
      <c r="B797" s="109">
        <v>167.36</v>
      </c>
      <c r="C797" s="109">
        <v>139.03</v>
      </c>
      <c r="D797" s="109">
        <v>140.96</v>
      </c>
      <c r="E797" s="109">
        <v>1336347</v>
      </c>
      <c r="F797" s="109" t="s">
        <v>1322</v>
      </c>
      <c r="G797" s="5">
        <f t="shared" si="11"/>
        <v>0.18352724177071522</v>
      </c>
    </row>
    <row r="798" spans="1:7">
      <c r="A798" s="109">
        <v>143.13999999999999</v>
      </c>
      <c r="B798" s="109">
        <v>146.85</v>
      </c>
      <c r="C798" s="109">
        <v>142.595</v>
      </c>
      <c r="D798" s="109">
        <v>146.35</v>
      </c>
      <c r="E798" s="109">
        <v>462001</v>
      </c>
      <c r="F798" s="109" t="s">
        <v>1323</v>
      </c>
      <c r="G798" s="5">
        <f t="shared" si="11"/>
        <v>-2.1933720532968937E-2</v>
      </c>
    </row>
    <row r="799" spans="1:7">
      <c r="A799" s="109">
        <v>146.69</v>
      </c>
      <c r="B799" s="109">
        <v>148.78</v>
      </c>
      <c r="C799" s="109">
        <v>145.63999999999999</v>
      </c>
      <c r="D799" s="109">
        <v>147.91999999999999</v>
      </c>
      <c r="E799" s="109">
        <v>342118</v>
      </c>
      <c r="F799" s="109" t="s">
        <v>1324</v>
      </c>
      <c r="G799" s="5">
        <f t="shared" si="11"/>
        <v>-8.3153055705785794E-3</v>
      </c>
    </row>
    <row r="800" spans="1:7">
      <c r="A800" s="109">
        <v>146.46</v>
      </c>
      <c r="B800" s="109">
        <v>147.6</v>
      </c>
      <c r="C800" s="109">
        <v>140.58000000000001</v>
      </c>
      <c r="D800" s="109">
        <v>140.58000000000001</v>
      </c>
      <c r="E800" s="109">
        <v>478485</v>
      </c>
      <c r="F800" s="109" t="s">
        <v>1325</v>
      </c>
      <c r="G800" s="5">
        <f t="shared" si="11"/>
        <v>4.1826717883055808E-2</v>
      </c>
    </row>
    <row r="801" spans="1:7">
      <c r="A801" s="109">
        <v>141.09</v>
      </c>
      <c r="B801" s="109">
        <v>142.095</v>
      </c>
      <c r="C801" s="109">
        <v>136.1</v>
      </c>
      <c r="D801" s="109">
        <v>137.12</v>
      </c>
      <c r="E801" s="109">
        <v>309709</v>
      </c>
      <c r="F801" s="109" t="s">
        <v>1326</v>
      </c>
      <c r="G801" s="5">
        <f t="shared" si="11"/>
        <v>2.8952742123687258E-2</v>
      </c>
    </row>
    <row r="802" spans="1:7">
      <c r="A802" s="109">
        <v>139.38</v>
      </c>
      <c r="B802" s="109">
        <v>141.6</v>
      </c>
      <c r="C802" s="109">
        <v>139.1</v>
      </c>
      <c r="D802" s="109">
        <v>140.91</v>
      </c>
      <c r="E802" s="109">
        <v>289589</v>
      </c>
      <c r="F802" s="109" t="s">
        <v>1327</v>
      </c>
      <c r="G802" s="5">
        <f t="shared" si="11"/>
        <v>-1.0857994464551823E-2</v>
      </c>
    </row>
    <row r="803" spans="1:7">
      <c r="A803" s="109">
        <v>141.1</v>
      </c>
      <c r="B803" s="109">
        <v>141.65</v>
      </c>
      <c r="C803" s="109">
        <v>134.63</v>
      </c>
      <c r="D803" s="109">
        <v>138.02000000000001</v>
      </c>
      <c r="E803" s="109">
        <v>250509</v>
      </c>
      <c r="F803" s="109" t="s">
        <v>1328</v>
      </c>
      <c r="G803" s="5">
        <f t="shared" si="11"/>
        <v>2.231560643385011E-2</v>
      </c>
    </row>
    <row r="804" spans="1:7">
      <c r="A804" s="109">
        <v>136.52000000000001</v>
      </c>
      <c r="B804" s="109">
        <v>136.71</v>
      </c>
      <c r="C804" s="109">
        <v>131.36000000000001</v>
      </c>
      <c r="D804" s="109">
        <v>133.26</v>
      </c>
      <c r="E804" s="109">
        <v>284569</v>
      </c>
      <c r="F804" s="109" t="s">
        <v>1329</v>
      </c>
      <c r="G804" s="5">
        <f t="shared" si="11"/>
        <v>2.4463454900195192E-2</v>
      </c>
    </row>
    <row r="805" spans="1:7">
      <c r="A805" s="109">
        <v>131.6</v>
      </c>
      <c r="B805" s="109">
        <v>132.04</v>
      </c>
      <c r="C805" s="109">
        <v>127.8002</v>
      </c>
      <c r="D805" s="109">
        <v>129.29</v>
      </c>
      <c r="E805" s="109">
        <v>329114</v>
      </c>
      <c r="F805" s="109" t="s">
        <v>1330</v>
      </c>
      <c r="G805" s="5">
        <f t="shared" si="11"/>
        <v>1.7866811044937814E-2</v>
      </c>
    </row>
    <row r="806" spans="1:7">
      <c r="A806" s="109">
        <v>129.38</v>
      </c>
      <c r="B806" s="109">
        <v>132.57</v>
      </c>
      <c r="C806" s="109">
        <v>128.62</v>
      </c>
      <c r="D806" s="109">
        <v>132.57</v>
      </c>
      <c r="E806" s="109">
        <v>373045</v>
      </c>
      <c r="F806" s="109" t="s">
        <v>1331</v>
      </c>
      <c r="G806" s="5">
        <f t="shared" si="11"/>
        <v>-2.4062759296975211E-2</v>
      </c>
    </row>
    <row r="807" spans="1:7">
      <c r="A807" s="109">
        <v>131.34</v>
      </c>
      <c r="B807" s="109">
        <v>133.06</v>
      </c>
      <c r="C807" s="109">
        <v>127.44</v>
      </c>
      <c r="D807" s="109">
        <v>129.35</v>
      </c>
      <c r="E807" s="109">
        <v>344990</v>
      </c>
      <c r="F807" s="109" t="s">
        <v>1332</v>
      </c>
      <c r="G807" s="5">
        <f t="shared" si="11"/>
        <v>1.5384615384615552E-2</v>
      </c>
    </row>
    <row r="808" spans="1:7">
      <c r="A808" s="109">
        <v>129.5</v>
      </c>
      <c r="B808" s="109">
        <v>131.304</v>
      </c>
      <c r="C808" s="109">
        <v>125.181</v>
      </c>
      <c r="D808" s="109">
        <v>125.92</v>
      </c>
      <c r="E808" s="109">
        <v>1231522</v>
      </c>
      <c r="F808" s="109" t="s">
        <v>1333</v>
      </c>
      <c r="G808" s="5">
        <f t="shared" si="11"/>
        <v>2.8430749682337941E-2</v>
      </c>
    </row>
    <row r="809" spans="1:7">
      <c r="A809" s="109">
        <v>124.98</v>
      </c>
      <c r="B809" s="109">
        <v>127.56</v>
      </c>
      <c r="C809" s="109">
        <v>123.25</v>
      </c>
      <c r="D809" s="109">
        <v>124.83</v>
      </c>
      <c r="E809" s="109">
        <v>984668</v>
      </c>
      <c r="F809" s="109" t="s">
        <v>1334</v>
      </c>
      <c r="G809" s="5">
        <f t="shared" si="11"/>
        <v>1.2016342225427135E-3</v>
      </c>
    </row>
    <row r="810" spans="1:7">
      <c r="A810" s="109">
        <v>124.71</v>
      </c>
      <c r="B810" s="109">
        <v>125.85</v>
      </c>
      <c r="C810" s="109">
        <v>122.35</v>
      </c>
      <c r="D810" s="109">
        <v>123.51</v>
      </c>
      <c r="E810" s="109">
        <v>663623</v>
      </c>
      <c r="F810" s="109" t="s">
        <v>1335</v>
      </c>
      <c r="G810" s="5">
        <f t="shared" si="11"/>
        <v>9.7158124848188976E-3</v>
      </c>
    </row>
    <row r="811" spans="1:7">
      <c r="A811" s="109">
        <v>121.05</v>
      </c>
      <c r="B811" s="109">
        <v>126.68</v>
      </c>
      <c r="C811" s="109">
        <v>120.25</v>
      </c>
      <c r="D811" s="109">
        <v>126.25</v>
      </c>
      <c r="E811" s="109">
        <v>322935</v>
      </c>
      <c r="F811" s="109" t="s">
        <v>1336</v>
      </c>
      <c r="G811" s="5">
        <f t="shared" si="11"/>
        <v>-4.1188118811881225E-2</v>
      </c>
    </row>
    <row r="812" spans="1:7">
      <c r="A812" s="109">
        <v>122.5</v>
      </c>
      <c r="B812" s="109">
        <v>124.16</v>
      </c>
      <c r="C812" s="109">
        <v>120.1</v>
      </c>
      <c r="D812" s="109">
        <v>122.65</v>
      </c>
      <c r="E812" s="109">
        <v>710220</v>
      </c>
      <c r="F812" s="109" t="s">
        <v>1337</v>
      </c>
      <c r="G812" s="5">
        <f t="shared" si="11"/>
        <v>-1.2229922543823823E-3</v>
      </c>
    </row>
    <row r="813" spans="1:7">
      <c r="A813" s="109">
        <v>120.36</v>
      </c>
      <c r="B813" s="109">
        <v>121.095</v>
      </c>
      <c r="C813" s="109">
        <v>118.65</v>
      </c>
      <c r="D813" s="109">
        <v>120.29</v>
      </c>
      <c r="E813" s="109">
        <v>358734</v>
      </c>
      <c r="F813" s="109" t="s">
        <v>1338</v>
      </c>
      <c r="G813" s="5">
        <f t="shared" si="11"/>
        <v>5.8192700972647948E-4</v>
      </c>
    </row>
    <row r="814" spans="1:7">
      <c r="A814" s="109">
        <v>122.63</v>
      </c>
      <c r="B814" s="109">
        <v>124.95</v>
      </c>
      <c r="C814" s="109">
        <v>121.96</v>
      </c>
      <c r="D814" s="109">
        <v>124.07</v>
      </c>
      <c r="E814" s="109">
        <v>540872</v>
      </c>
      <c r="F814" s="109" t="s">
        <v>1339</v>
      </c>
      <c r="G814" s="5">
        <f t="shared" si="11"/>
        <v>-1.1606351253324765E-2</v>
      </c>
    </row>
    <row r="815" spans="1:7">
      <c r="A815" s="109">
        <v>126.38</v>
      </c>
      <c r="B815" s="109">
        <v>131.83000000000001</v>
      </c>
      <c r="C815" s="109">
        <v>125.09</v>
      </c>
      <c r="D815" s="109">
        <v>130.71</v>
      </c>
      <c r="E815" s="109">
        <v>242162</v>
      </c>
      <c r="F815" s="109" t="s">
        <v>1340</v>
      </c>
      <c r="G815" s="5">
        <f t="shared" si="11"/>
        <v>-3.3126769183689175E-2</v>
      </c>
    </row>
    <row r="816" spans="1:7">
      <c r="A816" s="109">
        <v>130.44999999999999</v>
      </c>
      <c r="B816" s="109">
        <v>134.57</v>
      </c>
      <c r="C816" s="109">
        <v>129.81</v>
      </c>
      <c r="D816" s="109">
        <v>132.99</v>
      </c>
      <c r="E816" s="109">
        <v>215109</v>
      </c>
      <c r="F816" s="109" t="s">
        <v>1341</v>
      </c>
      <c r="G816" s="5">
        <f t="shared" si="11"/>
        <v>-1.909918038950309E-2</v>
      </c>
    </row>
    <row r="817" spans="1:7">
      <c r="A817" s="109">
        <v>134.9</v>
      </c>
      <c r="B817" s="109">
        <v>138.095</v>
      </c>
      <c r="C817" s="109">
        <v>130.8032</v>
      </c>
      <c r="D817" s="109">
        <v>132.41999999999999</v>
      </c>
      <c r="E817" s="109">
        <v>191992</v>
      </c>
      <c r="F817" s="109" t="s">
        <v>1342</v>
      </c>
      <c r="G817" s="5">
        <f t="shared" si="11"/>
        <v>1.8728288778130375E-2</v>
      </c>
    </row>
    <row r="818" spans="1:7">
      <c r="A818" s="109">
        <v>133.68</v>
      </c>
      <c r="B818" s="109">
        <v>133.78</v>
      </c>
      <c r="C818" s="109">
        <v>124.22</v>
      </c>
      <c r="D818" s="109">
        <v>124.53</v>
      </c>
      <c r="E818" s="109">
        <v>303103</v>
      </c>
      <c r="F818" s="109" t="s">
        <v>1343</v>
      </c>
      <c r="G818" s="5">
        <f t="shared" ref="G818:G881" si="12">A818/D818-1</f>
        <v>7.3476270778125796E-2</v>
      </c>
    </row>
    <row r="819" spans="1:7">
      <c r="A819" s="109">
        <v>125.32</v>
      </c>
      <c r="B819" s="109">
        <v>127.74</v>
      </c>
      <c r="C819" s="109">
        <v>124.63</v>
      </c>
      <c r="D819" s="109">
        <v>126.63</v>
      </c>
      <c r="E819" s="109">
        <v>189223</v>
      </c>
      <c r="F819" s="109" t="s">
        <v>1344</v>
      </c>
      <c r="G819" s="5">
        <f t="shared" si="12"/>
        <v>-1.0345099897338672E-2</v>
      </c>
    </row>
    <row r="820" spans="1:7">
      <c r="A820" s="109">
        <v>126.51</v>
      </c>
      <c r="B820" s="109">
        <v>127.04</v>
      </c>
      <c r="C820" s="109">
        <v>121.18</v>
      </c>
      <c r="D820" s="109">
        <v>123.64</v>
      </c>
      <c r="E820" s="109">
        <v>304493</v>
      </c>
      <c r="F820" s="109" t="s">
        <v>1345</v>
      </c>
      <c r="G820" s="5">
        <f t="shared" si="12"/>
        <v>2.3212552571983291E-2</v>
      </c>
    </row>
    <row r="821" spans="1:7">
      <c r="A821" s="109">
        <v>125.7</v>
      </c>
      <c r="B821" s="109">
        <v>126.36</v>
      </c>
      <c r="C821" s="109">
        <v>121.85</v>
      </c>
      <c r="D821" s="109">
        <v>124.39</v>
      </c>
      <c r="E821" s="109">
        <v>298811</v>
      </c>
      <c r="F821" s="109" t="s">
        <v>1346</v>
      </c>
      <c r="G821" s="5">
        <f t="shared" si="12"/>
        <v>1.0531393198810246E-2</v>
      </c>
    </row>
    <row r="822" spans="1:7">
      <c r="A822" s="109">
        <v>124.52</v>
      </c>
      <c r="B822" s="109">
        <v>128</v>
      </c>
      <c r="C822" s="109">
        <v>122.79</v>
      </c>
      <c r="D822" s="109">
        <v>127.94</v>
      </c>
      <c r="E822" s="109">
        <v>325017</v>
      </c>
      <c r="F822" s="109" t="s">
        <v>1347</v>
      </c>
      <c r="G822" s="5">
        <f t="shared" si="12"/>
        <v>-2.6731280287634829E-2</v>
      </c>
    </row>
    <row r="823" spans="1:7">
      <c r="A823" s="109">
        <v>130.25</v>
      </c>
      <c r="B823" s="109">
        <v>130.43</v>
      </c>
      <c r="C823" s="109">
        <v>125</v>
      </c>
      <c r="D823" s="109">
        <v>127.78</v>
      </c>
      <c r="E823" s="109">
        <v>155888</v>
      </c>
      <c r="F823" s="109" t="s">
        <v>1348</v>
      </c>
      <c r="G823" s="5">
        <f t="shared" si="12"/>
        <v>1.933009860698065E-2</v>
      </c>
    </row>
    <row r="824" spans="1:7">
      <c r="A824" s="109">
        <v>128.55000000000001</v>
      </c>
      <c r="B824" s="109">
        <v>133.99</v>
      </c>
      <c r="C824" s="109">
        <v>128.32</v>
      </c>
      <c r="D824" s="109">
        <v>132.51</v>
      </c>
      <c r="E824" s="109">
        <v>659323</v>
      </c>
      <c r="F824" s="109" t="s">
        <v>1349</v>
      </c>
      <c r="G824" s="5">
        <f t="shared" si="12"/>
        <v>-2.9884537016074075E-2</v>
      </c>
    </row>
    <row r="825" spans="1:7">
      <c r="A825" s="109">
        <v>132.56</v>
      </c>
      <c r="B825" s="109">
        <v>132.94</v>
      </c>
      <c r="C825" s="109">
        <v>129.41999999999999</v>
      </c>
      <c r="D825" s="109">
        <v>132.13999999999999</v>
      </c>
      <c r="E825" s="109">
        <v>211140</v>
      </c>
      <c r="F825" s="109" t="s">
        <v>1350</v>
      </c>
      <c r="G825" s="5">
        <f t="shared" si="12"/>
        <v>3.1784471015590121E-3</v>
      </c>
    </row>
    <row r="826" spans="1:7">
      <c r="A826" s="109">
        <v>131.75</v>
      </c>
      <c r="B826" s="109">
        <v>132.38</v>
      </c>
      <c r="C826" s="109">
        <v>128.03</v>
      </c>
      <c r="D826" s="109">
        <v>129.16999999999999</v>
      </c>
      <c r="E826" s="109">
        <v>335024</v>
      </c>
      <c r="F826" s="109" t="s">
        <v>1351</v>
      </c>
      <c r="G826" s="5">
        <f t="shared" si="12"/>
        <v>1.997367809862971E-2</v>
      </c>
    </row>
    <row r="827" spans="1:7">
      <c r="A827" s="109">
        <v>127.58</v>
      </c>
      <c r="B827" s="109">
        <v>127.97</v>
      </c>
      <c r="C827" s="109">
        <v>122.94</v>
      </c>
      <c r="D827" s="109">
        <v>123.24</v>
      </c>
      <c r="E827" s="109">
        <v>258056</v>
      </c>
      <c r="F827" s="109" t="s">
        <v>1352</v>
      </c>
      <c r="G827" s="5">
        <f t="shared" si="12"/>
        <v>3.5215839013307493E-2</v>
      </c>
    </row>
    <row r="828" spans="1:7">
      <c r="A828" s="109">
        <v>122.5</v>
      </c>
      <c r="B828" s="109">
        <v>125.465</v>
      </c>
      <c r="C828" s="109">
        <v>121.27</v>
      </c>
      <c r="D828" s="109">
        <v>121.83</v>
      </c>
      <c r="E828" s="109">
        <v>386201</v>
      </c>
      <c r="F828" s="109" t="s">
        <v>1353</v>
      </c>
      <c r="G828" s="5">
        <f t="shared" si="12"/>
        <v>5.4994664696708107E-3</v>
      </c>
    </row>
    <row r="829" spans="1:7">
      <c r="A829" s="109">
        <v>122.11</v>
      </c>
      <c r="B829" s="109">
        <v>124.1</v>
      </c>
      <c r="C829" s="109">
        <v>121.75</v>
      </c>
      <c r="D829" s="109">
        <v>122.52</v>
      </c>
      <c r="E829" s="109">
        <v>348531</v>
      </c>
      <c r="F829" s="109" t="s">
        <v>1354</v>
      </c>
      <c r="G829" s="5">
        <f t="shared" si="12"/>
        <v>-3.3463924257264299E-3</v>
      </c>
    </row>
    <row r="830" spans="1:7">
      <c r="A830" s="109">
        <v>120.14</v>
      </c>
      <c r="B830" s="109">
        <v>122.45</v>
      </c>
      <c r="C830" s="109">
        <v>117</v>
      </c>
      <c r="D830" s="109">
        <v>117.23</v>
      </c>
      <c r="E830" s="109">
        <v>604684</v>
      </c>
      <c r="F830" s="109" t="s">
        <v>1355</v>
      </c>
      <c r="G830" s="5">
        <f t="shared" si="12"/>
        <v>2.4822997526230406E-2</v>
      </c>
    </row>
    <row r="831" spans="1:7">
      <c r="A831" s="109">
        <v>116.09</v>
      </c>
      <c r="B831" s="109">
        <v>119.51</v>
      </c>
      <c r="C831" s="109">
        <v>114.86499999999999</v>
      </c>
      <c r="D831" s="109">
        <v>118.92</v>
      </c>
      <c r="E831" s="109">
        <v>403875</v>
      </c>
      <c r="F831" s="109" t="s">
        <v>1356</v>
      </c>
      <c r="G831" s="5">
        <f t="shared" si="12"/>
        <v>-2.3797510931718779E-2</v>
      </c>
    </row>
    <row r="832" spans="1:7">
      <c r="A832" s="109">
        <v>122.11</v>
      </c>
      <c r="B832" s="109">
        <v>124.21</v>
      </c>
      <c r="C832" s="109">
        <v>119.14</v>
      </c>
      <c r="D832" s="109">
        <v>120.12</v>
      </c>
      <c r="E832" s="109">
        <v>389292</v>
      </c>
      <c r="F832" s="109" t="s">
        <v>1357</v>
      </c>
      <c r="G832" s="5">
        <f t="shared" si="12"/>
        <v>1.6566766566766589E-2</v>
      </c>
    </row>
    <row r="833" spans="1:7">
      <c r="A833" s="109">
        <v>118.97</v>
      </c>
      <c r="B833" s="109">
        <v>125.09</v>
      </c>
      <c r="C833" s="109">
        <v>118.83</v>
      </c>
      <c r="D833" s="109">
        <v>125.09</v>
      </c>
      <c r="E833" s="109">
        <v>431644</v>
      </c>
      <c r="F833" s="109" t="s">
        <v>1358</v>
      </c>
      <c r="G833" s="5">
        <f t="shared" si="12"/>
        <v>-4.8924774162602991E-2</v>
      </c>
    </row>
    <row r="834" spans="1:7">
      <c r="A834" s="109">
        <v>125.43</v>
      </c>
      <c r="B834" s="109">
        <v>128.28</v>
      </c>
      <c r="C834" s="109">
        <v>124.31</v>
      </c>
      <c r="D834" s="109">
        <v>126.38</v>
      </c>
      <c r="E834" s="109">
        <v>359253</v>
      </c>
      <c r="F834" s="109" t="s">
        <v>1359</v>
      </c>
      <c r="G834" s="5">
        <f t="shared" si="12"/>
        <v>-7.5170121854722938E-3</v>
      </c>
    </row>
    <row r="835" spans="1:7">
      <c r="A835" s="109">
        <v>131.56</v>
      </c>
      <c r="B835" s="109">
        <v>133.29</v>
      </c>
      <c r="C835" s="109">
        <v>129.6</v>
      </c>
      <c r="D835" s="109">
        <v>131.05000000000001</v>
      </c>
      <c r="E835" s="109">
        <v>336890</v>
      </c>
      <c r="F835" s="109" t="s">
        <v>1360</v>
      </c>
      <c r="G835" s="5">
        <f t="shared" si="12"/>
        <v>3.8916444105303594E-3</v>
      </c>
    </row>
    <row r="836" spans="1:7">
      <c r="A836" s="109">
        <v>133.74</v>
      </c>
      <c r="B836" s="109">
        <v>139.76499999999999</v>
      </c>
      <c r="C836" s="109">
        <v>133.71</v>
      </c>
      <c r="D836" s="109">
        <v>139.03</v>
      </c>
      <c r="E836" s="109">
        <v>186487</v>
      </c>
      <c r="F836" s="109" t="s">
        <v>1361</v>
      </c>
      <c r="G836" s="5">
        <f t="shared" si="12"/>
        <v>-3.8049341868661379E-2</v>
      </c>
    </row>
    <row r="837" spans="1:7">
      <c r="A837" s="109">
        <v>140.52000000000001</v>
      </c>
      <c r="B837" s="109">
        <v>144</v>
      </c>
      <c r="C837" s="109">
        <v>140.38</v>
      </c>
      <c r="D837" s="109">
        <v>141.85</v>
      </c>
      <c r="E837" s="109">
        <v>297492</v>
      </c>
      <c r="F837" s="109" t="s">
        <v>1362</v>
      </c>
      <c r="G837" s="5">
        <f t="shared" si="12"/>
        <v>-9.3761015156854643E-3</v>
      </c>
    </row>
    <row r="838" spans="1:7">
      <c r="A838" s="109">
        <v>141.85</v>
      </c>
      <c r="B838" s="109">
        <v>143.02000000000001</v>
      </c>
      <c r="C838" s="109">
        <v>138.80000000000001</v>
      </c>
      <c r="D838" s="109">
        <v>138.80000000000001</v>
      </c>
      <c r="E838" s="109">
        <v>548309</v>
      </c>
      <c r="F838" s="109" t="s">
        <v>1363</v>
      </c>
      <c r="G838" s="5">
        <f t="shared" si="12"/>
        <v>2.1974063400576282E-2</v>
      </c>
    </row>
    <row r="839" spans="1:7">
      <c r="A839" s="109">
        <v>139.93</v>
      </c>
      <c r="B839" s="109">
        <v>143.29</v>
      </c>
      <c r="C839" s="109">
        <v>138.59</v>
      </c>
      <c r="D839" s="109">
        <v>143.29</v>
      </c>
      <c r="E839" s="109">
        <v>279989</v>
      </c>
      <c r="F839" s="109" t="s">
        <v>1364</v>
      </c>
      <c r="G839" s="5">
        <f t="shared" si="12"/>
        <v>-2.3448949682462028E-2</v>
      </c>
    </row>
    <row r="840" spans="1:7">
      <c r="A840" s="109">
        <v>140.99</v>
      </c>
      <c r="B840" s="109">
        <v>144.77000000000001</v>
      </c>
      <c r="C840" s="109">
        <v>139.72</v>
      </c>
      <c r="D840" s="109">
        <v>144.19</v>
      </c>
      <c r="E840" s="109">
        <v>196669</v>
      </c>
      <c r="F840" s="109" t="s">
        <v>1365</v>
      </c>
      <c r="G840" s="5">
        <f t="shared" si="12"/>
        <v>-2.2192939871003459E-2</v>
      </c>
    </row>
    <row r="841" spans="1:7">
      <c r="A841" s="109">
        <v>146</v>
      </c>
      <c r="B841" s="109">
        <v>146.84</v>
      </c>
      <c r="C841" s="109">
        <v>139.11000000000001</v>
      </c>
      <c r="D841" s="109">
        <v>141.68</v>
      </c>
      <c r="E841" s="109">
        <v>551945</v>
      </c>
      <c r="F841" s="109" t="s">
        <v>1366</v>
      </c>
      <c r="G841" s="5">
        <f t="shared" si="12"/>
        <v>3.0491247882552086E-2</v>
      </c>
    </row>
    <row r="842" spans="1:7">
      <c r="A842" s="109">
        <v>141.27000000000001</v>
      </c>
      <c r="B842" s="109">
        <v>148.94999999999999</v>
      </c>
      <c r="C842" s="109">
        <v>136.33000000000001</v>
      </c>
      <c r="D842" s="109">
        <v>147.81</v>
      </c>
      <c r="E842" s="109">
        <v>584103</v>
      </c>
      <c r="F842" s="109" t="s">
        <v>1367</v>
      </c>
      <c r="G842" s="5">
        <f t="shared" si="12"/>
        <v>-4.4245991475542867E-2</v>
      </c>
    </row>
    <row r="843" spans="1:7">
      <c r="A843" s="109">
        <v>146.91999999999999</v>
      </c>
      <c r="B843" s="109">
        <v>149.99</v>
      </c>
      <c r="C843" s="109">
        <v>145.81</v>
      </c>
      <c r="D843" s="109">
        <v>148.01</v>
      </c>
      <c r="E843" s="109">
        <v>454011</v>
      </c>
      <c r="F843" s="109" t="s">
        <v>1368</v>
      </c>
      <c r="G843" s="5">
        <f t="shared" si="12"/>
        <v>-7.3643672724815756E-3</v>
      </c>
    </row>
    <row r="844" spans="1:7">
      <c r="A844" s="109">
        <v>149.38</v>
      </c>
      <c r="B844" s="109">
        <v>149.43</v>
      </c>
      <c r="C844" s="109">
        <v>142.26</v>
      </c>
      <c r="D844" s="109">
        <v>143.54</v>
      </c>
      <c r="E844" s="109">
        <v>223343</v>
      </c>
      <c r="F844" s="109" t="s">
        <v>1369</v>
      </c>
      <c r="G844" s="5">
        <f t="shared" si="12"/>
        <v>4.0685523199108342E-2</v>
      </c>
    </row>
    <row r="845" spans="1:7">
      <c r="A845" s="109">
        <v>141.91999999999999</v>
      </c>
      <c r="B845" s="109">
        <v>145.13999999999999</v>
      </c>
      <c r="C845" s="109">
        <v>141.80000000000001</v>
      </c>
      <c r="D845" s="109">
        <v>144.02000000000001</v>
      </c>
      <c r="E845" s="109">
        <v>127156</v>
      </c>
      <c r="F845" s="109" t="s">
        <v>1370</v>
      </c>
      <c r="G845" s="5">
        <f t="shared" si="12"/>
        <v>-1.4581308151645711E-2</v>
      </c>
    </row>
    <row r="846" spans="1:7">
      <c r="A846" s="109">
        <v>143.16999999999999</v>
      </c>
      <c r="B846" s="109">
        <v>144</v>
      </c>
      <c r="C846" s="109">
        <v>140.12</v>
      </c>
      <c r="D846" s="109">
        <v>140.12</v>
      </c>
      <c r="E846" s="109">
        <v>230689</v>
      </c>
      <c r="F846" s="109" t="s">
        <v>1371</v>
      </c>
      <c r="G846" s="5">
        <f t="shared" si="12"/>
        <v>2.1767056808449814E-2</v>
      </c>
    </row>
    <row r="847" spans="1:7">
      <c r="A847" s="109">
        <v>140.05000000000001</v>
      </c>
      <c r="B847" s="109">
        <v>140.66</v>
      </c>
      <c r="C847" s="109">
        <v>134.6</v>
      </c>
      <c r="D847" s="109">
        <v>139.32</v>
      </c>
      <c r="E847" s="109">
        <v>236286</v>
      </c>
      <c r="F847" s="109" t="s">
        <v>1372</v>
      </c>
      <c r="G847" s="5">
        <f t="shared" si="12"/>
        <v>5.2397358598910149E-3</v>
      </c>
    </row>
    <row r="848" spans="1:7">
      <c r="A848" s="109">
        <v>142.49</v>
      </c>
      <c r="B848" s="109">
        <v>143.58000000000001</v>
      </c>
      <c r="C848" s="109">
        <v>139.25</v>
      </c>
      <c r="D848" s="109">
        <v>143.05000000000001</v>
      </c>
      <c r="E848" s="109">
        <v>267966</v>
      </c>
      <c r="F848" s="109" t="s">
        <v>1373</v>
      </c>
      <c r="G848" s="5">
        <f t="shared" si="12"/>
        <v>-3.914715134568314E-3</v>
      </c>
    </row>
    <row r="849" spans="1:7">
      <c r="A849" s="109">
        <v>141.97</v>
      </c>
      <c r="B849" s="109">
        <v>143.81</v>
      </c>
      <c r="C849" s="109">
        <v>136.59</v>
      </c>
      <c r="D849" s="109">
        <v>143.81</v>
      </c>
      <c r="E849" s="109">
        <v>306089</v>
      </c>
      <c r="F849" s="109" t="s">
        <v>1374</v>
      </c>
      <c r="G849" s="5">
        <f t="shared" si="12"/>
        <v>-1.2794659620332438E-2</v>
      </c>
    </row>
    <row r="850" spans="1:7">
      <c r="A850" s="109">
        <v>142.35</v>
      </c>
      <c r="B850" s="109">
        <v>148.28</v>
      </c>
      <c r="C850" s="109">
        <v>142.03</v>
      </c>
      <c r="D850" s="109">
        <v>143.51</v>
      </c>
      <c r="E850" s="109">
        <v>353428</v>
      </c>
      <c r="F850" s="109" t="s">
        <v>1375</v>
      </c>
      <c r="G850" s="5">
        <f t="shared" si="12"/>
        <v>-8.0830604139083828E-3</v>
      </c>
    </row>
    <row r="851" spans="1:7">
      <c r="A851" s="109">
        <v>144.51</v>
      </c>
      <c r="B851" s="109">
        <v>150</v>
      </c>
      <c r="C851" s="109">
        <v>143.27010000000001</v>
      </c>
      <c r="D851" s="109">
        <v>147.91999999999999</v>
      </c>
      <c r="E851" s="109">
        <v>400032</v>
      </c>
      <c r="F851" s="109" t="s">
        <v>1376</v>
      </c>
      <c r="G851" s="5">
        <f t="shared" si="12"/>
        <v>-2.3053001622498681E-2</v>
      </c>
    </row>
    <row r="852" spans="1:7">
      <c r="A852" s="109">
        <v>150.82</v>
      </c>
      <c r="B852" s="109">
        <v>150.99</v>
      </c>
      <c r="C852" s="109">
        <v>142.41</v>
      </c>
      <c r="D852" s="109">
        <v>144.05000000000001</v>
      </c>
      <c r="E852" s="109">
        <v>448099</v>
      </c>
      <c r="F852" s="109" t="s">
        <v>1377</v>
      </c>
      <c r="G852" s="5">
        <f t="shared" si="12"/>
        <v>4.6997570288094259E-2</v>
      </c>
    </row>
    <row r="853" spans="1:7">
      <c r="A853" s="109">
        <v>140.38</v>
      </c>
      <c r="B853" s="109">
        <v>146</v>
      </c>
      <c r="C853" s="109">
        <v>140.005</v>
      </c>
      <c r="D853" s="109">
        <v>141.91999999999999</v>
      </c>
      <c r="E853" s="109">
        <v>235583</v>
      </c>
      <c r="F853" s="109" t="s">
        <v>1378</v>
      </c>
      <c r="G853" s="5">
        <f t="shared" si="12"/>
        <v>-1.0851183765501649E-2</v>
      </c>
    </row>
    <row r="854" spans="1:7">
      <c r="A854" s="109">
        <v>143.25</v>
      </c>
      <c r="B854" s="109">
        <v>145.16</v>
      </c>
      <c r="C854" s="109">
        <v>138.54</v>
      </c>
      <c r="D854" s="109">
        <v>139.18</v>
      </c>
      <c r="E854" s="109">
        <v>407805</v>
      </c>
      <c r="F854" s="109" t="s">
        <v>1379</v>
      </c>
      <c r="G854" s="5">
        <f t="shared" si="12"/>
        <v>2.9242707285529468E-2</v>
      </c>
    </row>
    <row r="855" spans="1:7">
      <c r="A855" s="109">
        <v>135.80000000000001</v>
      </c>
      <c r="B855" s="109">
        <v>137.88999999999999</v>
      </c>
      <c r="C855" s="109">
        <v>130.96</v>
      </c>
      <c r="D855" s="109">
        <v>133.33000000000001</v>
      </c>
      <c r="E855" s="109">
        <v>320271</v>
      </c>
      <c r="F855" s="109" t="s">
        <v>1380</v>
      </c>
      <c r="G855" s="5">
        <f t="shared" si="12"/>
        <v>1.8525463136578324E-2</v>
      </c>
    </row>
    <row r="856" spans="1:7">
      <c r="A856" s="109">
        <v>134.09</v>
      </c>
      <c r="B856" s="109">
        <v>143.89500000000001</v>
      </c>
      <c r="C856" s="109">
        <v>133.9</v>
      </c>
      <c r="D856" s="109">
        <v>140.62</v>
      </c>
      <c r="E856" s="109">
        <v>506175</v>
      </c>
      <c r="F856" s="109" t="s">
        <v>1381</v>
      </c>
      <c r="G856" s="5">
        <f t="shared" si="12"/>
        <v>-4.6437206656236629E-2</v>
      </c>
    </row>
    <row r="857" spans="1:7">
      <c r="A857" s="109">
        <v>141.11000000000001</v>
      </c>
      <c r="B857" s="109">
        <v>142.46</v>
      </c>
      <c r="C857" s="109">
        <v>131.72</v>
      </c>
      <c r="D857" s="109">
        <v>139.1</v>
      </c>
      <c r="E857" s="109">
        <v>674172</v>
      </c>
      <c r="F857" s="109" t="s">
        <v>1382</v>
      </c>
      <c r="G857" s="5">
        <f t="shared" si="12"/>
        <v>1.4450035945363204E-2</v>
      </c>
    </row>
    <row r="858" spans="1:7">
      <c r="A858" s="109">
        <v>136.24</v>
      </c>
      <c r="B858" s="109">
        <v>149.44999999999999</v>
      </c>
      <c r="C858" s="109">
        <v>133.79</v>
      </c>
      <c r="D858" s="109">
        <v>147.88999999999999</v>
      </c>
      <c r="E858" s="109">
        <v>492548</v>
      </c>
      <c r="F858" s="109" t="s">
        <v>1383</v>
      </c>
      <c r="G858" s="5">
        <f t="shared" si="12"/>
        <v>-7.8774765028061244E-2</v>
      </c>
    </row>
    <row r="859" spans="1:7">
      <c r="A859" s="109">
        <v>150.07</v>
      </c>
      <c r="B859" s="109">
        <v>152.94999999999999</v>
      </c>
      <c r="C859" s="109">
        <v>142.72499999999999</v>
      </c>
      <c r="D859" s="109">
        <v>152.94999999999999</v>
      </c>
      <c r="E859" s="109">
        <v>708389</v>
      </c>
      <c r="F859" s="109" t="s">
        <v>1384</v>
      </c>
      <c r="G859" s="5">
        <f t="shared" si="12"/>
        <v>-1.8829682902909428E-2</v>
      </c>
    </row>
    <row r="860" spans="1:7">
      <c r="A860" s="109">
        <v>153.74</v>
      </c>
      <c r="B860" s="109">
        <v>168.76</v>
      </c>
      <c r="C860" s="109">
        <v>151.42500000000001</v>
      </c>
      <c r="D860" s="109">
        <v>168.76</v>
      </c>
      <c r="E860" s="109">
        <v>398428</v>
      </c>
      <c r="F860" s="109" t="s">
        <v>1385</v>
      </c>
      <c r="G860" s="5">
        <f t="shared" si="12"/>
        <v>-8.9002133206920964E-2</v>
      </c>
    </row>
    <row r="861" spans="1:7">
      <c r="A861" s="109">
        <v>170.88</v>
      </c>
      <c r="B861" s="109">
        <v>174</v>
      </c>
      <c r="C861" s="109">
        <v>160.75</v>
      </c>
      <c r="D861" s="109">
        <v>169.66</v>
      </c>
      <c r="E861" s="109">
        <v>600962</v>
      </c>
      <c r="F861" s="109" t="s">
        <v>1386</v>
      </c>
      <c r="G861" s="5">
        <f t="shared" si="12"/>
        <v>7.190852292821015E-3</v>
      </c>
    </row>
    <row r="862" spans="1:7">
      <c r="A862" s="109">
        <v>174.15</v>
      </c>
      <c r="B862" s="109">
        <v>179.72</v>
      </c>
      <c r="C862" s="109">
        <v>170.78</v>
      </c>
      <c r="D862" s="109">
        <v>177.03</v>
      </c>
      <c r="E862" s="109">
        <v>302309</v>
      </c>
      <c r="F862" s="109" t="s">
        <v>1387</v>
      </c>
      <c r="G862" s="5">
        <f t="shared" si="12"/>
        <v>-1.626842907981696E-2</v>
      </c>
    </row>
    <row r="863" spans="1:7">
      <c r="A863" s="109">
        <v>177.2</v>
      </c>
      <c r="B863" s="109">
        <v>178.55</v>
      </c>
      <c r="C863" s="109">
        <v>170.23</v>
      </c>
      <c r="D863" s="109">
        <v>172.28</v>
      </c>
      <c r="E863" s="109">
        <v>242616</v>
      </c>
      <c r="F863" s="109" t="s">
        <v>1388</v>
      </c>
      <c r="G863" s="5">
        <f t="shared" si="12"/>
        <v>2.8558161133039217E-2</v>
      </c>
    </row>
    <row r="864" spans="1:7">
      <c r="A864" s="109">
        <v>172.56</v>
      </c>
      <c r="B864" s="109">
        <v>179.27</v>
      </c>
      <c r="C864" s="109">
        <v>172.36</v>
      </c>
      <c r="D864" s="109">
        <v>174.24</v>
      </c>
      <c r="E864" s="109">
        <v>211150</v>
      </c>
      <c r="F864" s="109" t="s">
        <v>1389</v>
      </c>
      <c r="G864" s="5">
        <f t="shared" si="12"/>
        <v>-9.6418732782369565E-3</v>
      </c>
    </row>
    <row r="865" spans="1:7">
      <c r="A865" s="109">
        <v>175.07</v>
      </c>
      <c r="B865" s="109">
        <v>177.0778</v>
      </c>
      <c r="C865" s="109">
        <v>166.64500000000001</v>
      </c>
      <c r="D865" s="109">
        <v>174.44</v>
      </c>
      <c r="E865" s="109">
        <v>263711</v>
      </c>
      <c r="F865" s="109" t="s">
        <v>1390</v>
      </c>
      <c r="G865" s="5">
        <f t="shared" si="12"/>
        <v>3.6115569823433891E-3</v>
      </c>
    </row>
    <row r="866" spans="1:7">
      <c r="A866" s="109">
        <v>171.84</v>
      </c>
      <c r="B866" s="109">
        <v>181.42</v>
      </c>
      <c r="C866" s="109">
        <v>171.11</v>
      </c>
      <c r="D866" s="109">
        <v>179.35</v>
      </c>
      <c r="E866" s="109">
        <v>238808</v>
      </c>
      <c r="F866" s="109" t="s">
        <v>1391</v>
      </c>
      <c r="G866" s="5">
        <f t="shared" si="12"/>
        <v>-4.1873431837189834E-2</v>
      </c>
    </row>
    <row r="867" spans="1:7">
      <c r="A867" s="109">
        <v>179.64</v>
      </c>
      <c r="B867" s="109">
        <v>187.03</v>
      </c>
      <c r="C867" s="109">
        <v>179.36500000000001</v>
      </c>
      <c r="D867" s="109">
        <v>184.65</v>
      </c>
      <c r="E867" s="109">
        <v>246854</v>
      </c>
      <c r="F867" s="109" t="s">
        <v>1392</v>
      </c>
      <c r="G867" s="5">
        <f t="shared" si="12"/>
        <v>-2.7132412672624007E-2</v>
      </c>
    </row>
    <row r="868" spans="1:7">
      <c r="A868" s="109">
        <v>187.55</v>
      </c>
      <c r="B868" s="109">
        <v>191.5</v>
      </c>
      <c r="C868" s="109">
        <v>182.99</v>
      </c>
      <c r="D868" s="109">
        <v>185.01</v>
      </c>
      <c r="E868" s="109">
        <v>251641</v>
      </c>
      <c r="F868" s="109" t="s">
        <v>1393</v>
      </c>
      <c r="G868" s="5">
        <f t="shared" si="12"/>
        <v>1.37289876222908E-2</v>
      </c>
    </row>
    <row r="869" spans="1:7">
      <c r="A869" s="109">
        <v>186.79</v>
      </c>
      <c r="B869" s="109">
        <v>196.61</v>
      </c>
      <c r="C869" s="109">
        <v>186.38</v>
      </c>
      <c r="D869" s="109">
        <v>196.18</v>
      </c>
      <c r="E869" s="109">
        <v>218678</v>
      </c>
      <c r="F869" s="109" t="s">
        <v>1394</v>
      </c>
      <c r="G869" s="5">
        <f t="shared" si="12"/>
        <v>-4.7864206341115323E-2</v>
      </c>
    </row>
    <row r="870" spans="1:7">
      <c r="A870" s="109">
        <v>197.4</v>
      </c>
      <c r="B870" s="109">
        <v>209.79</v>
      </c>
      <c r="C870" s="109">
        <v>195.42</v>
      </c>
      <c r="D870" s="109">
        <v>207.29</v>
      </c>
      <c r="E870" s="109">
        <v>190756</v>
      </c>
      <c r="F870" s="109" t="s">
        <v>1395</v>
      </c>
      <c r="G870" s="5">
        <f t="shared" si="12"/>
        <v>-4.7710936369337542E-2</v>
      </c>
    </row>
    <row r="871" spans="1:7">
      <c r="A871" s="109">
        <v>204.2</v>
      </c>
      <c r="B871" s="109">
        <v>209.542</v>
      </c>
      <c r="C871" s="109">
        <v>203.11</v>
      </c>
      <c r="D871" s="109">
        <v>207.72</v>
      </c>
      <c r="E871" s="109">
        <v>222188</v>
      </c>
      <c r="F871" s="109" t="s">
        <v>1396</v>
      </c>
      <c r="G871" s="5">
        <f t="shared" si="12"/>
        <v>-1.6945888696322076E-2</v>
      </c>
    </row>
    <row r="872" spans="1:7">
      <c r="A872" s="109">
        <v>207.74</v>
      </c>
      <c r="B872" s="109">
        <v>208.23</v>
      </c>
      <c r="C872" s="109">
        <v>195.5</v>
      </c>
      <c r="D872" s="109">
        <v>195.5</v>
      </c>
      <c r="E872" s="109">
        <v>322156</v>
      </c>
      <c r="F872" s="109" t="s">
        <v>1397</v>
      </c>
      <c r="G872" s="5">
        <f t="shared" si="12"/>
        <v>6.2608695652173862E-2</v>
      </c>
    </row>
    <row r="873" spans="1:7">
      <c r="A873" s="109">
        <v>193.45</v>
      </c>
      <c r="B873" s="109">
        <v>199.125</v>
      </c>
      <c r="C873" s="109">
        <v>191.85</v>
      </c>
      <c r="D873" s="109">
        <v>197.58</v>
      </c>
      <c r="E873" s="109">
        <v>181762</v>
      </c>
      <c r="F873" s="109" t="s">
        <v>1398</v>
      </c>
      <c r="G873" s="5">
        <f t="shared" si="12"/>
        <v>-2.0902925397307537E-2</v>
      </c>
    </row>
    <row r="874" spans="1:7">
      <c r="A874" s="109">
        <v>197.74</v>
      </c>
      <c r="B874" s="109">
        <v>205.44</v>
      </c>
      <c r="C874" s="109">
        <v>197.48</v>
      </c>
      <c r="D874" s="109">
        <v>204.4</v>
      </c>
      <c r="E874" s="109">
        <v>211397</v>
      </c>
      <c r="F874" s="109" t="s">
        <v>1399</v>
      </c>
      <c r="G874" s="5">
        <f t="shared" si="12"/>
        <v>-3.258317025440316E-2</v>
      </c>
    </row>
    <row r="875" spans="1:7">
      <c r="A875" s="109">
        <v>203.9</v>
      </c>
      <c r="B875" s="109">
        <v>205.27</v>
      </c>
      <c r="C875" s="109">
        <v>199.05</v>
      </c>
      <c r="D875" s="109">
        <v>200.67</v>
      </c>
      <c r="E875" s="109">
        <v>221565</v>
      </c>
      <c r="F875" s="109" t="s">
        <v>1400</v>
      </c>
      <c r="G875" s="5">
        <f t="shared" si="12"/>
        <v>1.6096078138237102E-2</v>
      </c>
    </row>
    <row r="876" spans="1:7">
      <c r="A876" s="109">
        <v>199.67</v>
      </c>
      <c r="B876" s="109">
        <v>206.9</v>
      </c>
      <c r="C876" s="109">
        <v>197.48</v>
      </c>
      <c r="D876" s="109">
        <v>203.56</v>
      </c>
      <c r="E876" s="109">
        <v>227094</v>
      </c>
      <c r="F876" s="109" t="s">
        <v>1401</v>
      </c>
      <c r="G876" s="5">
        <f t="shared" si="12"/>
        <v>-1.9109844763214867E-2</v>
      </c>
    </row>
    <row r="877" spans="1:7">
      <c r="A877" s="109">
        <v>200.39</v>
      </c>
      <c r="B877" s="109">
        <v>223.9</v>
      </c>
      <c r="C877" s="109">
        <v>199.72</v>
      </c>
      <c r="D877" s="109">
        <v>214.86</v>
      </c>
      <c r="E877" s="109">
        <v>285495</v>
      </c>
      <c r="F877" s="109" t="s">
        <v>1402</v>
      </c>
      <c r="G877" s="5">
        <f t="shared" si="12"/>
        <v>-6.734617890719552E-2</v>
      </c>
    </row>
    <row r="878" spans="1:7">
      <c r="A878" s="109">
        <v>217.93</v>
      </c>
      <c r="B878" s="109">
        <v>223.86</v>
      </c>
      <c r="C878" s="109">
        <v>213.17500000000001</v>
      </c>
      <c r="D878" s="109">
        <v>218.2</v>
      </c>
      <c r="E878" s="109">
        <v>325056</v>
      </c>
      <c r="F878" s="109" t="s">
        <v>1403</v>
      </c>
      <c r="G878" s="5">
        <f t="shared" si="12"/>
        <v>-1.2373968835929228E-3</v>
      </c>
    </row>
    <row r="879" spans="1:7">
      <c r="A879" s="109">
        <v>219.09</v>
      </c>
      <c r="B879" s="109">
        <v>220.27</v>
      </c>
      <c r="C879" s="109">
        <v>211.30500000000001</v>
      </c>
      <c r="D879" s="109">
        <v>211.43</v>
      </c>
      <c r="E879" s="109">
        <v>239412</v>
      </c>
      <c r="F879" s="109" t="s">
        <v>1404</v>
      </c>
      <c r="G879" s="5">
        <f t="shared" si="12"/>
        <v>3.6229484935912604E-2</v>
      </c>
    </row>
    <row r="880" spans="1:7">
      <c r="A880" s="109">
        <v>212.82</v>
      </c>
      <c r="B880" s="109">
        <v>217.92</v>
      </c>
      <c r="C880" s="109">
        <v>209.76</v>
      </c>
      <c r="D880" s="109">
        <v>217.92</v>
      </c>
      <c r="E880" s="109">
        <v>330638</v>
      </c>
      <c r="F880" s="109" t="s">
        <v>1405</v>
      </c>
      <c r="G880" s="5">
        <f t="shared" si="12"/>
        <v>-2.340308370044053E-2</v>
      </c>
    </row>
    <row r="881" spans="1:7">
      <c r="A881" s="109">
        <v>222.48</v>
      </c>
      <c r="B881" s="109">
        <v>222.74</v>
      </c>
      <c r="C881" s="109">
        <v>214.37</v>
      </c>
      <c r="D881" s="109">
        <v>220.8</v>
      </c>
      <c r="E881" s="109">
        <v>332736</v>
      </c>
      <c r="F881" s="109" t="s">
        <v>1406</v>
      </c>
      <c r="G881" s="5">
        <f t="shared" si="12"/>
        <v>7.6086956521739246E-3</v>
      </c>
    </row>
    <row r="882" spans="1:7">
      <c r="A882" s="109">
        <v>220.94</v>
      </c>
      <c r="B882" s="109">
        <v>229.44</v>
      </c>
      <c r="C882" s="109">
        <v>218.82</v>
      </c>
      <c r="D882" s="109">
        <v>226.85</v>
      </c>
      <c r="E882" s="109">
        <v>220945</v>
      </c>
      <c r="F882" s="109" t="s">
        <v>1407</v>
      </c>
      <c r="G882" s="5">
        <f t="shared" ref="G882:G945" si="13">A882/D882-1</f>
        <v>-2.605245757108221E-2</v>
      </c>
    </row>
    <row r="883" spans="1:7">
      <c r="A883" s="109">
        <v>227.33</v>
      </c>
      <c r="B883" s="109">
        <v>228.01</v>
      </c>
      <c r="C883" s="109">
        <v>220.58</v>
      </c>
      <c r="D883" s="109">
        <v>221.71</v>
      </c>
      <c r="E883" s="109">
        <v>273075</v>
      </c>
      <c r="F883" s="109" t="s">
        <v>1408</v>
      </c>
      <c r="G883" s="5">
        <f t="shared" si="13"/>
        <v>2.5348428126832356E-2</v>
      </c>
    </row>
    <row r="884" spans="1:7">
      <c r="A884" s="109">
        <v>222.13</v>
      </c>
      <c r="B884" s="109">
        <v>228.19</v>
      </c>
      <c r="C884" s="109">
        <v>216.11</v>
      </c>
      <c r="D884" s="109">
        <v>216.11</v>
      </c>
      <c r="E884" s="109">
        <v>252196</v>
      </c>
      <c r="F884" s="109" t="s">
        <v>1409</v>
      </c>
      <c r="G884" s="5">
        <f t="shared" si="13"/>
        <v>2.785618435056203E-2</v>
      </c>
    </row>
    <row r="885" spans="1:7">
      <c r="A885" s="109">
        <v>216.86</v>
      </c>
      <c r="B885" s="109">
        <v>217.34</v>
      </c>
      <c r="C885" s="109">
        <v>213.36</v>
      </c>
      <c r="D885" s="109">
        <v>215.85</v>
      </c>
      <c r="E885" s="109">
        <v>212687</v>
      </c>
      <c r="F885" s="109" t="s">
        <v>1410</v>
      </c>
      <c r="G885" s="5">
        <f t="shared" si="13"/>
        <v>4.6791753532546831E-3</v>
      </c>
    </row>
    <row r="886" spans="1:7">
      <c r="A886" s="109">
        <v>215.86</v>
      </c>
      <c r="B886" s="109">
        <v>217.07</v>
      </c>
      <c r="C886" s="109">
        <v>207.65</v>
      </c>
      <c r="D886" s="109">
        <v>208.55</v>
      </c>
      <c r="E886" s="109">
        <v>389175</v>
      </c>
      <c r="F886" s="109" t="s">
        <v>1411</v>
      </c>
      <c r="G886" s="5">
        <f t="shared" si="13"/>
        <v>3.5051546391752675E-2</v>
      </c>
    </row>
    <row r="887" spans="1:7">
      <c r="A887" s="109">
        <v>204.33</v>
      </c>
      <c r="B887" s="109">
        <v>209.3</v>
      </c>
      <c r="C887" s="109">
        <v>202.245</v>
      </c>
      <c r="D887" s="109">
        <v>205.41</v>
      </c>
      <c r="E887" s="109">
        <v>484988</v>
      </c>
      <c r="F887" s="109" t="s">
        <v>1412</v>
      </c>
      <c r="G887" s="5">
        <f t="shared" si="13"/>
        <v>-5.257777128669372E-3</v>
      </c>
    </row>
    <row r="888" spans="1:7">
      <c r="A888" s="109">
        <v>202.54</v>
      </c>
      <c r="B888" s="109">
        <v>206.52</v>
      </c>
      <c r="C888" s="109">
        <v>199.15</v>
      </c>
      <c r="D888" s="109">
        <v>206.52</v>
      </c>
      <c r="E888" s="109">
        <v>229432</v>
      </c>
      <c r="F888" s="109" t="s">
        <v>1413</v>
      </c>
      <c r="G888" s="5">
        <f t="shared" si="13"/>
        <v>-1.9271741235715734E-2</v>
      </c>
    </row>
    <row r="889" spans="1:7">
      <c r="A889" s="109">
        <v>205.68</v>
      </c>
      <c r="B889" s="109">
        <v>208.19</v>
      </c>
      <c r="C889" s="109">
        <v>203.215</v>
      </c>
      <c r="D889" s="109">
        <v>208.19</v>
      </c>
      <c r="E889" s="109">
        <v>263169</v>
      </c>
      <c r="F889" s="109" t="s">
        <v>1414</v>
      </c>
      <c r="G889" s="5">
        <f t="shared" si="13"/>
        <v>-1.2056294730774741E-2</v>
      </c>
    </row>
    <row r="890" spans="1:7">
      <c r="A890" s="109">
        <v>206.5</v>
      </c>
      <c r="B890" s="109">
        <v>210.56</v>
      </c>
      <c r="C890" s="109">
        <v>204.53</v>
      </c>
      <c r="D890" s="109">
        <v>210.27</v>
      </c>
      <c r="E890" s="109">
        <v>104510</v>
      </c>
      <c r="F890" s="109" t="s">
        <v>1415</v>
      </c>
      <c r="G890" s="5">
        <f t="shared" si="13"/>
        <v>-1.7929328958006474E-2</v>
      </c>
    </row>
    <row r="891" spans="1:7">
      <c r="A891" s="109">
        <v>212.81</v>
      </c>
      <c r="B891" s="109">
        <v>216.59</v>
      </c>
      <c r="C891" s="109">
        <v>209.71</v>
      </c>
      <c r="D891" s="109">
        <v>212.12</v>
      </c>
      <c r="E891" s="109">
        <v>131082</v>
      </c>
      <c r="F891" s="109" t="s">
        <v>1416</v>
      </c>
      <c r="G891" s="5">
        <f t="shared" si="13"/>
        <v>3.2528757307184186E-3</v>
      </c>
    </row>
    <row r="892" spans="1:7">
      <c r="A892" s="109">
        <v>210.65</v>
      </c>
      <c r="B892" s="109">
        <v>216.28</v>
      </c>
      <c r="C892" s="109">
        <v>207.27</v>
      </c>
      <c r="D892" s="109">
        <v>213.08</v>
      </c>
      <c r="E892" s="109">
        <v>78337</v>
      </c>
      <c r="F892" s="109" t="s">
        <v>1417</v>
      </c>
      <c r="G892" s="5">
        <f t="shared" si="13"/>
        <v>-1.1404167448845537E-2</v>
      </c>
    </row>
    <row r="893" spans="1:7">
      <c r="A893" s="109">
        <v>215.57</v>
      </c>
      <c r="B893" s="109">
        <v>218.7</v>
      </c>
      <c r="C893" s="109">
        <v>208.95500000000001</v>
      </c>
      <c r="D893" s="109">
        <v>210.17</v>
      </c>
      <c r="E893" s="109">
        <v>212639</v>
      </c>
      <c r="F893" s="109" t="s">
        <v>1418</v>
      </c>
      <c r="G893" s="5">
        <f t="shared" si="13"/>
        <v>2.5693486225436546E-2</v>
      </c>
    </row>
    <row r="894" spans="1:7">
      <c r="A894" s="109">
        <v>210.56</v>
      </c>
      <c r="B894" s="109">
        <v>210.68</v>
      </c>
      <c r="C894" s="109">
        <v>194.73</v>
      </c>
      <c r="D894" s="109">
        <v>199.93</v>
      </c>
      <c r="E894" s="109">
        <v>205937</v>
      </c>
      <c r="F894" s="109" t="s">
        <v>1419</v>
      </c>
      <c r="G894" s="5">
        <f t="shared" si="13"/>
        <v>5.3168609013154677E-2</v>
      </c>
    </row>
    <row r="895" spans="1:7">
      <c r="A895" s="109">
        <v>201.43</v>
      </c>
      <c r="B895" s="109">
        <v>201.935</v>
      </c>
      <c r="C895" s="109">
        <v>192.83</v>
      </c>
      <c r="D895" s="109">
        <v>194.22</v>
      </c>
      <c r="E895" s="109">
        <v>161972</v>
      </c>
      <c r="F895" s="109" t="s">
        <v>1420</v>
      </c>
      <c r="G895" s="5">
        <f t="shared" si="13"/>
        <v>3.7122850375862493E-2</v>
      </c>
    </row>
    <row r="896" spans="1:7">
      <c r="A896" s="109">
        <v>191.05</v>
      </c>
      <c r="B896" s="109">
        <v>192.27</v>
      </c>
      <c r="C896" s="109">
        <v>186.88</v>
      </c>
      <c r="D896" s="109">
        <v>189.77</v>
      </c>
      <c r="E896" s="109">
        <v>120010</v>
      </c>
      <c r="F896" s="109" t="s">
        <v>1421</v>
      </c>
      <c r="G896" s="5">
        <f t="shared" si="13"/>
        <v>6.7450071138746015E-3</v>
      </c>
    </row>
    <row r="897" spans="1:7">
      <c r="A897" s="109">
        <v>187.51</v>
      </c>
      <c r="B897" s="109">
        <v>199.03</v>
      </c>
      <c r="C897" s="109">
        <v>186.19</v>
      </c>
      <c r="D897" s="109">
        <v>192.5</v>
      </c>
      <c r="E897" s="109">
        <v>174502</v>
      </c>
      <c r="F897" s="109" t="s">
        <v>1422</v>
      </c>
      <c r="G897" s="5">
        <f t="shared" si="13"/>
        <v>-2.5922077922078013E-2</v>
      </c>
    </row>
    <row r="898" spans="1:7">
      <c r="A898" s="109">
        <v>192.2</v>
      </c>
      <c r="B898" s="109">
        <v>203.49</v>
      </c>
      <c r="C898" s="109">
        <v>192</v>
      </c>
      <c r="D898" s="109">
        <v>203.49</v>
      </c>
      <c r="E898" s="109">
        <v>140283</v>
      </c>
      <c r="F898" s="109" t="s">
        <v>1423</v>
      </c>
      <c r="G898" s="5">
        <f t="shared" si="13"/>
        <v>-5.5481841859550962E-2</v>
      </c>
    </row>
    <row r="899" spans="1:7">
      <c r="A899" s="109">
        <v>200</v>
      </c>
      <c r="B899" s="109">
        <v>202.255</v>
      </c>
      <c r="C899" s="109">
        <v>197.7</v>
      </c>
      <c r="D899" s="109">
        <v>202.16</v>
      </c>
      <c r="E899" s="109">
        <v>196056</v>
      </c>
      <c r="F899" s="109" t="s">
        <v>1424</v>
      </c>
      <c r="G899" s="5">
        <f t="shared" si="13"/>
        <v>-1.068460625247325E-2</v>
      </c>
    </row>
    <row r="900" spans="1:7">
      <c r="A900" s="109">
        <v>206.59</v>
      </c>
      <c r="B900" s="109">
        <v>209.77</v>
      </c>
      <c r="C900" s="109">
        <v>204.77</v>
      </c>
      <c r="D900" s="109">
        <v>207.37</v>
      </c>
      <c r="E900" s="109">
        <v>180228</v>
      </c>
      <c r="F900" s="109" t="s">
        <v>1425</v>
      </c>
      <c r="G900" s="5">
        <f t="shared" si="13"/>
        <v>-3.7613926797511743E-3</v>
      </c>
    </row>
    <row r="901" spans="1:7">
      <c r="A901" s="109">
        <v>202.02</v>
      </c>
      <c r="B901" s="109">
        <v>211.03</v>
      </c>
      <c r="C901" s="109">
        <v>201</v>
      </c>
      <c r="D901" s="109">
        <v>210.78</v>
      </c>
      <c r="E901" s="109">
        <v>181971</v>
      </c>
      <c r="F901" s="109" t="s">
        <v>1426</v>
      </c>
      <c r="G901" s="5">
        <f t="shared" si="13"/>
        <v>-4.1559920296043273E-2</v>
      </c>
    </row>
    <row r="902" spans="1:7">
      <c r="A902" s="109">
        <v>212.44</v>
      </c>
      <c r="B902" s="109">
        <v>224.44</v>
      </c>
      <c r="C902" s="109">
        <v>211.95</v>
      </c>
      <c r="D902" s="109">
        <v>224.44</v>
      </c>
      <c r="E902" s="109">
        <v>187060</v>
      </c>
      <c r="F902" s="109" t="s">
        <v>1427</v>
      </c>
      <c r="G902" s="5">
        <f t="shared" si="13"/>
        <v>-5.3466405275351958E-2</v>
      </c>
    </row>
    <row r="903" spans="1:7">
      <c r="A903" s="109">
        <v>222.87</v>
      </c>
      <c r="B903" s="109">
        <v>223.54</v>
      </c>
      <c r="C903" s="109">
        <v>217.52</v>
      </c>
      <c r="D903" s="109">
        <v>221.57</v>
      </c>
      <c r="E903" s="109">
        <v>142664</v>
      </c>
      <c r="F903" s="109" t="s">
        <v>1428</v>
      </c>
      <c r="G903" s="5">
        <f t="shared" si="13"/>
        <v>5.8672202915557303E-3</v>
      </c>
    </row>
    <row r="904" spans="1:7">
      <c r="A904" s="109">
        <v>222.43</v>
      </c>
      <c r="B904" s="109">
        <v>232.81</v>
      </c>
      <c r="C904" s="109">
        <v>221.25</v>
      </c>
      <c r="D904" s="109">
        <v>230.73</v>
      </c>
      <c r="E904" s="109">
        <v>148841</v>
      </c>
      <c r="F904" s="109" t="s">
        <v>1429</v>
      </c>
      <c r="G904" s="5">
        <f t="shared" si="13"/>
        <v>-3.5972782039613294E-2</v>
      </c>
    </row>
    <row r="905" spans="1:7">
      <c r="A905" s="109">
        <v>227.23</v>
      </c>
      <c r="B905" s="109">
        <v>229.37</v>
      </c>
      <c r="C905" s="109">
        <v>222.68</v>
      </c>
      <c r="D905" s="109">
        <v>226.24</v>
      </c>
      <c r="E905" s="109">
        <v>184311</v>
      </c>
      <c r="F905" s="109" t="s">
        <v>1430</v>
      </c>
      <c r="G905" s="5">
        <f t="shared" si="13"/>
        <v>4.3758840169729751E-3</v>
      </c>
    </row>
    <row r="906" spans="1:7">
      <c r="A906" s="109">
        <v>224.27</v>
      </c>
      <c r="B906" s="109">
        <v>230.66499999999999</v>
      </c>
      <c r="C906" s="109">
        <v>218.93</v>
      </c>
      <c r="D906" s="109">
        <v>219.82</v>
      </c>
      <c r="E906" s="109">
        <v>260463</v>
      </c>
      <c r="F906" s="109" t="s">
        <v>1431</v>
      </c>
      <c r="G906" s="5">
        <f t="shared" si="13"/>
        <v>2.0243835865708437E-2</v>
      </c>
    </row>
    <row r="907" spans="1:7">
      <c r="A907" s="109">
        <v>221.74</v>
      </c>
      <c r="B907" s="109">
        <v>226.9</v>
      </c>
      <c r="C907" s="109">
        <v>219.285</v>
      </c>
      <c r="D907" s="109">
        <v>221.71</v>
      </c>
      <c r="E907" s="109">
        <v>249241</v>
      </c>
      <c r="F907" s="109" t="s">
        <v>1432</v>
      </c>
      <c r="G907" s="5">
        <f t="shared" si="13"/>
        <v>1.3531189391557952E-4</v>
      </c>
    </row>
    <row r="908" spans="1:7">
      <c r="A908" s="109">
        <v>222.92</v>
      </c>
      <c r="B908" s="109">
        <v>225.92</v>
      </c>
      <c r="C908" s="109">
        <v>214.67</v>
      </c>
      <c r="D908" s="109">
        <v>215.87</v>
      </c>
      <c r="E908" s="109">
        <v>205121</v>
      </c>
      <c r="F908" s="109" t="s">
        <v>1433</v>
      </c>
      <c r="G908" s="5">
        <f t="shared" si="13"/>
        <v>3.2658544494371444E-2</v>
      </c>
    </row>
    <row r="909" spans="1:7">
      <c r="A909" s="109">
        <v>215.75</v>
      </c>
      <c r="B909" s="109">
        <v>216.44</v>
      </c>
      <c r="C909" s="109">
        <v>196.41</v>
      </c>
      <c r="D909" s="109">
        <v>196.41</v>
      </c>
      <c r="E909" s="109">
        <v>305500</v>
      </c>
      <c r="F909" s="109" t="s">
        <v>1434</v>
      </c>
      <c r="G909" s="5">
        <f t="shared" si="13"/>
        <v>9.846749147192102E-2</v>
      </c>
    </row>
    <row r="910" spans="1:7">
      <c r="A910" s="109">
        <v>204.05</v>
      </c>
      <c r="B910" s="109">
        <v>218.47</v>
      </c>
      <c r="C910" s="109">
        <v>200.001</v>
      </c>
      <c r="D910" s="109">
        <v>207.01</v>
      </c>
      <c r="E910" s="109">
        <v>606510</v>
      </c>
      <c r="F910" s="109" t="s">
        <v>1435</v>
      </c>
      <c r="G910" s="5">
        <f t="shared" si="13"/>
        <v>-1.4298826143664511E-2</v>
      </c>
    </row>
    <row r="911" spans="1:7">
      <c r="A911" s="109">
        <v>216.59</v>
      </c>
      <c r="B911" s="109">
        <v>218.95</v>
      </c>
      <c r="C911" s="109">
        <v>206.29</v>
      </c>
      <c r="D911" s="109">
        <v>206.29</v>
      </c>
      <c r="E911" s="109">
        <v>216050</v>
      </c>
      <c r="F911" s="109" t="s">
        <v>1436</v>
      </c>
      <c r="G911" s="5">
        <f t="shared" si="13"/>
        <v>4.9929710601580357E-2</v>
      </c>
    </row>
    <row r="912" spans="1:7">
      <c r="A912" s="109">
        <v>211.15</v>
      </c>
      <c r="B912" s="109">
        <v>220.52</v>
      </c>
      <c r="C912" s="109">
        <v>210.44</v>
      </c>
      <c r="D912" s="109">
        <v>217.12</v>
      </c>
      <c r="E912" s="109">
        <v>172327</v>
      </c>
      <c r="F912" s="109" t="s">
        <v>1437</v>
      </c>
      <c r="G912" s="5">
        <f t="shared" si="13"/>
        <v>-2.749631540162123E-2</v>
      </c>
    </row>
    <row r="913" spans="1:7">
      <c r="A913" s="109">
        <v>216.15</v>
      </c>
      <c r="B913" s="109">
        <v>226.97</v>
      </c>
      <c r="C913" s="109">
        <v>215.715</v>
      </c>
      <c r="D913" s="109">
        <v>226.97</v>
      </c>
      <c r="E913" s="109">
        <v>168673</v>
      </c>
      <c r="F913" s="109" t="s">
        <v>1438</v>
      </c>
      <c r="G913" s="5">
        <f t="shared" si="13"/>
        <v>-4.7671498435916559E-2</v>
      </c>
    </row>
    <row r="914" spans="1:7">
      <c r="A914" s="109">
        <v>227.87</v>
      </c>
      <c r="B914" s="109">
        <v>230.155</v>
      </c>
      <c r="C914" s="109">
        <v>222.26</v>
      </c>
      <c r="D914" s="109">
        <v>229.7</v>
      </c>
      <c r="E914" s="109">
        <v>108387</v>
      </c>
      <c r="F914" s="109" t="s">
        <v>1439</v>
      </c>
      <c r="G914" s="5">
        <f t="shared" si="13"/>
        <v>-7.9669133652590096E-3</v>
      </c>
    </row>
    <row r="915" spans="1:7">
      <c r="A915" s="109">
        <v>231.57</v>
      </c>
      <c r="B915" s="109">
        <v>232.26</v>
      </c>
      <c r="C915" s="109">
        <v>225.61</v>
      </c>
      <c r="D915" s="109">
        <v>226.35</v>
      </c>
      <c r="E915" s="109">
        <v>91667</v>
      </c>
      <c r="F915" s="109" t="s">
        <v>1440</v>
      </c>
      <c r="G915" s="5">
        <f t="shared" si="13"/>
        <v>2.3061630218687901E-2</v>
      </c>
    </row>
    <row r="916" spans="1:7">
      <c r="A916" s="109">
        <v>221.17</v>
      </c>
      <c r="B916" s="109">
        <v>228.18</v>
      </c>
      <c r="C916" s="109">
        <v>220</v>
      </c>
      <c r="D916" s="109">
        <v>224.53</v>
      </c>
      <c r="E916" s="109">
        <v>148939</v>
      </c>
      <c r="F916" s="109" t="s">
        <v>1441</v>
      </c>
      <c r="G916" s="5">
        <f t="shared" si="13"/>
        <v>-1.4964592704761137E-2</v>
      </c>
    </row>
    <row r="917" spans="1:7">
      <c r="A917" s="109">
        <v>226.06</v>
      </c>
      <c r="B917" s="109">
        <v>234.33</v>
      </c>
      <c r="C917" s="109">
        <v>223.47</v>
      </c>
      <c r="D917" s="109">
        <v>229.95</v>
      </c>
      <c r="E917" s="109">
        <v>81168</v>
      </c>
      <c r="F917" s="109" t="s">
        <v>1442</v>
      </c>
      <c r="G917" s="5">
        <f t="shared" si="13"/>
        <v>-1.6916721026310033E-2</v>
      </c>
    </row>
    <row r="918" spans="1:7">
      <c r="A918" s="109">
        <v>230.14</v>
      </c>
      <c r="B918" s="109">
        <v>239.9</v>
      </c>
      <c r="C918" s="109">
        <v>227.13</v>
      </c>
      <c r="D918" s="109">
        <v>228.54</v>
      </c>
      <c r="E918" s="109">
        <v>153968</v>
      </c>
      <c r="F918" s="109" t="s">
        <v>1443</v>
      </c>
      <c r="G918" s="5">
        <f t="shared" si="13"/>
        <v>7.0009626323619401E-3</v>
      </c>
    </row>
    <row r="919" spans="1:7">
      <c r="A919" s="109">
        <v>235.08</v>
      </c>
      <c r="B919" s="109">
        <v>235.77</v>
      </c>
      <c r="C919" s="109">
        <v>228.59</v>
      </c>
      <c r="D919" s="109">
        <v>228.59</v>
      </c>
      <c r="E919" s="109">
        <v>135752</v>
      </c>
      <c r="F919" s="109" t="s">
        <v>1444</v>
      </c>
      <c r="G919" s="5">
        <f t="shared" si="13"/>
        <v>2.839144319524034E-2</v>
      </c>
    </row>
    <row r="920" spans="1:7">
      <c r="A920" s="109">
        <v>225.4</v>
      </c>
      <c r="B920" s="109">
        <v>226.755</v>
      </c>
      <c r="C920" s="109">
        <v>217.07</v>
      </c>
      <c r="D920" s="109">
        <v>219</v>
      </c>
      <c r="E920" s="109">
        <v>110888</v>
      </c>
      <c r="F920" s="109" t="s">
        <v>1445</v>
      </c>
      <c r="G920" s="5">
        <f t="shared" si="13"/>
        <v>2.9223744292237397E-2</v>
      </c>
    </row>
    <row r="921" spans="1:7">
      <c r="A921" s="109">
        <v>221.95</v>
      </c>
      <c r="B921" s="109">
        <v>224.89</v>
      </c>
      <c r="C921" s="109">
        <v>218.66</v>
      </c>
      <c r="D921" s="109">
        <v>218.66</v>
      </c>
      <c r="E921" s="109">
        <v>95994</v>
      </c>
      <c r="F921" s="109" t="s">
        <v>1446</v>
      </c>
      <c r="G921" s="5">
        <f t="shared" si="13"/>
        <v>1.5046190432635109E-2</v>
      </c>
    </row>
    <row r="922" spans="1:7">
      <c r="A922" s="109">
        <v>219.82</v>
      </c>
      <c r="B922" s="109">
        <v>223.88</v>
      </c>
      <c r="C922" s="109">
        <v>214.815</v>
      </c>
      <c r="D922" s="109">
        <v>216.83</v>
      </c>
      <c r="E922" s="109">
        <v>145583</v>
      </c>
      <c r="F922" s="109" t="s">
        <v>1447</v>
      </c>
      <c r="G922" s="5">
        <f t="shared" si="13"/>
        <v>1.3789604759488983E-2</v>
      </c>
    </row>
    <row r="923" spans="1:7">
      <c r="A923" s="109">
        <v>217.92</v>
      </c>
      <c r="B923" s="109">
        <v>222.68</v>
      </c>
      <c r="C923" s="109">
        <v>216.56</v>
      </c>
      <c r="D923" s="109">
        <v>219.03</v>
      </c>
      <c r="E923" s="109">
        <v>143611</v>
      </c>
      <c r="F923" s="109" t="s">
        <v>1448</v>
      </c>
      <c r="G923" s="5">
        <f t="shared" si="13"/>
        <v>-5.0677989316532113E-3</v>
      </c>
    </row>
    <row r="924" spans="1:7">
      <c r="A924" s="109">
        <v>224.1</v>
      </c>
      <c r="B924" s="109">
        <v>228.14250000000001</v>
      </c>
      <c r="C924" s="109">
        <v>220.39</v>
      </c>
      <c r="D924" s="109">
        <v>226.93</v>
      </c>
      <c r="E924" s="109">
        <v>178028</v>
      </c>
      <c r="F924" s="109" t="s">
        <v>1449</v>
      </c>
      <c r="G924" s="5">
        <f t="shared" si="13"/>
        <v>-1.2470805975410948E-2</v>
      </c>
    </row>
    <row r="925" spans="1:7">
      <c r="A925" s="109">
        <v>228.15</v>
      </c>
      <c r="B925" s="109">
        <v>232.55</v>
      </c>
      <c r="C925" s="109">
        <v>221.03</v>
      </c>
      <c r="D925" s="109">
        <v>228.33</v>
      </c>
      <c r="E925" s="109">
        <v>179776</v>
      </c>
      <c r="F925" s="109" t="s">
        <v>1450</v>
      </c>
      <c r="G925" s="5">
        <f t="shared" si="13"/>
        <v>-7.8833267638944715E-4</v>
      </c>
    </row>
    <row r="926" spans="1:7">
      <c r="A926" s="109">
        <v>226.01</v>
      </c>
      <c r="B926" s="109">
        <v>226.76499999999999</v>
      </c>
      <c r="C926" s="109">
        <v>207.47</v>
      </c>
      <c r="D926" s="109">
        <v>207.47</v>
      </c>
      <c r="E926" s="109">
        <v>284637</v>
      </c>
      <c r="F926" s="109" t="s">
        <v>1451</v>
      </c>
      <c r="G926" s="5">
        <f t="shared" si="13"/>
        <v>8.9362317443485662E-2</v>
      </c>
    </row>
    <row r="927" spans="1:7">
      <c r="A927" s="109">
        <v>206.5</v>
      </c>
      <c r="B927" s="109">
        <v>206.75</v>
      </c>
      <c r="C927" s="109">
        <v>193.61500000000001</v>
      </c>
      <c r="D927" s="109">
        <v>199</v>
      </c>
      <c r="E927" s="109">
        <v>160118</v>
      </c>
      <c r="F927" s="109" t="s">
        <v>1452</v>
      </c>
      <c r="G927" s="5">
        <f t="shared" si="13"/>
        <v>3.7688442211055273E-2</v>
      </c>
    </row>
    <row r="928" spans="1:7">
      <c r="A928" s="109">
        <v>197.49</v>
      </c>
      <c r="B928" s="109">
        <v>214.46</v>
      </c>
      <c r="C928" s="109">
        <v>197.07</v>
      </c>
      <c r="D928" s="109">
        <v>211.35</v>
      </c>
      <c r="E928" s="109">
        <v>188010</v>
      </c>
      <c r="F928" s="109" t="s">
        <v>1453</v>
      </c>
      <c r="G928" s="5">
        <f t="shared" si="13"/>
        <v>-6.5578424414478254E-2</v>
      </c>
    </row>
    <row r="929" spans="1:7">
      <c r="A929" s="109">
        <v>209.29</v>
      </c>
      <c r="B929" s="109">
        <v>219.58</v>
      </c>
      <c r="C929" s="109">
        <v>206.97</v>
      </c>
      <c r="D929" s="109">
        <v>217.53</v>
      </c>
      <c r="E929" s="109">
        <v>135705</v>
      </c>
      <c r="F929" s="109" t="s">
        <v>1454</v>
      </c>
      <c r="G929" s="5">
        <f t="shared" si="13"/>
        <v>-3.787983266675865E-2</v>
      </c>
    </row>
    <row r="930" spans="1:7">
      <c r="A930" s="109">
        <v>213.07</v>
      </c>
      <c r="B930" s="109">
        <v>231.18</v>
      </c>
      <c r="C930" s="109">
        <v>211.61</v>
      </c>
      <c r="D930" s="109">
        <v>225.35</v>
      </c>
      <c r="E930" s="109">
        <v>264833</v>
      </c>
      <c r="F930" s="109" t="s">
        <v>1455</v>
      </c>
      <c r="G930" s="5">
        <f t="shared" si="13"/>
        <v>-5.4493010871976888E-2</v>
      </c>
    </row>
    <row r="931" spans="1:7">
      <c r="A931" s="109">
        <v>228.46</v>
      </c>
      <c r="B931" s="109">
        <v>229.8</v>
      </c>
      <c r="C931" s="109">
        <v>208</v>
      </c>
      <c r="D931" s="109">
        <v>214.26</v>
      </c>
      <c r="E931" s="109">
        <v>265955</v>
      </c>
      <c r="F931" s="109" t="s">
        <v>1456</v>
      </c>
      <c r="G931" s="5">
        <f t="shared" si="13"/>
        <v>6.6274619621021325E-2</v>
      </c>
    </row>
    <row r="932" spans="1:7">
      <c r="A932" s="109">
        <v>218.3</v>
      </c>
      <c r="B932" s="109">
        <v>225.13</v>
      </c>
      <c r="C932" s="109">
        <v>217</v>
      </c>
      <c r="D932" s="109">
        <v>221.6</v>
      </c>
      <c r="E932" s="109">
        <v>150501</v>
      </c>
      <c r="F932" s="109" t="s">
        <v>1457</v>
      </c>
      <c r="G932" s="5">
        <f t="shared" si="13"/>
        <v>-1.4891696750902406E-2</v>
      </c>
    </row>
    <row r="933" spans="1:7">
      <c r="A933" s="109">
        <v>223.3</v>
      </c>
      <c r="B933" s="109">
        <v>232.18</v>
      </c>
      <c r="C933" s="109">
        <v>221</v>
      </c>
      <c r="D933" s="109">
        <v>221.18</v>
      </c>
      <c r="E933" s="109">
        <v>189379</v>
      </c>
      <c r="F933" s="109" t="s">
        <v>1458</v>
      </c>
      <c r="G933" s="5">
        <f t="shared" si="13"/>
        <v>9.5849534315941565E-3</v>
      </c>
    </row>
    <row r="934" spans="1:7">
      <c r="A934" s="109">
        <v>218.65</v>
      </c>
      <c r="B934" s="109">
        <v>229.96</v>
      </c>
      <c r="C934" s="109">
        <v>218</v>
      </c>
      <c r="D934" s="109">
        <v>224.89</v>
      </c>
      <c r="E934" s="109">
        <v>147152</v>
      </c>
      <c r="F934" s="109" t="s">
        <v>1459</v>
      </c>
      <c r="G934" s="5">
        <f t="shared" si="13"/>
        <v>-2.7746898483703042E-2</v>
      </c>
    </row>
    <row r="935" spans="1:7">
      <c r="A935" s="109">
        <v>223.73</v>
      </c>
      <c r="B935" s="109">
        <v>236.02500000000001</v>
      </c>
      <c r="C935" s="109">
        <v>223.03</v>
      </c>
      <c r="D935" s="109">
        <v>234.92</v>
      </c>
      <c r="E935" s="109">
        <v>240173</v>
      </c>
      <c r="F935" s="109" t="s">
        <v>1460</v>
      </c>
      <c r="G935" s="5">
        <f t="shared" si="13"/>
        <v>-4.7633236846586047E-2</v>
      </c>
    </row>
    <row r="936" spans="1:7">
      <c r="A936" s="109">
        <v>237.58</v>
      </c>
      <c r="B936" s="109">
        <v>247.12</v>
      </c>
      <c r="C936" s="109">
        <v>236.33</v>
      </c>
      <c r="D936" s="109">
        <v>243.7</v>
      </c>
      <c r="E936" s="109">
        <v>287309</v>
      </c>
      <c r="F936" s="109" t="s">
        <v>1461</v>
      </c>
      <c r="G936" s="5">
        <f t="shared" si="13"/>
        <v>-2.5112843660237916E-2</v>
      </c>
    </row>
    <row r="937" spans="1:7">
      <c r="A937" s="109">
        <v>247.16</v>
      </c>
      <c r="B937" s="109">
        <v>260.60000000000002</v>
      </c>
      <c r="C937" s="109">
        <v>245.55009999999999</v>
      </c>
      <c r="D937" s="109">
        <v>258.08</v>
      </c>
      <c r="E937" s="109">
        <v>188556</v>
      </c>
      <c r="F937" s="109" t="s">
        <v>1462</v>
      </c>
      <c r="G937" s="5">
        <f t="shared" si="13"/>
        <v>-4.2312461252324796E-2</v>
      </c>
    </row>
    <row r="938" spans="1:7">
      <c r="A938" s="109">
        <v>258.79000000000002</v>
      </c>
      <c r="B938" s="109">
        <v>269.25</v>
      </c>
      <c r="C938" s="109">
        <v>256.42</v>
      </c>
      <c r="D938" s="109">
        <v>260.49</v>
      </c>
      <c r="E938" s="109">
        <v>224527</v>
      </c>
      <c r="F938" s="109" t="s">
        <v>1463</v>
      </c>
      <c r="G938" s="5">
        <f t="shared" si="13"/>
        <v>-6.5261622327151825E-3</v>
      </c>
    </row>
    <row r="939" spans="1:7">
      <c r="A939" s="109">
        <v>259.89</v>
      </c>
      <c r="B939" s="109">
        <v>260.13990000000001</v>
      </c>
      <c r="C939" s="109">
        <v>244.59</v>
      </c>
      <c r="D939" s="109">
        <v>246.64</v>
      </c>
      <c r="E939" s="109">
        <v>274171</v>
      </c>
      <c r="F939" s="109" t="s">
        <v>1464</v>
      </c>
      <c r="G939" s="5">
        <f t="shared" si="13"/>
        <v>5.3722024002594848E-2</v>
      </c>
    </row>
    <row r="940" spans="1:7">
      <c r="A940" s="109">
        <v>245.59</v>
      </c>
      <c r="B940" s="109">
        <v>252</v>
      </c>
      <c r="C940" s="109">
        <v>236.87</v>
      </c>
      <c r="D940" s="109">
        <v>251.71</v>
      </c>
      <c r="E940" s="109">
        <v>326631</v>
      </c>
      <c r="F940" s="109" t="s">
        <v>1465</v>
      </c>
      <c r="G940" s="5">
        <f t="shared" si="13"/>
        <v>-2.4313694330777458E-2</v>
      </c>
    </row>
    <row r="941" spans="1:7">
      <c r="A941" s="109">
        <v>254.5</v>
      </c>
      <c r="B941" s="109">
        <v>263.12</v>
      </c>
      <c r="C941" s="109">
        <v>249.36</v>
      </c>
      <c r="D941" s="109">
        <v>253.74</v>
      </c>
      <c r="E941" s="109">
        <v>177126</v>
      </c>
      <c r="F941" s="109" t="s">
        <v>1466</v>
      </c>
      <c r="G941" s="5">
        <f t="shared" si="13"/>
        <v>2.9951919287458662E-3</v>
      </c>
    </row>
    <row r="942" spans="1:7">
      <c r="A942" s="109">
        <v>255.93</v>
      </c>
      <c r="B942" s="109">
        <v>263.49</v>
      </c>
      <c r="C942" s="109">
        <v>254.26</v>
      </c>
      <c r="D942" s="109">
        <v>257.39999999999998</v>
      </c>
      <c r="E942" s="109">
        <v>204819</v>
      </c>
      <c r="F942" s="109" t="s">
        <v>1467</v>
      </c>
      <c r="G942" s="5">
        <f t="shared" si="13"/>
        <v>-5.7109557109555897E-3</v>
      </c>
    </row>
    <row r="943" spans="1:7">
      <c r="A943" s="109">
        <v>260.01</v>
      </c>
      <c r="B943" s="109">
        <v>276.48</v>
      </c>
      <c r="C943" s="109">
        <v>258.8</v>
      </c>
      <c r="D943" s="109">
        <v>274.22000000000003</v>
      </c>
      <c r="E943" s="109">
        <v>250852</v>
      </c>
      <c r="F943" s="109" t="s">
        <v>1468</v>
      </c>
      <c r="G943" s="5">
        <f t="shared" si="13"/>
        <v>-5.181970680475545E-2</v>
      </c>
    </row>
    <row r="944" spans="1:7">
      <c r="A944" s="109">
        <v>276.69</v>
      </c>
      <c r="B944" s="109">
        <v>286.97989999999999</v>
      </c>
      <c r="C944" s="109">
        <v>275.56</v>
      </c>
      <c r="D944" s="109">
        <v>283.99</v>
      </c>
      <c r="E944" s="109">
        <v>178930</v>
      </c>
      <c r="F944" s="109" t="s">
        <v>1469</v>
      </c>
      <c r="G944" s="5">
        <f t="shared" si="13"/>
        <v>-2.5705130462340242E-2</v>
      </c>
    </row>
    <row r="945" spans="1:7">
      <c r="A945" s="109">
        <v>283.98</v>
      </c>
      <c r="B945" s="109">
        <v>287.52999999999997</v>
      </c>
      <c r="C945" s="109">
        <v>277.36</v>
      </c>
      <c r="D945" s="109">
        <v>285.33999999999997</v>
      </c>
      <c r="E945" s="109">
        <v>223553</v>
      </c>
      <c r="F945" s="109" t="s">
        <v>1470</v>
      </c>
      <c r="G945" s="5">
        <f t="shared" si="13"/>
        <v>-4.7662437793507539E-3</v>
      </c>
    </row>
    <row r="946" spans="1:7">
      <c r="A946" s="109">
        <v>287.32</v>
      </c>
      <c r="B946" s="109">
        <v>290.36</v>
      </c>
      <c r="C946" s="109">
        <v>284.77</v>
      </c>
      <c r="D946" s="109">
        <v>286.70999999999998</v>
      </c>
      <c r="E946" s="109">
        <v>185776</v>
      </c>
      <c r="F946" s="109" t="s">
        <v>1471</v>
      </c>
      <c r="G946" s="5">
        <f t="shared" ref="G946:G1009" si="14">A946/D946-1</f>
        <v>2.1275853650029042E-3</v>
      </c>
    </row>
    <row r="947" spans="1:7">
      <c r="A947" s="109">
        <v>286.5</v>
      </c>
      <c r="B947" s="109">
        <v>287.83</v>
      </c>
      <c r="C947" s="109">
        <v>279.95999999999998</v>
      </c>
      <c r="D947" s="109">
        <v>281</v>
      </c>
      <c r="E947" s="109">
        <v>178152</v>
      </c>
      <c r="F947" s="109" t="s">
        <v>1472</v>
      </c>
      <c r="G947" s="5">
        <f t="shared" si="14"/>
        <v>1.9572953736654908E-2</v>
      </c>
    </row>
    <row r="948" spans="1:7">
      <c r="A948" s="109">
        <v>280.89</v>
      </c>
      <c r="B948" s="109">
        <v>280.95</v>
      </c>
      <c r="C948" s="109">
        <v>276.58999999999997</v>
      </c>
      <c r="D948" s="109">
        <v>278.06</v>
      </c>
      <c r="E948" s="109">
        <v>98694</v>
      </c>
      <c r="F948" s="109" t="s">
        <v>1473</v>
      </c>
      <c r="G948" s="5">
        <f t="shared" si="14"/>
        <v>1.0177659497950131E-2</v>
      </c>
    </row>
    <row r="949" spans="1:7">
      <c r="A949" s="109">
        <v>276.47000000000003</v>
      </c>
      <c r="B949" s="109">
        <v>280.60000000000002</v>
      </c>
      <c r="C949" s="109">
        <v>274.2</v>
      </c>
      <c r="D949" s="109">
        <v>279.87</v>
      </c>
      <c r="E949" s="109">
        <v>90614</v>
      </c>
      <c r="F949" s="109" t="s">
        <v>1474</v>
      </c>
      <c r="G949" s="5">
        <f t="shared" si="14"/>
        <v>-1.2148497516704104E-2</v>
      </c>
    </row>
    <row r="950" spans="1:7">
      <c r="A950" s="109">
        <v>279.35000000000002</v>
      </c>
      <c r="B950" s="109">
        <v>280</v>
      </c>
      <c r="C950" s="109">
        <v>268.81</v>
      </c>
      <c r="D950" s="109">
        <v>274.85000000000002</v>
      </c>
      <c r="E950" s="109">
        <v>103060</v>
      </c>
      <c r="F950" s="109" t="s">
        <v>1475</v>
      </c>
      <c r="G950" s="5">
        <f t="shared" si="14"/>
        <v>1.6372566854647941E-2</v>
      </c>
    </row>
    <row r="951" spans="1:7">
      <c r="A951" s="109">
        <v>275.55</v>
      </c>
      <c r="B951" s="109">
        <v>279.88</v>
      </c>
      <c r="C951" s="109">
        <v>270.8</v>
      </c>
      <c r="D951" s="109">
        <v>273.89999999999998</v>
      </c>
      <c r="E951" s="109">
        <v>208525</v>
      </c>
      <c r="F951" s="109" t="s">
        <v>1476</v>
      </c>
      <c r="G951" s="5">
        <f t="shared" si="14"/>
        <v>6.0240963855422436E-3</v>
      </c>
    </row>
    <row r="952" spans="1:7">
      <c r="A952" s="109">
        <v>271.08</v>
      </c>
      <c r="B952" s="109">
        <v>271.5</v>
      </c>
      <c r="C952" s="109">
        <v>259.98</v>
      </c>
      <c r="D952" s="109">
        <v>259.98</v>
      </c>
      <c r="E952" s="109">
        <v>170479</v>
      </c>
      <c r="F952" s="109" t="s">
        <v>1477</v>
      </c>
      <c r="G952" s="5">
        <f t="shared" si="14"/>
        <v>4.2695591968612945E-2</v>
      </c>
    </row>
    <row r="953" spans="1:7">
      <c r="A953" s="109">
        <v>259.66000000000003</v>
      </c>
      <c r="B953" s="109">
        <v>262.62</v>
      </c>
      <c r="C953" s="109">
        <v>251.92850000000001</v>
      </c>
      <c r="D953" s="109">
        <v>252.79</v>
      </c>
      <c r="E953" s="109">
        <v>145326</v>
      </c>
      <c r="F953" s="109" t="s">
        <v>1478</v>
      </c>
      <c r="G953" s="5">
        <f t="shared" si="14"/>
        <v>2.7176707939396527E-2</v>
      </c>
    </row>
    <row r="954" spans="1:7">
      <c r="A954" s="109">
        <v>250.82</v>
      </c>
      <c r="B954" s="109">
        <v>252.75</v>
      </c>
      <c r="C954" s="109">
        <v>246.78</v>
      </c>
      <c r="D954" s="109">
        <v>249.69</v>
      </c>
      <c r="E954" s="109">
        <v>117502</v>
      </c>
      <c r="F954" s="109" t="s">
        <v>1479</v>
      </c>
      <c r="G954" s="5">
        <f t="shared" si="14"/>
        <v>4.5256117585805722E-3</v>
      </c>
    </row>
    <row r="955" spans="1:7">
      <c r="A955" s="109">
        <v>253.2</v>
      </c>
      <c r="B955" s="109">
        <v>256.74</v>
      </c>
      <c r="C955" s="109">
        <v>245.35</v>
      </c>
      <c r="D955" s="109">
        <v>247.43</v>
      </c>
      <c r="E955" s="109">
        <v>412747</v>
      </c>
      <c r="F955" s="109" t="s">
        <v>1480</v>
      </c>
      <c r="G955" s="5">
        <f t="shared" si="14"/>
        <v>2.3319726791415585E-2</v>
      </c>
    </row>
    <row r="956" spans="1:7">
      <c r="A956" s="109">
        <v>247.1</v>
      </c>
      <c r="B956" s="109">
        <v>255.28829999999999</v>
      </c>
      <c r="C956" s="109">
        <v>246.51</v>
      </c>
      <c r="D956" s="109">
        <v>253.94</v>
      </c>
      <c r="E956" s="109">
        <v>161465</v>
      </c>
      <c r="F956" s="109" t="s">
        <v>1481</v>
      </c>
      <c r="G956" s="5">
        <f t="shared" si="14"/>
        <v>-2.6935496573993856E-2</v>
      </c>
    </row>
    <row r="957" spans="1:7">
      <c r="A957" s="109">
        <v>253.94</v>
      </c>
      <c r="B957" s="109">
        <v>255</v>
      </c>
      <c r="C957" s="109">
        <v>245.45</v>
      </c>
      <c r="D957" s="109">
        <v>245.45</v>
      </c>
      <c r="E957" s="109">
        <v>183750</v>
      </c>
      <c r="F957" s="109" t="s">
        <v>1482</v>
      </c>
      <c r="G957" s="5">
        <f t="shared" si="14"/>
        <v>3.4589529435730348E-2</v>
      </c>
    </row>
    <row r="958" spans="1:7">
      <c r="A958" s="109">
        <v>247.83</v>
      </c>
      <c r="B958" s="109">
        <v>251.29</v>
      </c>
      <c r="C958" s="109">
        <v>245.245</v>
      </c>
      <c r="D958" s="109">
        <v>248.45</v>
      </c>
      <c r="E958" s="109">
        <v>121922</v>
      </c>
      <c r="F958" s="109" t="s">
        <v>1483</v>
      </c>
      <c r="G958" s="5">
        <f t="shared" si="14"/>
        <v>-2.4954719259406843E-3</v>
      </c>
    </row>
    <row r="959" spans="1:7">
      <c r="A959" s="109">
        <v>252.7</v>
      </c>
      <c r="B959" s="109">
        <v>254.17</v>
      </c>
      <c r="C959" s="109">
        <v>243.2</v>
      </c>
      <c r="D959" s="109">
        <v>245.8</v>
      </c>
      <c r="E959" s="109">
        <v>570107</v>
      </c>
      <c r="F959" s="109" t="s">
        <v>1484</v>
      </c>
      <c r="G959" s="5">
        <f t="shared" si="14"/>
        <v>2.8071602929210737E-2</v>
      </c>
    </row>
    <row r="960" spans="1:7">
      <c r="A960" s="109">
        <v>244.95</v>
      </c>
      <c r="B960" s="109">
        <v>254.17</v>
      </c>
      <c r="C960" s="109">
        <v>244.52</v>
      </c>
      <c r="D960" s="109">
        <v>250.3</v>
      </c>
      <c r="E960" s="109">
        <v>101801</v>
      </c>
      <c r="F960" s="109" t="s">
        <v>1485</v>
      </c>
      <c r="G960" s="5">
        <f t="shared" si="14"/>
        <v>-2.1374350779065243E-2</v>
      </c>
    </row>
    <row r="961" spans="1:7">
      <c r="A961" s="109">
        <v>249.78</v>
      </c>
      <c r="B961" s="109">
        <v>264.61</v>
      </c>
      <c r="C961" s="109">
        <v>249.3</v>
      </c>
      <c r="D961" s="109">
        <v>260.7</v>
      </c>
      <c r="E961" s="109">
        <v>93300</v>
      </c>
      <c r="F961" s="109" t="s">
        <v>1486</v>
      </c>
      <c r="G961" s="5">
        <f t="shared" si="14"/>
        <v>-4.188722669735323E-2</v>
      </c>
    </row>
    <row r="962" spans="1:7">
      <c r="A962" s="109">
        <v>261.58</v>
      </c>
      <c r="B962" s="109">
        <v>265</v>
      </c>
      <c r="C962" s="109">
        <v>252.99</v>
      </c>
      <c r="D962" s="109">
        <v>256.88</v>
      </c>
      <c r="E962" s="109">
        <v>155500</v>
      </c>
      <c r="F962" s="109" t="s">
        <v>1487</v>
      </c>
      <c r="G962" s="5">
        <f t="shared" si="14"/>
        <v>1.8296480847088015E-2</v>
      </c>
    </row>
    <row r="963" spans="1:7">
      <c r="A963" s="109">
        <v>255.87</v>
      </c>
      <c r="B963" s="109">
        <v>259.69</v>
      </c>
      <c r="C963" s="109">
        <v>252.92</v>
      </c>
      <c r="D963" s="109">
        <v>253.01</v>
      </c>
      <c r="E963" s="109">
        <v>118581</v>
      </c>
      <c r="F963" s="109" t="s">
        <v>1488</v>
      </c>
      <c r="G963" s="5">
        <f t="shared" si="14"/>
        <v>1.1303901031579855E-2</v>
      </c>
    </row>
    <row r="964" spans="1:7">
      <c r="A964" s="109">
        <v>248.99</v>
      </c>
      <c r="B964" s="109">
        <v>250.29</v>
      </c>
      <c r="C964" s="109">
        <v>236.38</v>
      </c>
      <c r="D964" s="109">
        <v>238.82</v>
      </c>
      <c r="E964" s="109">
        <v>191089</v>
      </c>
      <c r="F964" s="109" t="s">
        <v>1489</v>
      </c>
      <c r="G964" s="5">
        <f t="shared" si="14"/>
        <v>4.2584373168076395E-2</v>
      </c>
    </row>
    <row r="965" spans="1:7">
      <c r="A965" s="109">
        <v>238.08</v>
      </c>
      <c r="B965" s="109">
        <v>249.02500000000001</v>
      </c>
      <c r="C965" s="109">
        <v>235.14</v>
      </c>
      <c r="D965" s="109">
        <v>248.22</v>
      </c>
      <c r="E965" s="109">
        <v>182764</v>
      </c>
      <c r="F965" s="109" t="s">
        <v>1490</v>
      </c>
      <c r="G965" s="5">
        <f t="shared" si="14"/>
        <v>-4.0850858109741317E-2</v>
      </c>
    </row>
    <row r="966" spans="1:7">
      <c r="A966" s="109">
        <v>247.58</v>
      </c>
      <c r="B966" s="109">
        <v>247.85</v>
      </c>
      <c r="C966" s="109">
        <v>239.60499999999999</v>
      </c>
      <c r="D966" s="109">
        <v>243</v>
      </c>
      <c r="E966" s="109">
        <v>127856</v>
      </c>
      <c r="F966" s="109" t="s">
        <v>1491</v>
      </c>
      <c r="G966" s="5">
        <f t="shared" si="14"/>
        <v>1.8847736625514422E-2</v>
      </c>
    </row>
    <row r="967" spans="1:7">
      <c r="A967" s="109">
        <v>243.51</v>
      </c>
      <c r="B967" s="109">
        <v>250.74</v>
      </c>
      <c r="C967" s="109">
        <v>243.32</v>
      </c>
      <c r="D967" s="109">
        <v>248.54</v>
      </c>
      <c r="E967" s="109">
        <v>188836</v>
      </c>
      <c r="F967" s="109" t="s">
        <v>1492</v>
      </c>
      <c r="G967" s="5">
        <f t="shared" si="14"/>
        <v>-2.0238191035648168E-2</v>
      </c>
    </row>
    <row r="968" spans="1:7">
      <c r="A968" s="109">
        <v>245.65</v>
      </c>
      <c r="B968" s="109">
        <v>248.9821</v>
      </c>
      <c r="C968" s="109">
        <v>243.14</v>
      </c>
      <c r="D968" s="109">
        <v>243.64</v>
      </c>
      <c r="E968" s="109">
        <v>257633</v>
      </c>
      <c r="F968" s="109" t="s">
        <v>1493</v>
      </c>
      <c r="G968" s="5">
        <f t="shared" si="14"/>
        <v>8.2498768675094425E-3</v>
      </c>
    </row>
    <row r="969" spans="1:7">
      <c r="A969" s="109">
        <v>245.89</v>
      </c>
      <c r="B969" s="109">
        <v>253.97</v>
      </c>
      <c r="C969" s="109">
        <v>245.5</v>
      </c>
      <c r="D969" s="109">
        <v>253.25</v>
      </c>
      <c r="E969" s="109">
        <v>129847</v>
      </c>
      <c r="F969" s="109" t="s">
        <v>1494</v>
      </c>
      <c r="G969" s="5">
        <f t="shared" si="14"/>
        <v>-2.9062191510365265E-2</v>
      </c>
    </row>
    <row r="970" spans="1:7">
      <c r="A970" s="109">
        <v>250.16</v>
      </c>
      <c r="B970" s="109">
        <v>260.14</v>
      </c>
      <c r="C970" s="109">
        <v>250</v>
      </c>
      <c r="D970" s="109">
        <v>256.91000000000003</v>
      </c>
      <c r="E970" s="109">
        <v>92857</v>
      </c>
      <c r="F970" s="109" t="s">
        <v>1495</v>
      </c>
      <c r="G970" s="5">
        <f t="shared" si="14"/>
        <v>-2.6273792378654126E-2</v>
      </c>
    </row>
    <row r="971" spans="1:7">
      <c r="A971" s="109">
        <v>259.98</v>
      </c>
      <c r="B971" s="109">
        <v>263.08999999999997</v>
      </c>
      <c r="C971" s="109">
        <v>253.93</v>
      </c>
      <c r="D971" s="109">
        <v>255.15</v>
      </c>
      <c r="E971" s="109">
        <v>92055</v>
      </c>
      <c r="F971" s="109" t="s">
        <v>1496</v>
      </c>
      <c r="G971" s="5">
        <f t="shared" si="14"/>
        <v>1.8930041152263488E-2</v>
      </c>
    </row>
    <row r="972" spans="1:7">
      <c r="A972" s="109">
        <v>256.61</v>
      </c>
      <c r="B972" s="109">
        <v>259.13</v>
      </c>
      <c r="C972" s="109">
        <v>251.565</v>
      </c>
      <c r="D972" s="109">
        <v>258.83</v>
      </c>
      <c r="E972" s="109">
        <v>100189</v>
      </c>
      <c r="F972" s="109" t="s">
        <v>1497</v>
      </c>
      <c r="G972" s="5">
        <f t="shared" si="14"/>
        <v>-8.5770583008151213E-3</v>
      </c>
    </row>
    <row r="973" spans="1:7">
      <c r="A973" s="109">
        <v>259.72000000000003</v>
      </c>
      <c r="B973" s="109">
        <v>263</v>
      </c>
      <c r="C973" s="109">
        <v>257.5</v>
      </c>
      <c r="D973" s="109">
        <v>260.56</v>
      </c>
      <c r="E973" s="109">
        <v>112092</v>
      </c>
      <c r="F973" s="109" t="s">
        <v>1498</v>
      </c>
      <c r="G973" s="5">
        <f t="shared" si="14"/>
        <v>-3.2238256063861215E-3</v>
      </c>
    </row>
    <row r="974" spans="1:7">
      <c r="A974" s="109">
        <v>262.02</v>
      </c>
      <c r="B974" s="109">
        <v>266.10000000000002</v>
      </c>
      <c r="C974" s="109">
        <v>260.25229999999999</v>
      </c>
      <c r="D974" s="109">
        <v>261.33999999999997</v>
      </c>
      <c r="E974" s="109">
        <v>144173</v>
      </c>
      <c r="F974" s="109" t="s">
        <v>1499</v>
      </c>
      <c r="G974" s="5">
        <f t="shared" si="14"/>
        <v>2.6019744394276678E-3</v>
      </c>
    </row>
    <row r="975" spans="1:7">
      <c r="A975" s="109">
        <v>260.17</v>
      </c>
      <c r="B975" s="109">
        <v>266.24</v>
      </c>
      <c r="C975" s="109">
        <v>255.37</v>
      </c>
      <c r="D975" s="109">
        <v>266.24</v>
      </c>
      <c r="E975" s="109">
        <v>123580</v>
      </c>
      <c r="F975" s="109" t="s">
        <v>1500</v>
      </c>
      <c r="G975" s="5">
        <f t="shared" si="14"/>
        <v>-2.2798978365384581E-2</v>
      </c>
    </row>
    <row r="976" spans="1:7">
      <c r="A976" s="109">
        <v>266.51</v>
      </c>
      <c r="B976" s="109">
        <v>272.38</v>
      </c>
      <c r="C976" s="109">
        <v>263.04000000000002</v>
      </c>
      <c r="D976" s="109">
        <v>266.89999999999998</v>
      </c>
      <c r="E976" s="109">
        <v>112425</v>
      </c>
      <c r="F976" s="109" t="s">
        <v>1501</v>
      </c>
      <c r="G976" s="5">
        <f t="shared" si="14"/>
        <v>-1.4612214312476057E-3</v>
      </c>
    </row>
    <row r="977" spans="1:7">
      <c r="A977" s="109">
        <v>265.42</v>
      </c>
      <c r="B977" s="109">
        <v>266.185</v>
      </c>
      <c r="C977" s="109">
        <v>256.77999999999997</v>
      </c>
      <c r="D977" s="109">
        <v>256.77999999999997</v>
      </c>
      <c r="E977" s="109">
        <v>105569</v>
      </c>
      <c r="F977" s="109" t="s">
        <v>1502</v>
      </c>
      <c r="G977" s="5">
        <f t="shared" si="14"/>
        <v>3.3647480333359514E-2</v>
      </c>
    </row>
    <row r="978" spans="1:7">
      <c r="A978" s="109">
        <v>257.47000000000003</v>
      </c>
      <c r="B978" s="109">
        <v>266.83</v>
      </c>
      <c r="C978" s="109">
        <v>256.74</v>
      </c>
      <c r="D978" s="109">
        <v>265.36</v>
      </c>
      <c r="E978" s="109">
        <v>123034</v>
      </c>
      <c r="F978" s="109" t="s">
        <v>1503</v>
      </c>
      <c r="G978" s="5">
        <f t="shared" si="14"/>
        <v>-2.9733192643955353E-2</v>
      </c>
    </row>
    <row r="979" spans="1:7">
      <c r="A979" s="109">
        <v>266.69</v>
      </c>
      <c r="B979" s="109">
        <v>266.91000000000003</v>
      </c>
      <c r="C979" s="109">
        <v>262.94009999999997</v>
      </c>
      <c r="D979" s="109">
        <v>265.83</v>
      </c>
      <c r="E979" s="109">
        <v>106722</v>
      </c>
      <c r="F979" s="109" t="s">
        <v>1504</v>
      </c>
      <c r="G979" s="5">
        <f t="shared" si="14"/>
        <v>3.2351502840162194E-3</v>
      </c>
    </row>
    <row r="980" spans="1:7">
      <c r="A980" s="109">
        <v>264.62</v>
      </c>
      <c r="B980" s="109">
        <v>268.70999999999998</v>
      </c>
      <c r="C980" s="109">
        <v>258.54500000000002</v>
      </c>
      <c r="D980" s="109">
        <v>267.64999999999998</v>
      </c>
      <c r="E980" s="109">
        <v>138280</v>
      </c>
      <c r="F980" s="109" t="s">
        <v>1505</v>
      </c>
      <c r="G980" s="5">
        <f t="shared" si="14"/>
        <v>-1.1320754716981019E-2</v>
      </c>
    </row>
    <row r="981" spans="1:7">
      <c r="A981" s="109">
        <v>269.64999999999998</v>
      </c>
      <c r="B981" s="109">
        <v>276.87</v>
      </c>
      <c r="C981" s="109">
        <v>268.36</v>
      </c>
      <c r="D981" s="109">
        <v>273.08</v>
      </c>
      <c r="E981" s="109">
        <v>119177</v>
      </c>
      <c r="F981" s="109" t="s">
        <v>1506</v>
      </c>
      <c r="G981" s="5">
        <f t="shared" si="14"/>
        <v>-1.2560421854401649E-2</v>
      </c>
    </row>
    <row r="982" spans="1:7">
      <c r="A982" s="109">
        <v>274.77999999999997</v>
      </c>
      <c r="B982" s="109">
        <v>278</v>
      </c>
      <c r="C982" s="109">
        <v>270.97500000000002</v>
      </c>
      <c r="D982" s="109">
        <v>273</v>
      </c>
      <c r="E982" s="109">
        <v>112903</v>
      </c>
      <c r="F982" s="109" t="s">
        <v>1507</v>
      </c>
      <c r="G982" s="5">
        <f t="shared" si="14"/>
        <v>6.5201465201463193E-3</v>
      </c>
    </row>
    <row r="983" spans="1:7">
      <c r="A983" s="109">
        <v>274.51</v>
      </c>
      <c r="B983" s="109">
        <v>284.98</v>
      </c>
      <c r="C983" s="109">
        <v>273.47000000000003</v>
      </c>
      <c r="D983" s="109">
        <v>284.37</v>
      </c>
      <c r="E983" s="109">
        <v>150820</v>
      </c>
      <c r="F983" s="109" t="s">
        <v>1508</v>
      </c>
      <c r="G983" s="5">
        <f t="shared" si="14"/>
        <v>-3.4673137110103114E-2</v>
      </c>
    </row>
    <row r="984" spans="1:7">
      <c r="A984" s="109">
        <v>285.24</v>
      </c>
      <c r="B984" s="109">
        <v>289.52499999999998</v>
      </c>
      <c r="C984" s="109">
        <v>281.37</v>
      </c>
      <c r="D984" s="109">
        <v>286.63</v>
      </c>
      <c r="E984" s="109">
        <v>229226</v>
      </c>
      <c r="F984" s="109" t="s">
        <v>1509</v>
      </c>
      <c r="G984" s="5">
        <f t="shared" si="14"/>
        <v>-4.8494574887485431E-3</v>
      </c>
    </row>
    <row r="985" spans="1:7">
      <c r="A985" s="109">
        <v>288</v>
      </c>
      <c r="B985" s="109">
        <v>289.81</v>
      </c>
      <c r="C985" s="109">
        <v>278</v>
      </c>
      <c r="D985" s="109">
        <v>278.54000000000002</v>
      </c>
      <c r="E985" s="109">
        <v>346626</v>
      </c>
      <c r="F985" s="109" t="s">
        <v>1510</v>
      </c>
      <c r="G985" s="5">
        <f t="shared" si="14"/>
        <v>3.396280606017088E-2</v>
      </c>
    </row>
    <row r="986" spans="1:7">
      <c r="A986" s="109">
        <v>277.33999999999997</v>
      </c>
      <c r="B986" s="109">
        <v>280.815</v>
      </c>
      <c r="C986" s="109">
        <v>272.68</v>
      </c>
      <c r="D986" s="109">
        <v>278.27</v>
      </c>
      <c r="E986" s="109">
        <v>158014</v>
      </c>
      <c r="F986" s="109" t="s">
        <v>1511</v>
      </c>
      <c r="G986" s="5">
        <f t="shared" si="14"/>
        <v>-3.3420778380709448E-3</v>
      </c>
    </row>
    <row r="987" spans="1:7">
      <c r="A987" s="109">
        <v>279.48</v>
      </c>
      <c r="B987" s="109">
        <v>281.79000000000002</v>
      </c>
      <c r="C987" s="109">
        <v>276.16000000000003</v>
      </c>
      <c r="D987" s="109">
        <v>281.79000000000002</v>
      </c>
      <c r="E987" s="109">
        <v>139495</v>
      </c>
      <c r="F987" s="109" t="s">
        <v>1512</v>
      </c>
      <c r="G987" s="5">
        <f t="shared" si="14"/>
        <v>-8.1975939529437269E-3</v>
      </c>
    </row>
    <row r="988" spans="1:7">
      <c r="A988" s="109">
        <v>279.54000000000002</v>
      </c>
      <c r="B988" s="109">
        <v>280.66000000000003</v>
      </c>
      <c r="C988" s="109">
        <v>274.77</v>
      </c>
      <c r="D988" s="109">
        <v>278.06</v>
      </c>
      <c r="E988" s="109">
        <v>135396</v>
      </c>
      <c r="F988" s="109" t="s">
        <v>1513</v>
      </c>
      <c r="G988" s="5">
        <f t="shared" si="14"/>
        <v>5.3225922462778463E-3</v>
      </c>
    </row>
    <row r="989" spans="1:7">
      <c r="A989" s="109">
        <v>276.55</v>
      </c>
      <c r="B989" s="109">
        <v>279.505</v>
      </c>
      <c r="C989" s="109">
        <v>273.32499999999999</v>
      </c>
      <c r="D989" s="109">
        <v>277.04000000000002</v>
      </c>
      <c r="E989" s="109">
        <v>149772</v>
      </c>
      <c r="F989" s="109" t="s">
        <v>1514</v>
      </c>
      <c r="G989" s="5">
        <f t="shared" si="14"/>
        <v>-1.7686976609876393E-3</v>
      </c>
    </row>
    <row r="990" spans="1:7">
      <c r="A990" s="109">
        <v>277.91000000000003</v>
      </c>
      <c r="B990" s="109">
        <v>278.37</v>
      </c>
      <c r="C990" s="109">
        <v>272.13</v>
      </c>
      <c r="D990" s="109">
        <v>272.13</v>
      </c>
      <c r="E990" s="109">
        <v>68572</v>
      </c>
      <c r="F990" s="109" t="s">
        <v>1515</v>
      </c>
      <c r="G990" s="5">
        <f t="shared" si="14"/>
        <v>2.1239848601771305E-2</v>
      </c>
    </row>
    <row r="991" spans="1:7">
      <c r="A991" s="109">
        <v>271.41000000000003</v>
      </c>
      <c r="B991" s="109">
        <v>275.33999999999997</v>
      </c>
      <c r="C991" s="109">
        <v>267.24</v>
      </c>
      <c r="D991" s="109">
        <v>275.33999999999997</v>
      </c>
      <c r="E991" s="109">
        <v>69796</v>
      </c>
      <c r="F991" s="109" t="s">
        <v>1516</v>
      </c>
      <c r="G991" s="5">
        <f t="shared" si="14"/>
        <v>-1.4273262148616128E-2</v>
      </c>
    </row>
    <row r="992" spans="1:7">
      <c r="A992" s="109">
        <v>275.54000000000002</v>
      </c>
      <c r="B992" s="109">
        <v>280.24</v>
      </c>
      <c r="C992" s="109">
        <v>275.08</v>
      </c>
      <c r="D992" s="109">
        <v>277.58</v>
      </c>
      <c r="E992" s="109">
        <v>131029</v>
      </c>
      <c r="F992" s="109" t="s">
        <v>1517</v>
      </c>
      <c r="G992" s="5">
        <f t="shared" si="14"/>
        <v>-7.3492326536492847E-3</v>
      </c>
    </row>
    <row r="993" spans="1:7">
      <c r="A993" s="109">
        <v>278.19</v>
      </c>
      <c r="B993" s="109">
        <v>284.14499999999998</v>
      </c>
      <c r="C993" s="109">
        <v>277.83999999999997</v>
      </c>
      <c r="D993" s="109">
        <v>280.08999999999997</v>
      </c>
      <c r="E993" s="109">
        <v>97849</v>
      </c>
      <c r="F993" s="109" t="s">
        <v>1518</v>
      </c>
      <c r="G993" s="5">
        <f t="shared" si="14"/>
        <v>-6.78353386411501E-3</v>
      </c>
    </row>
    <row r="994" spans="1:7">
      <c r="A994" s="109">
        <v>279</v>
      </c>
      <c r="B994" s="109">
        <v>282.68</v>
      </c>
      <c r="C994" s="109">
        <v>277.29500000000002</v>
      </c>
      <c r="D994" s="109">
        <v>280.3</v>
      </c>
      <c r="E994" s="109">
        <v>57314</v>
      </c>
      <c r="F994" s="109" t="s">
        <v>1519</v>
      </c>
      <c r="G994" s="5">
        <f t="shared" si="14"/>
        <v>-4.6378879771673542E-3</v>
      </c>
    </row>
    <row r="995" spans="1:7">
      <c r="A995" s="109">
        <v>278.5</v>
      </c>
      <c r="B995" s="109">
        <v>278.70999999999998</v>
      </c>
      <c r="C995" s="109">
        <v>271.99</v>
      </c>
      <c r="D995" s="109">
        <v>272.16000000000003</v>
      </c>
      <c r="E995" s="109">
        <v>72618</v>
      </c>
      <c r="F995" s="109" t="s">
        <v>1520</v>
      </c>
      <c r="G995" s="5">
        <f t="shared" si="14"/>
        <v>2.3295120517342616E-2</v>
      </c>
    </row>
    <row r="996" spans="1:7">
      <c r="A996" s="109">
        <v>273.77999999999997</v>
      </c>
      <c r="B996" s="109">
        <v>276.30279999999999</v>
      </c>
      <c r="C996" s="109">
        <v>270.81</v>
      </c>
      <c r="D996" s="109">
        <v>275.02</v>
      </c>
      <c r="E996" s="109">
        <v>103626</v>
      </c>
      <c r="F996" s="109" t="s">
        <v>1521</v>
      </c>
      <c r="G996" s="5">
        <f t="shared" si="14"/>
        <v>-4.5087629990546718E-3</v>
      </c>
    </row>
    <row r="997" spans="1:7">
      <c r="A997" s="109">
        <v>272.33</v>
      </c>
      <c r="B997" s="109">
        <v>275.48</v>
      </c>
      <c r="C997" s="109">
        <v>266.33999999999997</v>
      </c>
      <c r="D997" s="109">
        <v>268.04000000000002</v>
      </c>
      <c r="E997" s="109">
        <v>101876</v>
      </c>
      <c r="F997" s="109" t="s">
        <v>1522</v>
      </c>
      <c r="G997" s="5">
        <f t="shared" si="14"/>
        <v>1.6005073869571618E-2</v>
      </c>
    </row>
    <row r="998" spans="1:7">
      <c r="A998" s="109">
        <v>265.75</v>
      </c>
      <c r="B998" s="109">
        <v>268.59500000000003</v>
      </c>
      <c r="C998" s="109">
        <v>264.33100000000002</v>
      </c>
      <c r="D998" s="109">
        <v>266.45999999999998</v>
      </c>
      <c r="E998" s="109">
        <v>79567</v>
      </c>
      <c r="F998" s="109" t="s">
        <v>1523</v>
      </c>
      <c r="G998" s="5">
        <f t="shared" si="14"/>
        <v>-2.664565037904354E-3</v>
      </c>
    </row>
    <row r="999" spans="1:7">
      <c r="A999" s="109">
        <v>267.75</v>
      </c>
      <c r="B999" s="109">
        <v>271.22000000000003</v>
      </c>
      <c r="C999" s="109">
        <v>265.93</v>
      </c>
      <c r="D999" s="109">
        <v>271.22000000000003</v>
      </c>
      <c r="E999" s="109">
        <v>117639</v>
      </c>
      <c r="F999" s="109" t="s">
        <v>1524</v>
      </c>
      <c r="G999" s="5">
        <f t="shared" si="14"/>
        <v>-1.2794041737335116E-2</v>
      </c>
    </row>
    <row r="1000" spans="1:7">
      <c r="A1000" s="109">
        <v>269.70999999999998</v>
      </c>
      <c r="B1000" s="109">
        <v>272.68</v>
      </c>
      <c r="C1000" s="109">
        <v>265.39</v>
      </c>
      <c r="D1000" s="109">
        <v>266.43</v>
      </c>
      <c r="E1000" s="109">
        <v>86800</v>
      </c>
      <c r="F1000" s="109" t="s">
        <v>1525</v>
      </c>
      <c r="G1000" s="5">
        <f t="shared" si="14"/>
        <v>1.231092594677774E-2</v>
      </c>
    </row>
    <row r="1001" spans="1:7">
      <c r="A1001" s="109">
        <v>263.45</v>
      </c>
      <c r="B1001" s="109">
        <v>265.07</v>
      </c>
      <c r="C1001" s="109">
        <v>260.89</v>
      </c>
      <c r="D1001" s="109">
        <v>260.89</v>
      </c>
      <c r="E1001" s="109">
        <v>70345</v>
      </c>
      <c r="F1001" s="109" t="s">
        <v>1526</v>
      </c>
      <c r="G1001" s="5">
        <f t="shared" si="14"/>
        <v>9.8125646824331891E-3</v>
      </c>
    </row>
    <row r="1002" spans="1:7">
      <c r="A1002" s="109">
        <v>261.62</v>
      </c>
      <c r="B1002" s="109">
        <v>264.62</v>
      </c>
      <c r="C1002" s="109">
        <v>255</v>
      </c>
      <c r="D1002" s="109">
        <v>255</v>
      </c>
      <c r="E1002" s="109">
        <v>99603</v>
      </c>
      <c r="F1002" s="109" t="s">
        <v>1527</v>
      </c>
      <c r="G1002" s="5">
        <f t="shared" si="14"/>
        <v>2.5960784313725505E-2</v>
      </c>
    </row>
    <row r="1003" spans="1:7">
      <c r="A1003" s="109">
        <v>253</v>
      </c>
      <c r="B1003" s="109">
        <v>256.95999999999998</v>
      </c>
      <c r="C1003" s="109">
        <v>252.77</v>
      </c>
      <c r="D1003" s="109">
        <v>252.83</v>
      </c>
      <c r="E1003" s="109">
        <v>87790</v>
      </c>
      <c r="F1003" s="109" t="s">
        <v>1528</v>
      </c>
      <c r="G1003" s="5">
        <f t="shared" si="14"/>
        <v>6.7238856148388315E-4</v>
      </c>
    </row>
    <row r="1004" spans="1:7">
      <c r="A1004" s="109">
        <v>255.22</v>
      </c>
      <c r="B1004" s="109">
        <v>263.67</v>
      </c>
      <c r="C1004" s="109">
        <v>254.3</v>
      </c>
      <c r="D1004" s="109">
        <v>263.67</v>
      </c>
      <c r="E1004" s="109">
        <v>72098</v>
      </c>
      <c r="F1004" s="109" t="s">
        <v>1529</v>
      </c>
      <c r="G1004" s="5">
        <f t="shared" si="14"/>
        <v>-3.2047635301702959E-2</v>
      </c>
    </row>
    <row r="1005" spans="1:7">
      <c r="A1005" s="109">
        <v>261.60000000000002</v>
      </c>
      <c r="B1005" s="109">
        <v>270.88</v>
      </c>
      <c r="C1005" s="109">
        <v>260.17</v>
      </c>
      <c r="D1005" s="109">
        <v>260.17</v>
      </c>
      <c r="E1005" s="109">
        <v>123132</v>
      </c>
      <c r="F1005" s="109" t="s">
        <v>1530</v>
      </c>
      <c r="G1005" s="5">
        <f t="shared" si="14"/>
        <v>5.496406195948822E-3</v>
      </c>
    </row>
    <row r="1006" spans="1:7">
      <c r="A1006" s="109">
        <v>259.44</v>
      </c>
      <c r="B1006" s="109">
        <v>259.61</v>
      </c>
      <c r="C1006" s="109">
        <v>252.01499999999999</v>
      </c>
      <c r="D1006" s="109">
        <v>255.85</v>
      </c>
      <c r="E1006" s="109">
        <v>145285</v>
      </c>
      <c r="F1006" s="109" t="s">
        <v>1531</v>
      </c>
      <c r="G1006" s="5">
        <f t="shared" si="14"/>
        <v>1.4031659175298028E-2</v>
      </c>
    </row>
    <row r="1007" spans="1:7">
      <c r="A1007" s="109">
        <v>258.69</v>
      </c>
      <c r="B1007" s="109">
        <v>263.61</v>
      </c>
      <c r="C1007" s="109">
        <v>256</v>
      </c>
      <c r="D1007" s="109">
        <v>256</v>
      </c>
      <c r="E1007" s="109">
        <v>196741</v>
      </c>
      <c r="F1007" s="109" t="s">
        <v>1532</v>
      </c>
      <c r="G1007" s="5">
        <f t="shared" si="14"/>
        <v>1.0507812499999991E-2</v>
      </c>
    </row>
    <row r="1008" spans="1:7">
      <c r="A1008" s="109">
        <v>255.42</v>
      </c>
      <c r="B1008" s="109">
        <v>262.89999999999998</v>
      </c>
      <c r="C1008" s="109">
        <v>252.6515</v>
      </c>
      <c r="D1008" s="109">
        <v>262.57</v>
      </c>
      <c r="E1008" s="109">
        <v>198325</v>
      </c>
      <c r="F1008" s="109" t="s">
        <v>1533</v>
      </c>
      <c r="G1008" s="5">
        <f t="shared" si="14"/>
        <v>-2.7230833682446609E-2</v>
      </c>
    </row>
    <row r="1009" spans="1:7">
      <c r="A1009" s="109">
        <v>263.08999999999997</v>
      </c>
      <c r="B1009" s="109">
        <v>269.58</v>
      </c>
      <c r="C1009" s="109">
        <v>258.52999999999997</v>
      </c>
      <c r="D1009" s="109">
        <v>267.06</v>
      </c>
      <c r="E1009" s="109">
        <v>144704</v>
      </c>
      <c r="F1009" s="109" t="s">
        <v>1534</v>
      </c>
      <c r="G1009" s="5">
        <f t="shared" si="14"/>
        <v>-1.4865573279412958E-2</v>
      </c>
    </row>
    <row r="1010" spans="1:7">
      <c r="A1010" s="109">
        <v>266.5</v>
      </c>
      <c r="B1010" s="109">
        <v>271.77999999999997</v>
      </c>
      <c r="C1010" s="109">
        <v>265.29000000000002</v>
      </c>
      <c r="D1010" s="109">
        <v>267.70999999999998</v>
      </c>
      <c r="E1010" s="109">
        <v>165230</v>
      </c>
      <c r="F1010" s="109" t="s">
        <v>1535</v>
      </c>
      <c r="G1010" s="5">
        <f t="shared" ref="G1010:G1073" si="15">A1010/D1010-1</f>
        <v>-4.5198162190429603E-3</v>
      </c>
    </row>
    <row r="1011" spans="1:7">
      <c r="A1011" s="109">
        <v>265.10000000000002</v>
      </c>
      <c r="B1011" s="109">
        <v>269.96499999999997</v>
      </c>
      <c r="C1011" s="109">
        <v>262.48</v>
      </c>
      <c r="D1011" s="109">
        <v>262.99</v>
      </c>
      <c r="E1011" s="109">
        <v>122689</v>
      </c>
      <c r="F1011" s="109" t="s">
        <v>1536</v>
      </c>
      <c r="G1011" s="5">
        <f t="shared" si="15"/>
        <v>8.0231187497623591E-3</v>
      </c>
    </row>
    <row r="1012" spans="1:7">
      <c r="A1012" s="109">
        <v>262.02</v>
      </c>
      <c r="B1012" s="109">
        <v>268.07</v>
      </c>
      <c r="C1012" s="109">
        <v>257.35000000000002</v>
      </c>
      <c r="D1012" s="109">
        <v>268.07</v>
      </c>
      <c r="E1012" s="109">
        <v>181402</v>
      </c>
      <c r="F1012" s="109" t="s">
        <v>1537</v>
      </c>
      <c r="G1012" s="5">
        <f t="shared" si="15"/>
        <v>-2.2568732047599571E-2</v>
      </c>
    </row>
    <row r="1013" spans="1:7">
      <c r="A1013" s="109">
        <v>271.22000000000003</v>
      </c>
      <c r="B1013" s="109">
        <v>278.64999999999998</v>
      </c>
      <c r="C1013" s="109">
        <v>269.20999999999998</v>
      </c>
      <c r="D1013" s="109">
        <v>278.64999999999998</v>
      </c>
      <c r="E1013" s="109">
        <v>86752</v>
      </c>
      <c r="F1013" s="109" t="s">
        <v>1538</v>
      </c>
      <c r="G1013" s="5">
        <f t="shared" si="15"/>
        <v>-2.6664274179077574E-2</v>
      </c>
    </row>
    <row r="1014" spans="1:7">
      <c r="A1014" s="109">
        <v>278.73</v>
      </c>
      <c r="B1014" s="109">
        <v>285.75</v>
      </c>
      <c r="C1014" s="109">
        <v>278.60000000000002</v>
      </c>
      <c r="D1014" s="109">
        <v>282.13</v>
      </c>
      <c r="E1014" s="109">
        <v>82689</v>
      </c>
      <c r="F1014" s="109" t="s">
        <v>1539</v>
      </c>
      <c r="G1014" s="5">
        <f t="shared" si="15"/>
        <v>-1.205118207918332E-2</v>
      </c>
    </row>
    <row r="1015" spans="1:7">
      <c r="A1015" s="109">
        <v>282.58999999999997</v>
      </c>
      <c r="B1015" s="109">
        <v>286</v>
      </c>
      <c r="C1015" s="109">
        <v>281.495</v>
      </c>
      <c r="D1015" s="109">
        <v>285.89999999999998</v>
      </c>
      <c r="E1015" s="109">
        <v>85636</v>
      </c>
      <c r="F1015" s="109" t="s">
        <v>1540</v>
      </c>
      <c r="G1015" s="5">
        <f t="shared" si="15"/>
        <v>-1.1577474641483065E-2</v>
      </c>
    </row>
    <row r="1016" spans="1:7">
      <c r="A1016" s="109">
        <v>286.48</v>
      </c>
      <c r="B1016" s="109">
        <v>292.83999999999997</v>
      </c>
      <c r="C1016" s="109">
        <v>282.88</v>
      </c>
      <c r="D1016" s="109">
        <v>285</v>
      </c>
      <c r="E1016" s="109">
        <v>229325</v>
      </c>
      <c r="F1016" s="109" t="s">
        <v>1541</v>
      </c>
      <c r="G1016" s="5">
        <f t="shared" si="15"/>
        <v>5.1929824561403048E-3</v>
      </c>
    </row>
    <row r="1017" spans="1:7">
      <c r="A1017" s="109">
        <v>283.25</v>
      </c>
      <c r="B1017" s="109">
        <v>284.57</v>
      </c>
      <c r="C1017" s="109">
        <v>276.26</v>
      </c>
      <c r="D1017" s="109">
        <v>279.79000000000002</v>
      </c>
      <c r="E1017" s="109">
        <v>234597</v>
      </c>
      <c r="F1017" s="109" t="s">
        <v>1542</v>
      </c>
      <c r="G1017" s="5">
        <f t="shared" si="15"/>
        <v>1.236641767039548E-2</v>
      </c>
    </row>
    <row r="1018" spans="1:7">
      <c r="A1018" s="109">
        <v>277.68</v>
      </c>
      <c r="B1018" s="109">
        <v>283.89</v>
      </c>
      <c r="C1018" s="109">
        <v>274.06</v>
      </c>
      <c r="D1018" s="109">
        <v>281.95999999999998</v>
      </c>
      <c r="E1018" s="109">
        <v>159646</v>
      </c>
      <c r="F1018" s="109" t="s">
        <v>1543</v>
      </c>
      <c r="G1018" s="5">
        <f t="shared" si="15"/>
        <v>-1.5179458079160102E-2</v>
      </c>
    </row>
    <row r="1019" spans="1:7">
      <c r="A1019" s="109">
        <v>284.73</v>
      </c>
      <c r="B1019" s="109">
        <v>292.83499999999998</v>
      </c>
      <c r="C1019" s="109">
        <v>281.85000000000002</v>
      </c>
      <c r="D1019" s="109">
        <v>292.08</v>
      </c>
      <c r="E1019" s="109">
        <v>306574</v>
      </c>
      <c r="F1019" s="109" t="s">
        <v>1544</v>
      </c>
      <c r="G1019" s="5">
        <f t="shared" si="15"/>
        <v>-2.5164338537386866E-2</v>
      </c>
    </row>
    <row r="1020" spans="1:7">
      <c r="A1020" s="109">
        <v>291.24</v>
      </c>
      <c r="B1020" s="109">
        <v>293.19499999999999</v>
      </c>
      <c r="C1020" s="109">
        <v>285.64</v>
      </c>
      <c r="D1020" s="109">
        <v>292.19</v>
      </c>
      <c r="E1020" s="109">
        <v>129760</v>
      </c>
      <c r="F1020" s="109" t="s">
        <v>1545</v>
      </c>
      <c r="G1020" s="5">
        <f t="shared" si="15"/>
        <v>-3.2513090797083866E-3</v>
      </c>
    </row>
    <row r="1021" spans="1:7">
      <c r="A1021" s="109">
        <v>288.88</v>
      </c>
      <c r="B1021" s="109">
        <v>290.99</v>
      </c>
      <c r="C1021" s="109">
        <v>282.45</v>
      </c>
      <c r="D1021" s="109">
        <v>286.8</v>
      </c>
      <c r="E1021" s="109">
        <v>206159</v>
      </c>
      <c r="F1021" s="109" t="s">
        <v>1546</v>
      </c>
      <c r="G1021" s="5">
        <f t="shared" si="15"/>
        <v>7.2524407252441137E-3</v>
      </c>
    </row>
    <row r="1022" spans="1:7">
      <c r="A1022" s="109">
        <v>287.77999999999997</v>
      </c>
      <c r="B1022" s="109">
        <v>289.14</v>
      </c>
      <c r="C1022" s="109">
        <v>277.7</v>
      </c>
      <c r="D1022" s="109">
        <v>281.08</v>
      </c>
      <c r="E1022" s="109">
        <v>183232</v>
      </c>
      <c r="F1022" s="109" t="s">
        <v>1547</v>
      </c>
      <c r="G1022" s="5">
        <f t="shared" si="15"/>
        <v>2.3836630140885218E-2</v>
      </c>
    </row>
    <row r="1023" spans="1:7">
      <c r="A1023" s="109">
        <v>279.31</v>
      </c>
      <c r="B1023" s="109">
        <v>284.45</v>
      </c>
      <c r="C1023" s="109">
        <v>275.72000000000003</v>
      </c>
      <c r="D1023" s="109">
        <v>283.20999999999998</v>
      </c>
      <c r="E1023" s="109">
        <v>266303</v>
      </c>
      <c r="F1023" s="109" t="s">
        <v>1548</v>
      </c>
      <c r="G1023" s="5">
        <f t="shared" si="15"/>
        <v>-1.3770700187140217E-2</v>
      </c>
    </row>
    <row r="1024" spans="1:7">
      <c r="A1024" s="109">
        <v>282.23</v>
      </c>
      <c r="B1024" s="109">
        <v>283.86</v>
      </c>
      <c r="C1024" s="109">
        <v>271.89999999999998</v>
      </c>
      <c r="D1024" s="109">
        <v>273.87</v>
      </c>
      <c r="E1024" s="109">
        <v>215844</v>
      </c>
      <c r="F1024" s="109" t="s">
        <v>1549</v>
      </c>
      <c r="G1024" s="5">
        <f t="shared" si="15"/>
        <v>3.0525431774199419E-2</v>
      </c>
    </row>
    <row r="1025" spans="1:7">
      <c r="A1025" s="109">
        <v>271.48</v>
      </c>
      <c r="B1025" s="109">
        <v>275.51499999999999</v>
      </c>
      <c r="C1025" s="109">
        <v>271.04000000000002</v>
      </c>
      <c r="D1025" s="109">
        <v>271.99</v>
      </c>
      <c r="E1025" s="109">
        <v>193029</v>
      </c>
      <c r="F1025" s="109" t="s">
        <v>1550</v>
      </c>
      <c r="G1025" s="5">
        <f t="shared" si="15"/>
        <v>-1.8750689363579154E-3</v>
      </c>
    </row>
    <row r="1026" spans="1:7">
      <c r="A1026" s="109">
        <v>271.92</v>
      </c>
      <c r="B1026" s="109">
        <v>274.69600000000003</v>
      </c>
      <c r="C1026" s="109">
        <v>270.31</v>
      </c>
      <c r="D1026" s="109">
        <v>271.83999999999997</v>
      </c>
      <c r="E1026" s="109">
        <v>235859</v>
      </c>
      <c r="F1026" s="109" t="s">
        <v>1551</v>
      </c>
      <c r="G1026" s="5">
        <f t="shared" si="15"/>
        <v>2.9429075927023263E-4</v>
      </c>
    </row>
    <row r="1027" spans="1:7">
      <c r="A1027" s="109">
        <v>270.17</v>
      </c>
      <c r="B1027" s="109">
        <v>277</v>
      </c>
      <c r="C1027" s="109">
        <v>268.13010000000003</v>
      </c>
      <c r="D1027" s="109">
        <v>277</v>
      </c>
      <c r="E1027" s="109">
        <v>134053</v>
      </c>
      <c r="F1027" s="109" t="s">
        <v>1552</v>
      </c>
      <c r="G1027" s="5">
        <f t="shared" si="15"/>
        <v>-2.4657039711191264E-2</v>
      </c>
    </row>
    <row r="1028" spans="1:7">
      <c r="A1028" s="109">
        <v>277.5</v>
      </c>
      <c r="B1028" s="109">
        <v>278.55</v>
      </c>
      <c r="C1028" s="109">
        <v>274.69</v>
      </c>
      <c r="D1028" s="109">
        <v>276.93</v>
      </c>
      <c r="E1028" s="109">
        <v>197964</v>
      </c>
      <c r="F1028" s="109" t="s">
        <v>1553</v>
      </c>
      <c r="G1028" s="5">
        <f t="shared" si="15"/>
        <v>2.0582818762864274E-3</v>
      </c>
    </row>
    <row r="1029" spans="1:7">
      <c r="A1029" s="109">
        <v>277.66000000000003</v>
      </c>
      <c r="B1029" s="109">
        <v>280.69</v>
      </c>
      <c r="C1029" s="109">
        <v>270.72000000000003</v>
      </c>
      <c r="D1029" s="109">
        <v>272</v>
      </c>
      <c r="E1029" s="109">
        <v>127731</v>
      </c>
      <c r="F1029" s="109" t="s">
        <v>1554</v>
      </c>
      <c r="G1029" s="5">
        <f t="shared" si="15"/>
        <v>2.0808823529411935E-2</v>
      </c>
    </row>
    <row r="1030" spans="1:7">
      <c r="A1030" s="109">
        <v>271.99</v>
      </c>
      <c r="B1030" s="109">
        <v>277.84710000000001</v>
      </c>
      <c r="C1030" s="109">
        <v>269.45</v>
      </c>
      <c r="D1030" s="109">
        <v>274.74</v>
      </c>
      <c r="E1030" s="109">
        <v>301679</v>
      </c>
      <c r="F1030" s="109" t="s">
        <v>1555</v>
      </c>
      <c r="G1030" s="5">
        <f t="shared" si="15"/>
        <v>-1.0009463492756776E-2</v>
      </c>
    </row>
    <row r="1031" spans="1:7">
      <c r="A1031" s="109">
        <v>274.95</v>
      </c>
      <c r="B1031" s="109">
        <v>277.41500000000002</v>
      </c>
      <c r="C1031" s="109">
        <v>268.13</v>
      </c>
      <c r="D1031" s="109">
        <v>271.20999999999998</v>
      </c>
      <c r="E1031" s="109">
        <v>162948</v>
      </c>
      <c r="F1031" s="109" t="s">
        <v>1556</v>
      </c>
      <c r="G1031" s="5">
        <f t="shared" si="15"/>
        <v>1.3790051989233554E-2</v>
      </c>
    </row>
    <row r="1032" spans="1:7">
      <c r="A1032" s="109">
        <v>270.52999999999997</v>
      </c>
      <c r="B1032" s="109">
        <v>275.85000000000002</v>
      </c>
      <c r="C1032" s="109">
        <v>270.43</v>
      </c>
      <c r="D1032" s="109">
        <v>273.12</v>
      </c>
      <c r="E1032" s="109">
        <v>167865</v>
      </c>
      <c r="F1032" s="109" t="s">
        <v>1557</v>
      </c>
      <c r="G1032" s="5">
        <f t="shared" si="15"/>
        <v>-9.4830111306386522E-3</v>
      </c>
    </row>
    <row r="1033" spans="1:7">
      <c r="A1033" s="109">
        <v>271.81</v>
      </c>
      <c r="B1033" s="109">
        <v>275.95</v>
      </c>
      <c r="C1033" s="109">
        <v>270.2</v>
      </c>
      <c r="D1033" s="109">
        <v>270.2</v>
      </c>
      <c r="E1033" s="109">
        <v>127941</v>
      </c>
      <c r="F1033" s="109" t="s">
        <v>1558</v>
      </c>
      <c r="G1033" s="5">
        <f t="shared" si="15"/>
        <v>5.9585492227980374E-3</v>
      </c>
    </row>
    <row r="1034" spans="1:7">
      <c r="A1034" s="109">
        <v>269.38</v>
      </c>
      <c r="B1034" s="109">
        <v>272.27499999999998</v>
      </c>
      <c r="C1034" s="109">
        <v>268.10000000000002</v>
      </c>
      <c r="D1034" s="109">
        <v>269.02999999999997</v>
      </c>
      <c r="E1034" s="109">
        <v>71291</v>
      </c>
      <c r="F1034" s="109" t="s">
        <v>1559</v>
      </c>
      <c r="G1034" s="5">
        <f t="shared" si="15"/>
        <v>1.3009701520276806E-3</v>
      </c>
    </row>
    <row r="1035" spans="1:7">
      <c r="A1035" s="109">
        <v>269.38</v>
      </c>
      <c r="B1035" s="109">
        <v>279.20999999999998</v>
      </c>
      <c r="C1035" s="109">
        <v>268.86</v>
      </c>
      <c r="D1035" s="109">
        <v>275.82</v>
      </c>
      <c r="E1035" s="109">
        <v>132196</v>
      </c>
      <c r="F1035" s="109" t="s">
        <v>1560</v>
      </c>
      <c r="G1035" s="5">
        <f t="shared" si="15"/>
        <v>-2.334856065549995E-2</v>
      </c>
    </row>
    <row r="1036" spans="1:7">
      <c r="A1036" s="109">
        <v>275.77</v>
      </c>
      <c r="B1036" s="109">
        <v>276</v>
      </c>
      <c r="C1036" s="109">
        <v>264.94</v>
      </c>
      <c r="D1036" s="109">
        <v>265</v>
      </c>
      <c r="E1036" s="109">
        <v>157657</v>
      </c>
      <c r="F1036" s="109" t="s">
        <v>1561</v>
      </c>
      <c r="G1036" s="5">
        <f t="shared" si="15"/>
        <v>4.0641509433962275E-2</v>
      </c>
    </row>
    <row r="1037" spans="1:7">
      <c r="A1037" s="109">
        <v>264.43</v>
      </c>
      <c r="B1037" s="109">
        <v>269.89</v>
      </c>
      <c r="C1037" s="109">
        <v>259.74</v>
      </c>
      <c r="D1037" s="109">
        <v>261.89999999999998</v>
      </c>
      <c r="E1037" s="109">
        <v>351420</v>
      </c>
      <c r="F1037" s="109" t="s">
        <v>1562</v>
      </c>
      <c r="G1037" s="5">
        <f t="shared" si="15"/>
        <v>9.6601756395571226E-3</v>
      </c>
    </row>
    <row r="1038" spans="1:7">
      <c r="A1038" s="109">
        <v>261.3</v>
      </c>
      <c r="B1038" s="109">
        <v>262.64</v>
      </c>
      <c r="C1038" s="109">
        <v>254.09</v>
      </c>
      <c r="D1038" s="109">
        <v>255.27</v>
      </c>
      <c r="E1038" s="109">
        <v>122309</v>
      </c>
      <c r="F1038" s="109" t="s">
        <v>1563</v>
      </c>
      <c r="G1038" s="5">
        <f t="shared" si="15"/>
        <v>2.3622047244094446E-2</v>
      </c>
    </row>
    <row r="1039" spans="1:7">
      <c r="A1039" s="109">
        <v>255.26</v>
      </c>
      <c r="B1039" s="109">
        <v>256.5</v>
      </c>
      <c r="C1039" s="109">
        <v>253.48</v>
      </c>
      <c r="D1039" s="109">
        <v>255.48</v>
      </c>
      <c r="E1039" s="109">
        <v>74651</v>
      </c>
      <c r="F1039" s="109" t="s">
        <v>1564</v>
      </c>
      <c r="G1039" s="5">
        <f t="shared" si="15"/>
        <v>-8.6112415844685763E-4</v>
      </c>
    </row>
    <row r="1040" spans="1:7">
      <c r="A1040" s="109">
        <v>254.42</v>
      </c>
      <c r="B1040" s="109">
        <v>256.64999999999998</v>
      </c>
      <c r="C1040" s="109">
        <v>251.52</v>
      </c>
      <c r="D1040" s="109">
        <v>254.53</v>
      </c>
      <c r="E1040" s="109">
        <v>84563</v>
      </c>
      <c r="F1040" s="109" t="s">
        <v>1565</v>
      </c>
      <c r="G1040" s="5">
        <f t="shared" si="15"/>
        <v>-4.3216909598087216E-4</v>
      </c>
    </row>
    <row r="1041" spans="1:7">
      <c r="A1041" s="109">
        <v>254.23</v>
      </c>
      <c r="B1041" s="109">
        <v>254.88900000000001</v>
      </c>
      <c r="C1041" s="109">
        <v>247.75</v>
      </c>
      <c r="D1041" s="109">
        <v>250.91</v>
      </c>
      <c r="E1041" s="109">
        <v>136789</v>
      </c>
      <c r="F1041" s="109" t="s">
        <v>1566</v>
      </c>
      <c r="G1041" s="5">
        <f t="shared" si="15"/>
        <v>1.3231836116535778E-2</v>
      </c>
    </row>
    <row r="1042" spans="1:7">
      <c r="A1042" s="109">
        <v>252.83</v>
      </c>
      <c r="B1042" s="109">
        <v>256.33</v>
      </c>
      <c r="C1042" s="109">
        <v>249.69</v>
      </c>
      <c r="D1042" s="109">
        <v>255.6</v>
      </c>
      <c r="E1042" s="109">
        <v>132197</v>
      </c>
      <c r="F1042" s="109" t="s">
        <v>1567</v>
      </c>
      <c r="G1042" s="5">
        <f t="shared" si="15"/>
        <v>-1.0837245696400544E-2</v>
      </c>
    </row>
    <row r="1043" spans="1:7">
      <c r="A1043" s="109">
        <v>257.66000000000003</v>
      </c>
      <c r="B1043" s="109">
        <v>262.36</v>
      </c>
      <c r="C1043" s="109">
        <v>257.08999999999997</v>
      </c>
      <c r="D1043" s="109">
        <v>260.14</v>
      </c>
      <c r="E1043" s="109">
        <v>102902</v>
      </c>
      <c r="F1043" s="109" t="s">
        <v>1568</v>
      </c>
      <c r="G1043" s="5">
        <f t="shared" si="15"/>
        <v>-9.5333282078878812E-3</v>
      </c>
    </row>
    <row r="1044" spans="1:7">
      <c r="A1044" s="109">
        <v>261.83</v>
      </c>
      <c r="B1044" s="109">
        <v>262.62</v>
      </c>
      <c r="C1044" s="109">
        <v>252.76009999999999</v>
      </c>
      <c r="D1044" s="109">
        <v>253.92</v>
      </c>
      <c r="E1044" s="109">
        <v>133470</v>
      </c>
      <c r="F1044" s="109" t="s">
        <v>1569</v>
      </c>
      <c r="G1044" s="5">
        <f t="shared" si="15"/>
        <v>3.1151543793320746E-2</v>
      </c>
    </row>
    <row r="1045" spans="1:7">
      <c r="A1045" s="109">
        <v>255.96</v>
      </c>
      <c r="B1045" s="109">
        <v>260.13</v>
      </c>
      <c r="C1045" s="109">
        <v>243.79</v>
      </c>
      <c r="D1045" s="109">
        <v>257.27999999999997</v>
      </c>
      <c r="E1045" s="109">
        <v>325082</v>
      </c>
      <c r="F1045" s="109" t="s">
        <v>1570</v>
      </c>
      <c r="G1045" s="5">
        <f t="shared" si="15"/>
        <v>-5.1305970149252422E-3</v>
      </c>
    </row>
    <row r="1046" spans="1:7">
      <c r="A1046" s="109">
        <v>258.39</v>
      </c>
      <c r="B1046" s="109">
        <v>284.99</v>
      </c>
      <c r="C1046" s="109">
        <v>257.97000000000003</v>
      </c>
      <c r="D1046" s="109">
        <v>272</v>
      </c>
      <c r="E1046" s="109">
        <v>587266</v>
      </c>
      <c r="F1046" s="109" t="s">
        <v>1571</v>
      </c>
      <c r="G1046" s="5">
        <f t="shared" si="15"/>
        <v>-5.0036764705882364E-2</v>
      </c>
    </row>
    <row r="1047" spans="1:7">
      <c r="A1047" s="109">
        <v>263.64999999999998</v>
      </c>
      <c r="B1047" s="109">
        <v>265.62</v>
      </c>
      <c r="C1047" s="109">
        <v>257.91000000000003</v>
      </c>
      <c r="D1047" s="109">
        <v>265.33999999999997</v>
      </c>
      <c r="E1047" s="109">
        <v>227170</v>
      </c>
      <c r="F1047" s="109" t="s">
        <v>1572</v>
      </c>
      <c r="G1047" s="5">
        <f t="shared" si="15"/>
        <v>-6.3691867038516703E-3</v>
      </c>
    </row>
    <row r="1048" spans="1:7">
      <c r="A1048" s="109">
        <v>263.94</v>
      </c>
      <c r="B1048" s="109">
        <v>270.54000000000002</v>
      </c>
      <c r="C1048" s="109">
        <v>260.27999999999997</v>
      </c>
      <c r="D1048" s="109">
        <v>270.54000000000002</v>
      </c>
      <c r="E1048" s="109">
        <v>106964</v>
      </c>
      <c r="F1048" s="109" t="s">
        <v>1573</v>
      </c>
      <c r="G1048" s="5">
        <f t="shared" si="15"/>
        <v>-2.4395653138168161E-2</v>
      </c>
    </row>
    <row r="1049" spans="1:7">
      <c r="A1049" s="109">
        <v>270.14999999999998</v>
      </c>
      <c r="B1049" s="109">
        <v>271.22500000000002</v>
      </c>
      <c r="C1049" s="109">
        <v>260.13</v>
      </c>
      <c r="D1049" s="109">
        <v>262.8</v>
      </c>
      <c r="E1049" s="109">
        <v>126694</v>
      </c>
      <c r="F1049" s="109" t="s">
        <v>1574</v>
      </c>
      <c r="G1049" s="5">
        <f t="shared" si="15"/>
        <v>2.7968036529680163E-2</v>
      </c>
    </row>
    <row r="1050" spans="1:7">
      <c r="A1050" s="109">
        <v>262.88</v>
      </c>
      <c r="B1050" s="109">
        <v>268.54000000000002</v>
      </c>
      <c r="C1050" s="109">
        <v>261.61</v>
      </c>
      <c r="D1050" s="109">
        <v>261.61</v>
      </c>
      <c r="E1050" s="109">
        <v>149937</v>
      </c>
      <c r="F1050" s="109" t="s">
        <v>1575</v>
      </c>
      <c r="G1050" s="5">
        <f t="shared" si="15"/>
        <v>4.8545544895071124E-3</v>
      </c>
    </row>
    <row r="1051" spans="1:7">
      <c r="A1051" s="109">
        <v>262.17</v>
      </c>
      <c r="B1051" s="109">
        <v>266.04000000000002</v>
      </c>
      <c r="C1051" s="109">
        <v>260.68</v>
      </c>
      <c r="D1051" s="109">
        <v>265.47000000000003</v>
      </c>
      <c r="E1051" s="109">
        <v>174386</v>
      </c>
      <c r="F1051" s="109" t="s">
        <v>1576</v>
      </c>
      <c r="G1051" s="5">
        <f t="shared" si="15"/>
        <v>-1.2430783139337764E-2</v>
      </c>
    </row>
    <row r="1052" spans="1:7">
      <c r="A1052" s="109">
        <v>265.29000000000002</v>
      </c>
      <c r="B1052" s="109">
        <v>270.04500000000002</v>
      </c>
      <c r="C1052" s="109">
        <v>265.08999999999997</v>
      </c>
      <c r="D1052" s="109">
        <v>268.22000000000003</v>
      </c>
      <c r="E1052" s="109">
        <v>177080</v>
      </c>
      <c r="F1052" s="109" t="s">
        <v>1577</v>
      </c>
      <c r="G1052" s="5">
        <f t="shared" si="15"/>
        <v>-1.0923868466184539E-2</v>
      </c>
    </row>
    <row r="1053" spans="1:7">
      <c r="A1053" s="109">
        <v>266.23</v>
      </c>
      <c r="B1053" s="109">
        <v>270</v>
      </c>
      <c r="C1053" s="109">
        <v>262.45999999999998</v>
      </c>
      <c r="D1053" s="109">
        <v>262.45999999999998</v>
      </c>
      <c r="E1053" s="109">
        <v>168738</v>
      </c>
      <c r="F1053" s="109" t="s">
        <v>1578</v>
      </c>
      <c r="G1053" s="5">
        <f t="shared" si="15"/>
        <v>1.4364093576164194E-2</v>
      </c>
    </row>
    <row r="1054" spans="1:7">
      <c r="A1054" s="109">
        <v>264.43</v>
      </c>
      <c r="B1054" s="109">
        <v>270.26</v>
      </c>
      <c r="C1054" s="109">
        <v>261.86</v>
      </c>
      <c r="D1054" s="109">
        <v>262.51</v>
      </c>
      <c r="E1054" s="109">
        <v>160963</v>
      </c>
      <c r="F1054" s="109" t="s">
        <v>1579</v>
      </c>
      <c r="G1054" s="5">
        <f t="shared" si="15"/>
        <v>7.3140070854444961E-3</v>
      </c>
    </row>
    <row r="1055" spans="1:7">
      <c r="A1055" s="109">
        <v>262.10000000000002</v>
      </c>
      <c r="B1055" s="109">
        <v>265</v>
      </c>
      <c r="C1055" s="109">
        <v>260.0915</v>
      </c>
      <c r="D1055" s="109">
        <v>263.31</v>
      </c>
      <c r="E1055" s="109">
        <v>392322</v>
      </c>
      <c r="F1055" s="109" t="s">
        <v>1580</v>
      </c>
      <c r="G1055" s="5">
        <f t="shared" si="15"/>
        <v>-4.5953438912308409E-3</v>
      </c>
    </row>
    <row r="1056" spans="1:7">
      <c r="A1056" s="109">
        <v>261.23</v>
      </c>
      <c r="B1056" s="109">
        <v>261.64499999999998</v>
      </c>
      <c r="C1056" s="109">
        <v>256.08999999999997</v>
      </c>
      <c r="D1056" s="109">
        <v>261.56</v>
      </c>
      <c r="E1056" s="109">
        <v>119581</v>
      </c>
      <c r="F1056" s="109" t="s">
        <v>1581</v>
      </c>
      <c r="G1056" s="5">
        <f t="shared" si="15"/>
        <v>-1.2616608044042632E-3</v>
      </c>
    </row>
    <row r="1057" spans="1:7">
      <c r="A1057" s="109">
        <v>262.08999999999997</v>
      </c>
      <c r="B1057" s="109">
        <v>265.24</v>
      </c>
      <c r="C1057" s="109">
        <v>261.52999999999997</v>
      </c>
      <c r="D1057" s="109">
        <v>265.24</v>
      </c>
      <c r="E1057" s="109">
        <v>86837</v>
      </c>
      <c r="F1057" s="109" t="s">
        <v>1582</v>
      </c>
      <c r="G1057" s="5">
        <f t="shared" si="15"/>
        <v>-1.1876036796863332E-2</v>
      </c>
    </row>
    <row r="1058" spans="1:7">
      <c r="A1058" s="109">
        <v>266.39999999999998</v>
      </c>
      <c r="B1058" s="109">
        <v>271.43</v>
      </c>
      <c r="C1058" s="109">
        <v>265.24</v>
      </c>
      <c r="D1058" s="109">
        <v>268.48</v>
      </c>
      <c r="E1058" s="109">
        <v>154140</v>
      </c>
      <c r="F1058" s="109" t="s">
        <v>1583</v>
      </c>
      <c r="G1058" s="5">
        <f t="shared" si="15"/>
        <v>-7.7473182359953929E-3</v>
      </c>
    </row>
    <row r="1059" spans="1:7">
      <c r="A1059" s="109">
        <v>267.14</v>
      </c>
      <c r="B1059" s="109">
        <v>268.06</v>
      </c>
      <c r="C1059" s="109">
        <v>263.64999999999998</v>
      </c>
      <c r="D1059" s="109">
        <v>265.64999999999998</v>
      </c>
      <c r="E1059" s="109">
        <v>130128</v>
      </c>
      <c r="F1059" s="109" t="s">
        <v>1584</v>
      </c>
      <c r="G1059" s="5">
        <f t="shared" si="15"/>
        <v>5.6088838697534449E-3</v>
      </c>
    </row>
    <row r="1060" spans="1:7">
      <c r="A1060" s="109">
        <v>264.66000000000003</v>
      </c>
      <c r="B1060" s="109">
        <v>265.77999999999997</v>
      </c>
      <c r="C1060" s="109">
        <v>259.01</v>
      </c>
      <c r="D1060" s="109">
        <v>263.87</v>
      </c>
      <c r="E1060" s="109">
        <v>241253</v>
      </c>
      <c r="F1060" s="109" t="s">
        <v>1585</v>
      </c>
      <c r="G1060" s="5">
        <f t="shared" si="15"/>
        <v>2.9938985106303662E-3</v>
      </c>
    </row>
    <row r="1061" spans="1:7">
      <c r="A1061" s="109">
        <v>261.95</v>
      </c>
      <c r="B1061" s="109">
        <v>264.25</v>
      </c>
      <c r="C1061" s="109">
        <v>257.37</v>
      </c>
      <c r="D1061" s="109">
        <v>257.37</v>
      </c>
      <c r="E1061" s="109">
        <v>154677</v>
      </c>
      <c r="F1061" s="109" t="s">
        <v>1586</v>
      </c>
      <c r="G1061" s="5">
        <f t="shared" si="15"/>
        <v>1.7795391848311803E-2</v>
      </c>
    </row>
    <row r="1062" spans="1:7">
      <c r="A1062" s="109">
        <v>256.38</v>
      </c>
      <c r="B1062" s="109">
        <v>258.37</v>
      </c>
      <c r="C1062" s="109">
        <v>250.28</v>
      </c>
      <c r="D1062" s="109">
        <v>250.6</v>
      </c>
      <c r="E1062" s="109">
        <v>118853</v>
      </c>
      <c r="F1062" s="109" t="s">
        <v>1587</v>
      </c>
      <c r="G1062" s="5">
        <f t="shared" si="15"/>
        <v>2.3064644852354377E-2</v>
      </c>
    </row>
    <row r="1063" spans="1:7">
      <c r="A1063" s="109">
        <v>254.22</v>
      </c>
      <c r="B1063" s="109">
        <v>255.55</v>
      </c>
      <c r="C1063" s="109">
        <v>248.51</v>
      </c>
      <c r="D1063" s="109">
        <v>252.5</v>
      </c>
      <c r="E1063" s="109">
        <v>119418</v>
      </c>
      <c r="F1063" s="109" t="s">
        <v>1588</v>
      </c>
      <c r="G1063" s="5">
        <f t="shared" si="15"/>
        <v>6.8118811881188179E-3</v>
      </c>
    </row>
    <row r="1064" spans="1:7">
      <c r="A1064" s="109">
        <v>250.72</v>
      </c>
      <c r="B1064" s="109">
        <v>253.94</v>
      </c>
      <c r="C1064" s="109">
        <v>249.02</v>
      </c>
      <c r="D1064" s="109">
        <v>250.94</v>
      </c>
      <c r="E1064" s="109">
        <v>127400</v>
      </c>
      <c r="F1064" s="109" t="s">
        <v>1589</v>
      </c>
      <c r="G1064" s="5">
        <f t="shared" si="15"/>
        <v>-8.7670359448477342E-4</v>
      </c>
    </row>
    <row r="1065" spans="1:7">
      <c r="A1065" s="109">
        <v>253.83</v>
      </c>
      <c r="B1065" s="109">
        <v>268.005</v>
      </c>
      <c r="C1065" s="109">
        <v>252.37</v>
      </c>
      <c r="D1065" s="109">
        <v>266.45</v>
      </c>
      <c r="E1065" s="109">
        <v>148744</v>
      </c>
      <c r="F1065" s="109" t="s">
        <v>1590</v>
      </c>
      <c r="G1065" s="5">
        <f t="shared" si="15"/>
        <v>-4.7363482829799075E-2</v>
      </c>
    </row>
    <row r="1066" spans="1:7">
      <c r="A1066" s="109">
        <v>264.11</v>
      </c>
      <c r="B1066" s="109">
        <v>271.02999999999997</v>
      </c>
      <c r="C1066" s="109">
        <v>263.61</v>
      </c>
      <c r="D1066" s="109">
        <v>270</v>
      </c>
      <c r="E1066" s="109">
        <v>91697</v>
      </c>
      <c r="F1066" s="109" t="s">
        <v>1591</v>
      </c>
      <c r="G1066" s="5">
        <f t="shared" si="15"/>
        <v>-2.1814814814814731E-2</v>
      </c>
    </row>
    <row r="1067" spans="1:7">
      <c r="A1067" s="109">
        <v>271.60000000000002</v>
      </c>
      <c r="B1067" s="109">
        <v>275.08999999999997</v>
      </c>
      <c r="C1067" s="109">
        <v>270.02999999999997</v>
      </c>
      <c r="D1067" s="109">
        <v>275.08999999999997</v>
      </c>
      <c r="E1067" s="109">
        <v>84024</v>
      </c>
      <c r="F1067" s="109" t="s">
        <v>1592</v>
      </c>
      <c r="G1067" s="5">
        <f t="shared" si="15"/>
        <v>-1.268675706132516E-2</v>
      </c>
    </row>
    <row r="1068" spans="1:7">
      <c r="A1068" s="109">
        <v>276.55</v>
      </c>
      <c r="B1068" s="109">
        <v>277.60000000000002</v>
      </c>
      <c r="C1068" s="109">
        <v>271.64</v>
      </c>
      <c r="D1068" s="109">
        <v>273.77999999999997</v>
      </c>
      <c r="E1068" s="109">
        <v>78071</v>
      </c>
      <c r="F1068" s="109" t="s">
        <v>1593</v>
      </c>
      <c r="G1068" s="5">
        <f t="shared" si="15"/>
        <v>1.0117612681715293E-2</v>
      </c>
    </row>
    <row r="1069" spans="1:7">
      <c r="A1069" s="109">
        <v>273.2</v>
      </c>
      <c r="B1069" s="109">
        <v>275.44</v>
      </c>
      <c r="C1069" s="109">
        <v>268.19</v>
      </c>
      <c r="D1069" s="109">
        <v>270.31</v>
      </c>
      <c r="E1069" s="109">
        <v>131483</v>
      </c>
      <c r="F1069" s="109" t="s">
        <v>1594</v>
      </c>
      <c r="G1069" s="5">
        <f t="shared" si="15"/>
        <v>1.0691428360031008E-2</v>
      </c>
    </row>
    <row r="1070" spans="1:7">
      <c r="A1070" s="109">
        <v>275.37</v>
      </c>
      <c r="B1070" s="109">
        <v>279.35000000000002</v>
      </c>
      <c r="C1070" s="109">
        <v>273.45999999999998</v>
      </c>
      <c r="D1070" s="109">
        <v>278.2</v>
      </c>
      <c r="E1070" s="109">
        <v>80150</v>
      </c>
      <c r="F1070" s="109" t="s">
        <v>1595</v>
      </c>
      <c r="G1070" s="5">
        <f t="shared" si="15"/>
        <v>-1.017253774263116E-2</v>
      </c>
    </row>
    <row r="1071" spans="1:7">
      <c r="A1071" s="109">
        <v>275.89999999999998</v>
      </c>
      <c r="B1071" s="109">
        <v>276.77</v>
      </c>
      <c r="C1071" s="109">
        <v>269.79500000000002</v>
      </c>
      <c r="D1071" s="109">
        <v>275.29000000000002</v>
      </c>
      <c r="E1071" s="109">
        <v>125112</v>
      </c>
      <c r="F1071" s="109" t="s">
        <v>1596</v>
      </c>
      <c r="G1071" s="5">
        <f t="shared" si="15"/>
        <v>2.2158451087941344E-3</v>
      </c>
    </row>
    <row r="1072" spans="1:7">
      <c r="A1072" s="109">
        <v>273.52999999999997</v>
      </c>
      <c r="B1072" s="109">
        <v>277.25</v>
      </c>
      <c r="C1072" s="109">
        <v>271.5</v>
      </c>
      <c r="D1072" s="109">
        <v>277.25</v>
      </c>
      <c r="E1072" s="109">
        <v>81353</v>
      </c>
      <c r="F1072" s="109" t="s">
        <v>1597</v>
      </c>
      <c r="G1072" s="5">
        <f t="shared" si="15"/>
        <v>-1.3417493237150691E-2</v>
      </c>
    </row>
    <row r="1073" spans="1:7">
      <c r="A1073" s="109">
        <v>276.3</v>
      </c>
      <c r="B1073" s="109">
        <v>277.88499999999999</v>
      </c>
      <c r="C1073" s="109">
        <v>271.17340000000002</v>
      </c>
      <c r="D1073" s="109">
        <v>273.33</v>
      </c>
      <c r="E1073" s="109">
        <v>138263</v>
      </c>
      <c r="F1073" s="109" t="s">
        <v>1598</v>
      </c>
      <c r="G1073" s="5">
        <f t="shared" si="15"/>
        <v>1.0865986170563113E-2</v>
      </c>
    </row>
    <row r="1074" spans="1:7">
      <c r="A1074" s="109">
        <v>274.06</v>
      </c>
      <c r="B1074" s="109">
        <v>279.60000000000002</v>
      </c>
      <c r="C1074" s="109">
        <v>272.95</v>
      </c>
      <c r="D1074" s="109">
        <v>275.62</v>
      </c>
      <c r="E1074" s="109">
        <v>130015</v>
      </c>
      <c r="F1074" s="109" t="s">
        <v>1599</v>
      </c>
      <c r="G1074" s="5">
        <f t="shared" ref="G1074:G1116" si="16">A1074/D1074-1</f>
        <v>-5.6599666207096666E-3</v>
      </c>
    </row>
    <row r="1075" spans="1:7">
      <c r="A1075" s="109">
        <v>276.88</v>
      </c>
      <c r="B1075" s="109">
        <v>282.72000000000003</v>
      </c>
      <c r="C1075" s="109">
        <v>275.67</v>
      </c>
      <c r="D1075" s="109">
        <v>280.45999999999998</v>
      </c>
      <c r="E1075" s="109">
        <v>133532</v>
      </c>
      <c r="F1075" s="109" t="s">
        <v>1600</v>
      </c>
      <c r="G1075" s="5">
        <f t="shared" si="16"/>
        <v>-1.2764743635455988E-2</v>
      </c>
    </row>
    <row r="1076" spans="1:7">
      <c r="A1076" s="109">
        <v>280.92</v>
      </c>
      <c r="B1076" s="109">
        <v>288.10000000000002</v>
      </c>
      <c r="C1076" s="109">
        <v>279.64</v>
      </c>
      <c r="D1076" s="109">
        <v>285.14999999999998</v>
      </c>
      <c r="E1076" s="109">
        <v>101781</v>
      </c>
      <c r="F1076" s="109" t="s">
        <v>1601</v>
      </c>
      <c r="G1076" s="5">
        <f t="shared" si="16"/>
        <v>-1.4834297738032465E-2</v>
      </c>
    </row>
    <row r="1077" spans="1:7">
      <c r="A1077" s="109">
        <v>283.27999999999997</v>
      </c>
      <c r="B1077" s="109">
        <v>283.8</v>
      </c>
      <c r="C1077" s="109">
        <v>278.33</v>
      </c>
      <c r="D1077" s="109">
        <v>278.62</v>
      </c>
      <c r="E1077" s="109">
        <v>365423</v>
      </c>
      <c r="F1077" s="109" t="s">
        <v>1602</v>
      </c>
      <c r="G1077" s="5">
        <f t="shared" si="16"/>
        <v>1.6725288923982395E-2</v>
      </c>
    </row>
    <row r="1078" spans="1:7">
      <c r="A1078" s="109">
        <v>279.42</v>
      </c>
      <c r="B1078" s="109">
        <v>285.86500000000001</v>
      </c>
      <c r="C1078" s="109">
        <v>279.13</v>
      </c>
      <c r="D1078" s="109">
        <v>284.47000000000003</v>
      </c>
      <c r="E1078" s="109">
        <v>136689</v>
      </c>
      <c r="F1078" s="109" t="s">
        <v>1603</v>
      </c>
      <c r="G1078" s="5">
        <f t="shared" si="16"/>
        <v>-1.7752311315780256E-2</v>
      </c>
    </row>
    <row r="1079" spans="1:7">
      <c r="A1079" s="109">
        <v>279.91000000000003</v>
      </c>
      <c r="B1079" s="109">
        <v>281.05</v>
      </c>
      <c r="C1079" s="109">
        <v>272.58999999999997</v>
      </c>
      <c r="D1079" s="109">
        <v>272.58999999999997</v>
      </c>
      <c r="E1079" s="109">
        <v>159400</v>
      </c>
      <c r="F1079" s="109" t="s">
        <v>1604</v>
      </c>
      <c r="G1079" s="5">
        <f t="shared" si="16"/>
        <v>2.6853516269855993E-2</v>
      </c>
    </row>
    <row r="1080" spans="1:7">
      <c r="A1080" s="109">
        <v>273.7</v>
      </c>
      <c r="B1080" s="109">
        <v>275.38499999999999</v>
      </c>
      <c r="C1080" s="109">
        <v>271.81</v>
      </c>
      <c r="D1080" s="109">
        <v>275.11</v>
      </c>
      <c r="E1080" s="109">
        <v>125441</v>
      </c>
      <c r="F1080" s="109" t="s">
        <v>1605</v>
      </c>
      <c r="G1080" s="5">
        <f t="shared" si="16"/>
        <v>-5.1252226382175747E-3</v>
      </c>
    </row>
    <row r="1081" spans="1:7">
      <c r="A1081" s="109">
        <v>273.69</v>
      </c>
      <c r="B1081" s="109">
        <v>274.02</v>
      </c>
      <c r="C1081" s="109">
        <v>263.24</v>
      </c>
      <c r="D1081" s="109">
        <v>268.73</v>
      </c>
      <c r="E1081" s="109">
        <v>412945</v>
      </c>
      <c r="F1081" s="109" t="s">
        <v>1606</v>
      </c>
      <c r="G1081" s="5">
        <f t="shared" si="16"/>
        <v>1.8457187511628614E-2</v>
      </c>
    </row>
    <row r="1082" spans="1:7">
      <c r="A1082" s="109">
        <v>267.57</v>
      </c>
      <c r="B1082" s="109">
        <v>275.33999999999997</v>
      </c>
      <c r="C1082" s="109">
        <v>265.55</v>
      </c>
      <c r="D1082" s="109">
        <v>274.18</v>
      </c>
      <c r="E1082" s="109">
        <v>502192</v>
      </c>
      <c r="F1082" s="109" t="s">
        <v>1607</v>
      </c>
      <c r="G1082" s="5">
        <f t="shared" si="16"/>
        <v>-2.4108250054708624E-2</v>
      </c>
    </row>
    <row r="1083" spans="1:7">
      <c r="A1083" s="109">
        <v>273.26</v>
      </c>
      <c r="B1083" s="109">
        <v>278.27</v>
      </c>
      <c r="C1083" s="109">
        <v>271.77499999999998</v>
      </c>
      <c r="D1083" s="109">
        <v>275</v>
      </c>
      <c r="E1083" s="109">
        <v>236668</v>
      </c>
      <c r="F1083" s="109" t="s">
        <v>1608</v>
      </c>
      <c r="G1083" s="5">
        <f t="shared" si="16"/>
        <v>-6.3272727272727369E-3</v>
      </c>
    </row>
    <row r="1084" spans="1:7">
      <c r="A1084" s="109">
        <v>275.37</v>
      </c>
      <c r="B1084" s="109">
        <v>278.51</v>
      </c>
      <c r="C1084" s="109">
        <v>271.27</v>
      </c>
      <c r="D1084" s="109">
        <v>277.98</v>
      </c>
      <c r="E1084" s="109">
        <v>137776</v>
      </c>
      <c r="F1084" s="109" t="s">
        <v>1609</v>
      </c>
      <c r="G1084" s="5">
        <f t="shared" si="16"/>
        <v>-9.3891646881071322E-3</v>
      </c>
    </row>
    <row r="1085" spans="1:7">
      <c r="A1085" s="109">
        <v>276.27</v>
      </c>
      <c r="B1085" s="109">
        <v>279.27999999999997</v>
      </c>
      <c r="C1085" s="109">
        <v>272.55</v>
      </c>
      <c r="D1085" s="109">
        <v>277.19</v>
      </c>
      <c r="E1085" s="109">
        <v>226218</v>
      </c>
      <c r="F1085" s="109" t="s">
        <v>1610</v>
      </c>
      <c r="G1085" s="5">
        <f t="shared" si="16"/>
        <v>-3.3190230527797571E-3</v>
      </c>
    </row>
    <row r="1086" spans="1:7">
      <c r="A1086" s="109">
        <v>277.42</v>
      </c>
      <c r="B1086" s="109">
        <v>291.10000000000002</v>
      </c>
      <c r="C1086" s="109">
        <v>276.87</v>
      </c>
      <c r="D1086" s="109">
        <v>291.10000000000002</v>
      </c>
      <c r="E1086" s="109">
        <v>370695</v>
      </c>
      <c r="F1086" s="109" t="s">
        <v>1611</v>
      </c>
      <c r="G1086" s="5">
        <f t="shared" si="16"/>
        <v>-4.6994160082445946E-2</v>
      </c>
    </row>
    <row r="1087" spans="1:7">
      <c r="A1087" s="109">
        <v>289.77999999999997</v>
      </c>
      <c r="B1087" s="109">
        <v>290</v>
      </c>
      <c r="C1087" s="109">
        <v>285.23</v>
      </c>
      <c r="D1087" s="109">
        <v>286.47000000000003</v>
      </c>
      <c r="E1087" s="109">
        <v>119909</v>
      </c>
      <c r="F1087" s="109" t="s">
        <v>1612</v>
      </c>
      <c r="G1087" s="5">
        <f t="shared" si="16"/>
        <v>1.1554438510140486E-2</v>
      </c>
    </row>
    <row r="1088" spans="1:7">
      <c r="A1088" s="109">
        <v>286.20999999999998</v>
      </c>
      <c r="B1088" s="109">
        <v>286.85000000000002</v>
      </c>
      <c r="C1088" s="109">
        <v>280.75</v>
      </c>
      <c r="D1088" s="109">
        <v>283.77</v>
      </c>
      <c r="E1088" s="109">
        <v>128477</v>
      </c>
      <c r="F1088" s="109" t="s">
        <v>1613</v>
      </c>
      <c r="G1088" s="5">
        <f t="shared" si="16"/>
        <v>8.5985128801493449E-3</v>
      </c>
    </row>
    <row r="1089" spans="1:7">
      <c r="A1089" s="109">
        <v>283.77999999999997</v>
      </c>
      <c r="B1089" s="109">
        <v>287.95999999999998</v>
      </c>
      <c r="C1089" s="109">
        <v>282.76</v>
      </c>
      <c r="D1089" s="109">
        <v>287.95999999999998</v>
      </c>
      <c r="E1089" s="109">
        <v>204944</v>
      </c>
      <c r="F1089" s="109" t="s">
        <v>1614</v>
      </c>
      <c r="G1089" s="5">
        <f t="shared" si="16"/>
        <v>-1.4515904986803774E-2</v>
      </c>
    </row>
    <row r="1090" spans="1:7">
      <c r="A1090" s="109">
        <v>285.42</v>
      </c>
      <c r="B1090" s="109">
        <v>286.04000000000002</v>
      </c>
      <c r="C1090" s="109">
        <v>278.53500000000003</v>
      </c>
      <c r="D1090" s="109">
        <v>281.81</v>
      </c>
      <c r="E1090" s="109">
        <v>209848</v>
      </c>
      <c r="F1090" s="109" t="s">
        <v>1615</v>
      </c>
      <c r="G1090" s="5">
        <f t="shared" si="16"/>
        <v>1.281004932401264E-2</v>
      </c>
    </row>
    <row r="1091" spans="1:7">
      <c r="A1091" s="109">
        <v>278.12</v>
      </c>
      <c r="B1091" s="109">
        <v>279.41000000000003</v>
      </c>
      <c r="C1091" s="109">
        <v>267</v>
      </c>
      <c r="D1091" s="109">
        <v>268.25</v>
      </c>
      <c r="E1091" s="109">
        <v>190277</v>
      </c>
      <c r="F1091" s="109" t="s">
        <v>1616</v>
      </c>
      <c r="G1091" s="5">
        <f t="shared" si="16"/>
        <v>3.6794035414725146E-2</v>
      </c>
    </row>
    <row r="1092" spans="1:7">
      <c r="A1092" s="109">
        <v>269.64999999999998</v>
      </c>
      <c r="B1092" s="109">
        <v>272.52</v>
      </c>
      <c r="C1092" s="109">
        <v>262.95999999999998</v>
      </c>
      <c r="D1092" s="109">
        <v>269.64</v>
      </c>
      <c r="E1092" s="109">
        <v>281610</v>
      </c>
      <c r="F1092" s="109" t="s">
        <v>1617</v>
      </c>
      <c r="G1092" s="5">
        <f t="shared" si="16"/>
        <v>3.7086485684678649E-5</v>
      </c>
    </row>
    <row r="1093" spans="1:7">
      <c r="A1093" s="109">
        <v>256.66000000000003</v>
      </c>
      <c r="B1093" s="109">
        <v>257.26</v>
      </c>
      <c r="C1093" s="109">
        <v>248.64</v>
      </c>
      <c r="D1093" s="109">
        <v>251.5</v>
      </c>
      <c r="E1093" s="109">
        <v>300658</v>
      </c>
      <c r="F1093" s="109" t="s">
        <v>1618</v>
      </c>
      <c r="G1093" s="5">
        <f t="shared" si="16"/>
        <v>2.0516898608349932E-2</v>
      </c>
    </row>
    <row r="1094" spans="1:7">
      <c r="A1094" s="109">
        <v>253.56</v>
      </c>
      <c r="B1094" s="109">
        <v>254.44</v>
      </c>
      <c r="C1094" s="109">
        <v>247.41</v>
      </c>
      <c r="D1094" s="109">
        <v>249.62</v>
      </c>
      <c r="E1094" s="109">
        <v>288116</v>
      </c>
      <c r="F1094" s="109" t="s">
        <v>1619</v>
      </c>
      <c r="G1094" s="5">
        <f t="shared" si="16"/>
        <v>1.5783991667334352E-2</v>
      </c>
    </row>
    <row r="1095" spans="1:7">
      <c r="A1095" s="109">
        <v>250.61</v>
      </c>
      <c r="B1095" s="109">
        <v>252.09</v>
      </c>
      <c r="C1095" s="109">
        <v>245.66</v>
      </c>
      <c r="D1095" s="109">
        <v>250.46</v>
      </c>
      <c r="E1095" s="109">
        <v>196669</v>
      </c>
      <c r="F1095" s="109" t="s">
        <v>1620</v>
      </c>
      <c r="G1095" s="5">
        <f t="shared" si="16"/>
        <v>5.988980276292466E-4</v>
      </c>
    </row>
    <row r="1096" spans="1:7">
      <c r="A1096" s="109">
        <v>249.11</v>
      </c>
      <c r="B1096" s="109">
        <v>254.79</v>
      </c>
      <c r="C1096" s="109">
        <v>247.9</v>
      </c>
      <c r="D1096" s="109">
        <v>251.7</v>
      </c>
      <c r="E1096" s="109">
        <v>361583</v>
      </c>
      <c r="F1096" s="109" t="s">
        <v>1621</v>
      </c>
      <c r="G1096" s="5">
        <f t="shared" si="16"/>
        <v>-1.0290027810885838E-2</v>
      </c>
    </row>
    <row r="1097" spans="1:7">
      <c r="A1097" s="109">
        <v>248.49</v>
      </c>
      <c r="B1097" s="109">
        <v>249.75</v>
      </c>
      <c r="C1097" s="109">
        <v>242.67</v>
      </c>
      <c r="D1097" s="109">
        <v>248.14</v>
      </c>
      <c r="E1097" s="109">
        <v>261086</v>
      </c>
      <c r="F1097" s="109" t="s">
        <v>1622</v>
      </c>
      <c r="G1097" s="5">
        <f t="shared" si="16"/>
        <v>1.4104940759249729E-3</v>
      </c>
    </row>
    <row r="1098" spans="1:7">
      <c r="A1098" s="109">
        <v>247.26</v>
      </c>
      <c r="B1098" s="109">
        <v>254.43</v>
      </c>
      <c r="C1098" s="109">
        <v>246.59</v>
      </c>
      <c r="D1098" s="109">
        <v>249.99</v>
      </c>
      <c r="E1098" s="109">
        <v>868736</v>
      </c>
      <c r="F1098" s="109" t="s">
        <v>1623</v>
      </c>
      <c r="G1098" s="5">
        <f t="shared" si="16"/>
        <v>-1.0920436817472789E-2</v>
      </c>
    </row>
    <row r="1099" spans="1:7">
      <c r="A1099" s="109">
        <v>250.05</v>
      </c>
      <c r="B1099" s="109">
        <v>251.8</v>
      </c>
      <c r="C1099" s="109">
        <v>246</v>
      </c>
      <c r="D1099" s="109">
        <v>247.87</v>
      </c>
      <c r="E1099" s="109">
        <v>793170</v>
      </c>
      <c r="F1099" s="109" t="s">
        <v>1624</v>
      </c>
      <c r="G1099" s="5">
        <f t="shared" si="16"/>
        <v>8.7949328276919481E-3</v>
      </c>
    </row>
    <row r="1100" spans="1:7">
      <c r="A1100" s="109">
        <v>246.83</v>
      </c>
      <c r="B1100" s="109">
        <v>256.54000000000002</v>
      </c>
      <c r="C1100" s="109">
        <v>245.79</v>
      </c>
      <c r="D1100" s="109">
        <v>256.43</v>
      </c>
      <c r="E1100" s="109">
        <v>241809</v>
      </c>
      <c r="F1100" s="109" t="s">
        <v>1625</v>
      </c>
      <c r="G1100" s="5">
        <f t="shared" si="16"/>
        <v>-3.7437117341964643E-2</v>
      </c>
    </row>
    <row r="1101" spans="1:7">
      <c r="A1101" s="109">
        <v>255.16</v>
      </c>
      <c r="B1101" s="109">
        <v>262.9683</v>
      </c>
      <c r="C1101" s="109">
        <v>252.42</v>
      </c>
      <c r="D1101" s="109">
        <v>254.49</v>
      </c>
      <c r="E1101" s="109">
        <v>323660</v>
      </c>
      <c r="F1101" s="109" t="s">
        <v>1626</v>
      </c>
      <c r="G1101" s="5">
        <f t="shared" si="16"/>
        <v>2.6327164132184944E-3</v>
      </c>
    </row>
    <row r="1102" spans="1:7">
      <c r="A1102" s="109">
        <v>252.16</v>
      </c>
      <c r="B1102" s="109">
        <v>254.57</v>
      </c>
      <c r="C1102" s="109">
        <v>245.7</v>
      </c>
      <c r="D1102" s="109">
        <v>246.12</v>
      </c>
      <c r="E1102" s="109">
        <v>181472</v>
      </c>
      <c r="F1102" s="109" t="s">
        <v>1627</v>
      </c>
      <c r="G1102" s="5">
        <f t="shared" si="16"/>
        <v>2.4540874370225785E-2</v>
      </c>
    </row>
    <row r="1103" spans="1:7">
      <c r="A1103" s="109">
        <v>245.63</v>
      </c>
      <c r="B1103" s="109">
        <v>245.84</v>
      </c>
      <c r="C1103" s="109">
        <v>238.33</v>
      </c>
      <c r="D1103" s="109">
        <v>242.74</v>
      </c>
      <c r="E1103" s="109">
        <v>229022</v>
      </c>
      <c r="F1103" s="109" t="s">
        <v>1628</v>
      </c>
      <c r="G1103" s="5">
        <f t="shared" si="16"/>
        <v>1.1905742770041972E-2</v>
      </c>
    </row>
    <row r="1104" spans="1:7">
      <c r="A1104" s="109">
        <v>250.06</v>
      </c>
      <c r="B1104" s="109">
        <v>252.28</v>
      </c>
      <c r="C1104" s="109">
        <v>235.2</v>
      </c>
      <c r="D1104" s="109">
        <v>235.73</v>
      </c>
      <c r="E1104" s="109">
        <v>424411</v>
      </c>
      <c r="F1104" s="109" t="s">
        <v>1629</v>
      </c>
      <c r="G1104" s="5">
        <f t="shared" si="16"/>
        <v>6.0789886734823773E-2</v>
      </c>
    </row>
    <row r="1105" spans="1:7">
      <c r="A1105" s="109">
        <v>235</v>
      </c>
      <c r="B1105" s="109">
        <v>243.54</v>
      </c>
      <c r="C1105" s="109">
        <v>232.29499999999999</v>
      </c>
      <c r="D1105" s="109">
        <v>240.33</v>
      </c>
      <c r="E1105" s="109">
        <v>314267</v>
      </c>
      <c r="F1105" s="109" t="s">
        <v>1630</v>
      </c>
      <c r="G1105" s="5">
        <f t="shared" si="16"/>
        <v>-2.2177838804976591E-2</v>
      </c>
    </row>
    <row r="1106" spans="1:7">
      <c r="A1106" s="109">
        <v>240.54</v>
      </c>
      <c r="B1106" s="109">
        <v>245</v>
      </c>
      <c r="C1106" s="109">
        <v>239.15</v>
      </c>
      <c r="D1106" s="109">
        <v>242.45</v>
      </c>
      <c r="E1106" s="109">
        <v>330058</v>
      </c>
      <c r="F1106" s="109" t="s">
        <v>1631</v>
      </c>
      <c r="G1106" s="5">
        <f t="shared" si="16"/>
        <v>-7.8779129717467811E-3</v>
      </c>
    </row>
    <row r="1107" spans="1:7">
      <c r="A1107" s="109">
        <v>240.8</v>
      </c>
      <c r="B1107" s="109">
        <v>253.155</v>
      </c>
      <c r="C1107" s="109">
        <v>239.28</v>
      </c>
      <c r="D1107" s="109">
        <v>250.65</v>
      </c>
      <c r="E1107" s="109">
        <v>347951</v>
      </c>
      <c r="F1107" s="109" t="s">
        <v>1632</v>
      </c>
      <c r="G1107" s="5">
        <f t="shared" si="16"/>
        <v>-3.9297825653301421E-2</v>
      </c>
    </row>
    <row r="1108" spans="1:7">
      <c r="A1108" s="109">
        <v>247.81</v>
      </c>
      <c r="B1108" s="109">
        <v>265.29000000000002</v>
      </c>
      <c r="C1108" s="109">
        <v>247.73</v>
      </c>
      <c r="D1108" s="109">
        <v>260</v>
      </c>
      <c r="E1108" s="109">
        <v>388742</v>
      </c>
      <c r="F1108" s="109" t="s">
        <v>1633</v>
      </c>
      <c r="G1108" s="5">
        <f t="shared" si="16"/>
        <v>-4.6884615384615413E-2</v>
      </c>
    </row>
    <row r="1109" spans="1:7">
      <c r="A1109" s="109">
        <v>264.74</v>
      </c>
      <c r="B1109" s="109">
        <v>273.68</v>
      </c>
      <c r="C1109" s="109">
        <v>257.70999999999998</v>
      </c>
      <c r="D1109" s="109">
        <v>258.01</v>
      </c>
      <c r="E1109" s="109">
        <v>297433</v>
      </c>
      <c r="F1109" s="109" t="s">
        <v>1634</v>
      </c>
      <c r="G1109" s="5">
        <f t="shared" si="16"/>
        <v>2.6084260299988449E-2</v>
      </c>
    </row>
    <row r="1110" spans="1:7">
      <c r="A1110" s="109">
        <v>263.37</v>
      </c>
      <c r="B1110" s="109">
        <v>269.83999999999997</v>
      </c>
      <c r="C1110" s="109">
        <v>263.28500000000003</v>
      </c>
      <c r="D1110" s="109">
        <v>269.8</v>
      </c>
      <c r="E1110" s="109">
        <v>226041</v>
      </c>
      <c r="F1110" s="109" t="s">
        <v>1635</v>
      </c>
      <c r="G1110" s="5">
        <f t="shared" si="16"/>
        <v>-2.3832468495181613E-2</v>
      </c>
    </row>
    <row r="1111" spans="1:7">
      <c r="A1111" s="109">
        <v>271.43</v>
      </c>
      <c r="B1111" s="109">
        <v>280</v>
      </c>
      <c r="C1111" s="109">
        <v>268.85449999999997</v>
      </c>
      <c r="D1111" s="109">
        <v>274.02999999999997</v>
      </c>
      <c r="E1111" s="109">
        <v>189463</v>
      </c>
      <c r="F1111" s="109" t="s">
        <v>1636</v>
      </c>
      <c r="G1111" s="5">
        <f t="shared" si="16"/>
        <v>-9.4880122614311446E-3</v>
      </c>
    </row>
    <row r="1112" spans="1:7">
      <c r="A1112" s="109">
        <v>274.63</v>
      </c>
      <c r="B1112" s="109">
        <v>275.98</v>
      </c>
      <c r="C1112" s="109">
        <v>265.62</v>
      </c>
      <c r="D1112" s="109">
        <v>271.62</v>
      </c>
      <c r="E1112" s="109">
        <v>288242</v>
      </c>
      <c r="F1112" s="109" t="s">
        <v>1637</v>
      </c>
      <c r="G1112" s="5">
        <f t="shared" si="16"/>
        <v>1.1081658198954347E-2</v>
      </c>
    </row>
    <row r="1113" spans="1:7">
      <c r="A1113" s="109">
        <v>273.41000000000003</v>
      </c>
      <c r="B1113" s="109">
        <v>296.64999999999998</v>
      </c>
      <c r="C1113" s="109">
        <v>269.02</v>
      </c>
      <c r="D1113" s="109">
        <v>315</v>
      </c>
      <c r="E1113" s="109">
        <v>503798</v>
      </c>
      <c r="F1113" s="109" t="s">
        <v>1638</v>
      </c>
      <c r="G1113" s="5">
        <f t="shared" si="16"/>
        <v>-0.13203174603174594</v>
      </c>
    </row>
    <row r="1114" spans="1:7">
      <c r="A1114" s="109">
        <v>288.93</v>
      </c>
      <c r="B1114" s="109">
        <v>295.04000000000002</v>
      </c>
      <c r="C1114" s="109">
        <v>284.39</v>
      </c>
      <c r="D1114" s="109">
        <v>294.76</v>
      </c>
      <c r="E1114" s="109">
        <v>264477</v>
      </c>
      <c r="F1114" s="109" t="s">
        <v>1639</v>
      </c>
      <c r="G1114" s="5">
        <f t="shared" si="16"/>
        <v>-1.9778803094042563E-2</v>
      </c>
    </row>
    <row r="1115" spans="1:7">
      <c r="A1115" s="109">
        <v>298.10000000000002</v>
      </c>
      <c r="B1115" s="109">
        <v>306.32</v>
      </c>
      <c r="C1115" s="109">
        <v>294.57150000000001</v>
      </c>
      <c r="D1115" s="109">
        <v>306.32</v>
      </c>
      <c r="E1115" s="109">
        <v>235864</v>
      </c>
      <c r="F1115" s="109" t="s">
        <v>1640</v>
      </c>
      <c r="G1115" s="5">
        <f t="shared" si="16"/>
        <v>-2.6834682684773958E-2</v>
      </c>
    </row>
    <row r="1116" spans="1:7">
      <c r="A1116" s="109">
        <v>305.99</v>
      </c>
      <c r="B1116" s="109">
        <v>309.32</v>
      </c>
      <c r="C1116" s="109">
        <v>303.15499999999997</v>
      </c>
      <c r="D1116" s="109">
        <v>309.32</v>
      </c>
      <c r="E1116" s="109">
        <v>246549</v>
      </c>
      <c r="F1116" s="109" t="s">
        <v>1641</v>
      </c>
      <c r="G1116" s="5">
        <f t="shared" si="16"/>
        <v>-1.0765550239234423E-2</v>
      </c>
    </row>
  </sheetData>
  <sortState xmlns:xlrd2="http://schemas.microsoft.com/office/spreadsheetml/2017/richdata2" ref="I114:I174">
    <sortCondition ref="I114"/>
  </sortState>
  <hyperlinks>
    <hyperlink ref="AC18" r:id="rId1" xr:uid="{BA20364F-8C21-45B3-BE86-C96BB14AC851}"/>
    <hyperlink ref="AD19" r:id="rId2" xr:uid="{D840E673-93AF-411E-A768-553080F69D7C}"/>
    <hyperlink ref="AD20" r:id="rId3" xr:uid="{1FC6A62E-0703-4106-A5B2-E8D578E6B75D}"/>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D48B8-C1DC-475F-B824-D0955DC9E3BC}">
  <sheetPr>
    <tabColor rgb="FFFF99FF"/>
  </sheetPr>
  <dimension ref="B2:L31"/>
  <sheetViews>
    <sheetView zoomScale="85" zoomScaleNormal="85" workbookViewId="0">
      <selection activeCell="F32" sqref="F32"/>
    </sheetView>
  </sheetViews>
  <sheetFormatPr defaultRowHeight="15"/>
  <cols>
    <col min="1" max="1" width="3" customWidth="1"/>
    <col min="2" max="2" width="24.5703125" customWidth="1"/>
    <col min="6" max="6" width="10.85546875" customWidth="1"/>
  </cols>
  <sheetData>
    <row r="2" spans="2:12">
      <c r="B2" s="1" t="s">
        <v>843</v>
      </c>
      <c r="C2" s="2"/>
      <c r="D2" s="2"/>
      <c r="E2" s="2"/>
      <c r="F2" s="2"/>
      <c r="G2" s="2"/>
      <c r="H2" s="2"/>
      <c r="I2" s="2"/>
      <c r="J2" s="2"/>
      <c r="K2" s="2"/>
      <c r="L2" s="2"/>
    </row>
    <row r="3" spans="2:12">
      <c r="B3" s="87"/>
      <c r="C3" s="88" t="s">
        <v>438</v>
      </c>
      <c r="D3" s="19"/>
      <c r="E3" s="20"/>
      <c r="F3" s="93"/>
      <c r="G3" s="78"/>
      <c r="H3" s="80" t="s">
        <v>441</v>
      </c>
      <c r="I3" s="78"/>
      <c r="J3" s="78"/>
      <c r="K3" s="94"/>
      <c r="L3" s="2"/>
    </row>
    <row r="4" spans="2:12">
      <c r="B4" s="46"/>
      <c r="C4" s="34"/>
      <c r="D4" s="33"/>
      <c r="E4" s="33"/>
      <c r="F4" s="95" t="s">
        <v>442</v>
      </c>
      <c r="G4" s="28"/>
      <c r="H4" s="28"/>
      <c r="I4" s="28"/>
      <c r="J4" s="28"/>
      <c r="K4" s="29"/>
      <c r="L4" s="2"/>
    </row>
    <row r="5" spans="2:12">
      <c r="B5" s="46"/>
      <c r="C5" s="30"/>
      <c r="D5" s="31" t="s">
        <v>469</v>
      </c>
      <c r="E5" s="33"/>
      <c r="F5" s="96" t="s">
        <v>443</v>
      </c>
      <c r="G5" s="33"/>
      <c r="H5" s="33"/>
      <c r="I5" s="33"/>
      <c r="J5" s="33"/>
      <c r="K5" s="32"/>
      <c r="L5" s="2"/>
    </row>
    <row r="6" spans="2:12">
      <c r="B6" s="46"/>
      <c r="C6" s="34"/>
      <c r="D6" s="35"/>
      <c r="E6" s="33"/>
      <c r="F6" s="96" t="s">
        <v>444</v>
      </c>
      <c r="G6" s="33"/>
      <c r="H6" s="33"/>
      <c r="I6" s="33"/>
      <c r="J6" s="33"/>
      <c r="K6" s="32"/>
      <c r="L6" s="2"/>
    </row>
    <row r="7" spans="2:12">
      <c r="B7" s="47" t="s">
        <v>304</v>
      </c>
      <c r="C7" s="36"/>
      <c r="D7" s="37"/>
      <c r="E7" s="39"/>
      <c r="F7" s="97" t="s">
        <v>445</v>
      </c>
      <c r="G7" s="39"/>
      <c r="H7" s="39"/>
      <c r="I7" s="39"/>
      <c r="J7" s="39"/>
      <c r="K7" s="38"/>
      <c r="L7" s="2"/>
    </row>
    <row r="8" spans="2:12">
      <c r="B8" s="46"/>
      <c r="C8" s="27"/>
      <c r="D8" s="40"/>
      <c r="E8" s="29"/>
      <c r="F8" s="95" t="s">
        <v>446</v>
      </c>
      <c r="G8" s="99"/>
      <c r="H8" s="99"/>
      <c r="I8" s="28"/>
      <c r="J8" s="28"/>
      <c r="K8" s="29"/>
      <c r="L8" s="2"/>
    </row>
    <row r="9" spans="2:12">
      <c r="B9" s="46"/>
      <c r="C9" s="30"/>
      <c r="D9" s="31" t="s">
        <v>470</v>
      </c>
      <c r="E9" s="32"/>
      <c r="F9" s="96" t="s">
        <v>447</v>
      </c>
      <c r="G9" s="106"/>
      <c r="H9" s="106"/>
      <c r="I9" s="33"/>
      <c r="J9" s="33"/>
      <c r="K9" s="32"/>
      <c r="L9" s="2"/>
    </row>
    <row r="10" spans="2:12">
      <c r="B10" s="46"/>
      <c r="C10" s="34"/>
      <c r="D10" s="35"/>
      <c r="E10" s="32"/>
      <c r="F10" s="96" t="s">
        <v>448</v>
      </c>
      <c r="G10" s="106"/>
      <c r="H10" s="106"/>
      <c r="I10" s="33"/>
      <c r="J10" s="33"/>
      <c r="K10" s="32"/>
      <c r="L10" s="2"/>
    </row>
    <row r="11" spans="2:12">
      <c r="B11" s="46"/>
      <c r="C11" s="36"/>
      <c r="D11" s="37"/>
      <c r="E11" s="38"/>
      <c r="F11" s="97" t="s">
        <v>449</v>
      </c>
      <c r="G11" s="98"/>
      <c r="H11" s="98"/>
      <c r="I11" s="39"/>
      <c r="J11" s="39"/>
      <c r="K11" s="38"/>
      <c r="L11" s="2"/>
    </row>
    <row r="12" spans="2:12">
      <c r="B12" s="48"/>
      <c r="C12" s="27"/>
      <c r="D12" s="40"/>
      <c r="E12" s="29"/>
      <c r="F12" s="95" t="s">
        <v>450</v>
      </c>
      <c r="G12" s="99"/>
      <c r="H12" s="28"/>
      <c r="I12" s="28"/>
      <c r="J12" s="28"/>
      <c r="K12" s="29"/>
      <c r="L12" s="2"/>
    </row>
    <row r="13" spans="2:12">
      <c r="B13" s="49"/>
      <c r="C13" s="34"/>
      <c r="D13" s="35"/>
      <c r="E13" s="32"/>
      <c r="F13" s="96" t="s">
        <v>451</v>
      </c>
      <c r="G13" s="106"/>
      <c r="H13" s="33"/>
      <c r="I13" s="33"/>
      <c r="J13" s="33"/>
      <c r="K13" s="32"/>
      <c r="L13" s="2"/>
    </row>
    <row r="14" spans="2:12">
      <c r="B14" s="49"/>
      <c r="C14" s="41"/>
      <c r="D14" s="31" t="s">
        <v>471</v>
      </c>
      <c r="E14" s="42"/>
      <c r="F14" s="96" t="s">
        <v>452</v>
      </c>
      <c r="G14" s="106"/>
      <c r="H14" s="33"/>
      <c r="I14" s="33"/>
      <c r="J14" s="33"/>
      <c r="K14" s="32"/>
      <c r="L14" s="2"/>
    </row>
    <row r="15" spans="2:12">
      <c r="B15" s="49"/>
      <c r="C15" s="41"/>
      <c r="D15" s="31" t="s">
        <v>472</v>
      </c>
      <c r="E15" s="42"/>
      <c r="F15" s="96" t="s">
        <v>453</v>
      </c>
      <c r="G15" s="106"/>
      <c r="H15" s="33"/>
      <c r="I15" s="33"/>
      <c r="J15" s="33"/>
      <c r="K15" s="32"/>
      <c r="L15" s="2"/>
    </row>
    <row r="16" spans="2:12">
      <c r="B16" s="49"/>
      <c r="C16" s="34"/>
      <c r="D16" s="35"/>
      <c r="E16" s="43"/>
      <c r="F16" s="96" t="s">
        <v>454</v>
      </c>
      <c r="G16" s="106"/>
      <c r="H16" s="33"/>
      <c r="I16" s="33"/>
      <c r="J16" s="33"/>
      <c r="K16" s="32"/>
      <c r="L16" s="2"/>
    </row>
    <row r="17" spans="2:12">
      <c r="B17" s="49"/>
      <c r="C17" s="36"/>
      <c r="D17" s="37"/>
      <c r="E17" s="38"/>
      <c r="F17" s="97" t="s">
        <v>455</v>
      </c>
      <c r="G17" s="98"/>
      <c r="H17" s="39"/>
      <c r="I17" s="39"/>
      <c r="J17" s="39"/>
      <c r="K17" s="38"/>
      <c r="L17" s="2"/>
    </row>
    <row r="18" spans="2:12">
      <c r="B18" s="49"/>
      <c r="C18" s="27"/>
      <c r="D18" s="40"/>
      <c r="E18" s="29"/>
      <c r="F18" s="95" t="s">
        <v>456</v>
      </c>
      <c r="G18" s="99"/>
      <c r="H18" s="28"/>
      <c r="I18" s="28"/>
      <c r="J18" s="28"/>
      <c r="K18" s="29"/>
      <c r="L18" s="2"/>
    </row>
    <row r="19" spans="2:12">
      <c r="B19" s="49"/>
      <c r="C19" s="30"/>
      <c r="D19" s="31" t="s">
        <v>470</v>
      </c>
      <c r="E19" s="32"/>
      <c r="F19" s="96" t="s">
        <v>457</v>
      </c>
      <c r="G19" s="106"/>
      <c r="H19" s="33"/>
      <c r="I19" s="33"/>
      <c r="J19" s="33"/>
      <c r="K19" s="32"/>
      <c r="L19" s="2"/>
    </row>
    <row r="20" spans="2:12">
      <c r="B20" s="50" t="s">
        <v>510</v>
      </c>
      <c r="C20" s="30"/>
      <c r="D20" s="31" t="s">
        <v>472</v>
      </c>
      <c r="E20" s="32"/>
      <c r="F20" s="96" t="s">
        <v>458</v>
      </c>
      <c r="G20" s="106"/>
      <c r="H20" s="33"/>
      <c r="I20" s="33"/>
      <c r="J20" s="33"/>
      <c r="K20" s="32"/>
      <c r="L20" s="2"/>
    </row>
    <row r="21" spans="2:12">
      <c r="B21" s="50" t="s">
        <v>511</v>
      </c>
      <c r="C21" s="34"/>
      <c r="D21" s="35"/>
      <c r="E21" s="32"/>
      <c r="F21" s="96" t="s">
        <v>459</v>
      </c>
      <c r="G21" s="106"/>
      <c r="H21" s="33"/>
      <c r="I21" s="33"/>
      <c r="J21" s="33"/>
      <c r="K21" s="32"/>
      <c r="L21" s="2"/>
    </row>
    <row r="22" spans="2:12">
      <c r="B22" s="49"/>
      <c r="C22" s="36"/>
      <c r="D22" s="37"/>
      <c r="E22" s="38"/>
      <c r="F22" s="97" t="s">
        <v>460</v>
      </c>
      <c r="G22" s="98"/>
      <c r="H22" s="39"/>
      <c r="I22" s="39"/>
      <c r="J22" s="39"/>
      <c r="K22" s="38"/>
      <c r="L22" s="2"/>
    </row>
    <row r="23" spans="2:12">
      <c r="B23" s="49"/>
      <c r="C23" s="27"/>
      <c r="D23" s="40"/>
      <c r="E23" s="29"/>
      <c r="F23" s="95" t="s">
        <v>461</v>
      </c>
      <c r="G23" s="28"/>
      <c r="H23" s="28"/>
      <c r="I23" s="28"/>
      <c r="J23" s="28"/>
      <c r="K23" s="29"/>
      <c r="L23" s="2"/>
    </row>
    <row r="24" spans="2:12">
      <c r="B24" s="49"/>
      <c r="C24" s="34"/>
      <c r="D24" s="35"/>
      <c r="E24" s="32"/>
      <c r="F24" s="96" t="s">
        <v>462</v>
      </c>
      <c r="G24" s="33"/>
      <c r="H24" s="33"/>
      <c r="I24" s="33"/>
      <c r="J24" s="33"/>
      <c r="K24" s="32"/>
      <c r="L24" s="2"/>
    </row>
    <row r="25" spans="2:12">
      <c r="B25" s="49"/>
      <c r="C25" s="34"/>
      <c r="D25" s="35"/>
      <c r="E25" s="32"/>
      <c r="F25" s="96" t="s">
        <v>463</v>
      </c>
      <c r="G25" s="33"/>
      <c r="H25" s="33"/>
      <c r="I25" s="33"/>
      <c r="J25" s="33"/>
      <c r="K25" s="32"/>
      <c r="L25" s="2"/>
    </row>
    <row r="26" spans="2:12">
      <c r="B26" s="49"/>
      <c r="C26" s="30"/>
      <c r="D26" s="31" t="s">
        <v>473</v>
      </c>
      <c r="E26" s="32"/>
      <c r="F26" s="96" t="s">
        <v>464</v>
      </c>
      <c r="G26" s="33"/>
      <c r="H26" s="33"/>
      <c r="I26" s="33"/>
      <c r="J26" s="33"/>
      <c r="K26" s="32"/>
      <c r="L26" s="2"/>
    </row>
    <row r="27" spans="2:12">
      <c r="B27" s="49"/>
      <c r="C27" s="34"/>
      <c r="D27" s="35"/>
      <c r="E27" s="32"/>
      <c r="F27" s="96" t="s">
        <v>465</v>
      </c>
      <c r="G27" s="33"/>
      <c r="H27" s="33"/>
      <c r="I27" s="33"/>
      <c r="J27" s="33"/>
      <c r="K27" s="32"/>
      <c r="L27" s="2"/>
    </row>
    <row r="28" spans="2:12">
      <c r="B28" s="49"/>
      <c r="C28" s="34"/>
      <c r="D28" s="35"/>
      <c r="E28" s="32"/>
      <c r="F28" s="96" t="s">
        <v>466</v>
      </c>
      <c r="G28" s="33"/>
      <c r="H28" s="33"/>
      <c r="I28" s="33"/>
      <c r="J28" s="33"/>
      <c r="K28" s="32"/>
      <c r="L28" s="2"/>
    </row>
    <row r="29" spans="2:12">
      <c r="B29" s="49"/>
      <c r="C29" s="36"/>
      <c r="D29" s="37"/>
      <c r="E29" s="38"/>
      <c r="F29" s="97" t="s">
        <v>467</v>
      </c>
      <c r="G29" s="39"/>
      <c r="H29" s="39"/>
      <c r="I29" s="39"/>
      <c r="J29" s="39"/>
      <c r="K29" s="38"/>
      <c r="L29" s="2"/>
    </row>
    <row r="30" spans="2:12">
      <c r="B30" s="51"/>
      <c r="C30" s="44"/>
      <c r="D30" s="45" t="s">
        <v>474</v>
      </c>
      <c r="E30" s="38"/>
      <c r="F30" s="107" t="s">
        <v>468</v>
      </c>
      <c r="G30" s="100"/>
      <c r="H30" s="100"/>
      <c r="I30" s="100"/>
      <c r="J30" s="100"/>
      <c r="K30" s="101"/>
      <c r="L30" s="2"/>
    </row>
    <row r="31" spans="2:12">
      <c r="B31" s="2"/>
      <c r="C31" s="2"/>
      <c r="D31" s="2"/>
      <c r="E31" s="2"/>
      <c r="F31" s="1" t="s">
        <v>865</v>
      </c>
      <c r="G31" s="2"/>
      <c r="H31" s="2"/>
      <c r="I31" s="2"/>
      <c r="J31" s="2"/>
      <c r="K31" s="2"/>
      <c r="L31" s="2"/>
    </row>
  </sheetData>
  <hyperlinks>
    <hyperlink ref="F4" location="'Peripheral Thrombectomy'!A1" display="Indigo System" xr:uid="{D8E628D4-124E-48FE-9AEE-12A1C8DF8CDA}"/>
    <hyperlink ref="F5" location="'Peripheral Thrombectomy'!A1" display="Lightning" xr:uid="{3A930A76-B84F-4E62-BA2B-C4BA9C2B3CAC}"/>
    <hyperlink ref="F6" location="'Peripheral Thrombectomy'!A1" display="Bolt" xr:uid="{AA88F25B-C8D2-4C12-9D22-60D29F896E7F}"/>
    <hyperlink ref="F7" location="'Peripheral Thrombectomy'!A1" display="Cat RX" xr:uid="{322670F4-3F1D-4901-A62A-A619E3851532}"/>
    <hyperlink ref="F8" location="'Neuro Thrombectomy'!A1" display="Penumbra System" xr:uid="{CDCF04B3-612E-42BF-8D01-EEF3B3D4C542}"/>
    <hyperlink ref="F9" location="'Neuro Thrombectomy'!A1" display="Penumbra RED, SENDit, JET, ACE, BMX, and MAX catheters" xr:uid="{EAD9396F-512E-457C-8C17-1A91C14AE8B7}"/>
    <hyperlink ref="F10" location="'Neuro Thrombectomy'!A1" display="3D Revascularization Device" xr:uid="{35944BCD-D9E0-4201-BD85-E56069B94B3B}"/>
    <hyperlink ref="F11" location="'Neuro Thrombectomy'!A1" display="Penumbra Engine and other components and accessories" xr:uid="{3361A062-C9B0-4C07-8565-65AD54987EAB}"/>
    <hyperlink ref="F12" location="'Peripheral Embolization'!A1" display="Ruby Coil System" xr:uid="{DD05B7FF-63C9-4AC1-A647-8FCF4C1ED3F3}"/>
    <hyperlink ref="F13" location="'Peripheral Embolization'!A1" display="Ruby LP" xr:uid="{8895FB58-7E80-4210-B885-5D148A61B4F6}"/>
    <hyperlink ref="F14" location="'Peripheral Embolization'!A1" display="Lantern" xr:uid="{87A594DD-97E8-47E0-8DA4-09791505B187}"/>
    <hyperlink ref="F15" location="'Peripheral Embolization'!A1" display="POD (Penumbra Occlusion Device)" xr:uid="{4C71A576-871B-4A1B-A965-69490AAABF62}"/>
    <hyperlink ref="F16" location="'Peripheral Embolization'!A1" display="Packing Coil" xr:uid="{91FCB5AB-C60D-4C65-BCF1-9594D18E6EAE}"/>
    <hyperlink ref="F17" location="'Peripheral Embolization'!A1" display="Packing Coil LP" xr:uid="{1D908273-AFB2-420D-B32B-5E7769C43026}"/>
    <hyperlink ref="F18" location="'Neuro Embolization'!A1" display="Penumbra Coil 400" xr:uid="{F09A8180-EEA2-4551-9B72-EA59D87AD0C6}"/>
    <hyperlink ref="F19" location="'Neuro Embolization'!A1" display="POD400" xr:uid="{874AD8AB-0CD0-45AF-ADD7-15989339073E}"/>
    <hyperlink ref="F20" location="'Neuro Embolization'!A1" display="PAC400" xr:uid="{AEF03A80-2CF7-4BCA-8F20-F06F60C31EB3}"/>
    <hyperlink ref="F21" location="'Neuro Embolization'!A1" display="Penumbra SMART COIL" xr:uid="{4DEC1CE7-2D18-4B9E-9F00-E4547075AE69}"/>
    <hyperlink ref="F22" location="'Neuro Embolization'!A1" display="SwiftPAC Coil" xr:uid="{E1E0D5E0-E8FF-4F22-8300-F33680524F97}"/>
    <hyperlink ref="F23" location="Access!A1" display="Neuron" xr:uid="{429438B2-8626-466F-89F6-41005AD1F672}"/>
    <hyperlink ref="F24" location="Access!A1" display="Neuron Max" xr:uid="{B5D1765C-2B57-4042-A1BB-B2D5AC3D1A57}"/>
    <hyperlink ref="F25" location="Access!A1" display="BENCHMARK" xr:uid="{650E83CF-EFAF-4A9D-A0B2-A060A532358E}"/>
    <hyperlink ref="F26" location="Access!A1" display="BMX" xr:uid="{FBE88DB0-0AF3-4E18-A0FB-AA0C35A70CB5}"/>
    <hyperlink ref="F27" location="Access!A1" display="DDC" xr:uid="{963A3329-6BB7-4E4B-AA8F-F6C6DB1AC0A3}"/>
    <hyperlink ref="F28" location="Access!A1" display="PX SLIM" xr:uid="{D131C2E9-165B-48BC-91A6-75C8EDD60C81}"/>
    <hyperlink ref="F29" location="Access!A1" display="MIDWAY" xr:uid="{7D810FAF-3CA7-42C6-9EE3-369E337091F8}"/>
    <hyperlink ref="F30" location="'Neurosurgical Tools'!A1" display="Artemis Neuro Evacuation Device" xr:uid="{B74AE714-B72E-47F6-A281-148537CF8A8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0CB61-C448-4FEF-9745-025A105357D1}">
  <sheetPr>
    <tabColor rgb="FF66CCFF"/>
  </sheetPr>
  <dimension ref="B2:M4"/>
  <sheetViews>
    <sheetView zoomScale="85" zoomScaleNormal="85" workbookViewId="0">
      <selection activeCell="Q40" sqref="Q40"/>
    </sheetView>
  </sheetViews>
  <sheetFormatPr defaultColWidth="9.140625" defaultRowHeight="14.25"/>
  <cols>
    <col min="1" max="1" width="2.85546875" style="2" customWidth="1"/>
    <col min="2" max="16384" width="9.140625" style="2"/>
  </cols>
  <sheetData>
    <row r="2" spans="2:13" ht="15">
      <c r="B2" s="1" t="s">
        <v>759</v>
      </c>
    </row>
    <row r="3" spans="2:13">
      <c r="B3" s="61" t="s">
        <v>558</v>
      </c>
      <c r="M3" s="2" t="s">
        <v>689</v>
      </c>
    </row>
    <row r="4" spans="2:13">
      <c r="B4" s="61" t="s">
        <v>688</v>
      </c>
      <c r="M4" s="2" t="s">
        <v>690</v>
      </c>
    </row>
  </sheetData>
  <hyperlinks>
    <hyperlink ref="B3" r:id="rId1" xr:uid="{B9B6CE2C-9518-420B-B922-7C8F9CFA948B}"/>
    <hyperlink ref="B4" r:id="rId2" xr:uid="{6A956E5A-FB39-454D-99BA-21D2508E87F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13BF4-9697-4046-8C3C-D7E3DCD82664}">
  <dimension ref="A1"/>
  <sheetViews>
    <sheetView zoomScale="85" zoomScaleNormal="85" workbookViewId="0">
      <selection activeCell="K38" sqref="K38"/>
    </sheetView>
  </sheetViews>
  <sheetFormatPr defaultColWidth="9.140625" defaultRowHeight="14.25"/>
  <cols>
    <col min="1" max="1" width="3" style="2" customWidth="1"/>
    <col min="2" max="2" width="9.140625" style="2" customWidth="1"/>
    <col min="3" max="5" width="9.140625" style="2"/>
    <col min="6" max="6" width="10" style="2" customWidth="1"/>
    <col min="7" max="16384" width="9.140625" style="2"/>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A9C93-3A1A-4DAF-849F-F6594E79FECC}">
  <dimension ref="A2:D30"/>
  <sheetViews>
    <sheetView workbookViewId="0">
      <selection activeCell="D30" sqref="D30"/>
    </sheetView>
  </sheetViews>
  <sheetFormatPr defaultColWidth="9" defaultRowHeight="14.25"/>
  <cols>
    <col min="1" max="1" width="3.140625" style="2" customWidth="1"/>
    <col min="2" max="16384" width="9" style="2"/>
  </cols>
  <sheetData>
    <row r="2" spans="1:4" ht="15">
      <c r="A2" s="1" t="s">
        <v>852</v>
      </c>
    </row>
    <row r="4" spans="1:4" ht="15">
      <c r="B4" s="1" t="s">
        <v>853</v>
      </c>
    </row>
    <row r="5" spans="1:4">
      <c r="C5" s="2" t="s">
        <v>854</v>
      </c>
    </row>
    <row r="6" spans="1:4" ht="15">
      <c r="C6" s="108" t="s">
        <v>855</v>
      </c>
      <c r="D6" s="2" t="s">
        <v>856</v>
      </c>
    </row>
    <row r="7" spans="1:4" ht="15">
      <c r="D7" s="2" t="s">
        <v>857</v>
      </c>
    </row>
    <row r="8" spans="1:4">
      <c r="D8" s="2" t="s">
        <v>862</v>
      </c>
    </row>
    <row r="28" spans="3:4">
      <c r="C28" s="2" t="s">
        <v>858</v>
      </c>
    </row>
    <row r="29" spans="3:4">
      <c r="D29" s="2" t="s">
        <v>859</v>
      </c>
    </row>
    <row r="30" spans="3:4">
      <c r="D30" s="2" t="s">
        <v>860</v>
      </c>
    </row>
  </sheetData>
  <hyperlinks>
    <hyperlink ref="C6" r:id="rId1" xr:uid="{2088B5FE-BF75-4B1D-AE90-2660B7E55A4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AA937-DFAC-48C7-BA2F-CC83B6FD4142}">
  <dimension ref="A1"/>
  <sheetViews>
    <sheetView workbookViewId="0"/>
  </sheetViews>
  <sheetFormatPr defaultColWidth="9.140625" defaultRowHeight="14.25"/>
  <cols>
    <col min="1" max="16384" width="9.140625" style="2"/>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C2AD3-10D6-4155-BC4E-25F64DD5B851}">
  <dimension ref="A1"/>
  <sheetViews>
    <sheetView workbookViewId="0"/>
  </sheetViews>
  <sheetFormatPr defaultRowHeight="15"/>
  <cols>
    <col min="1" max="1" width="3.140625" customWidth="1"/>
  </cols>
  <sheetData>
    <row r="1" spans="1:1">
      <c r="A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Main | Overview</vt:lpstr>
      <vt:lpstr>Model</vt:lpstr>
      <vt:lpstr>Notes | Quant Analysis</vt:lpstr>
      <vt:lpstr>Markets | Product Lines</vt:lpstr>
      <vt:lpstr>Management</vt:lpstr>
      <vt:lpstr>Clinical Trail Channel</vt:lpstr>
      <vt:lpstr>Peripheral Thrombectomy</vt:lpstr>
      <vt:lpstr>Neuro Thrombectomy</vt:lpstr>
      <vt:lpstr>Peripheral Embolization</vt:lpstr>
      <vt:lpstr>Neuro Embolization</vt:lpstr>
      <vt:lpstr>Access</vt:lpstr>
      <vt:lpstr>Neurosurgical 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2025-05-01T09:36:36Z</dcterms:modified>
</cp:coreProperties>
</file>