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esktop\Equity Research\Models\Health Care\"/>
    </mc:Choice>
  </mc:AlternateContent>
  <xr:revisionPtr revIDLastSave="0" documentId="13_ncr:1_{0824DECF-66D9-44D7-B0EB-66F5687F3DB6}" xr6:coauthVersionLast="47" xr6:coauthVersionMax="47" xr10:uidLastSave="{00000000-0000-0000-0000-000000000000}"/>
  <bookViews>
    <workbookView xWindow="28680" yWindow="-120" windowWidth="29040" windowHeight="15720" activeTab="1" xr2:uid="{00000000-000D-0000-FFFF-FFFF00000000}"/>
  </bookViews>
  <sheets>
    <sheet name="Main | Overview" sheetId="1" r:id="rId1"/>
    <sheet name="Model" sheetId="2" r:id="rId2"/>
    <sheet name="Notes | Quant Analysis" sheetId="4" r:id="rId3"/>
    <sheet name="Markets | Product Lines" sheetId="5" r:id="rId4"/>
    <sheet name="Management" sheetId="6" r:id="rId5"/>
    <sheet name="Clinical Trial Channel" sheetId="7" r:id="rId6"/>
    <sheet name="M&amp;A Scope"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103" i="2" l="1"/>
  <c r="BG103" i="2"/>
  <c r="BF103" i="2"/>
  <c r="CI103" i="2" s="1"/>
  <c r="BE103" i="2"/>
  <c r="BE102" i="2"/>
  <c r="BE104" i="2" s="1"/>
  <c r="CI104" i="2" s="1"/>
  <c r="BF101" i="2"/>
  <c r="BE101" i="2"/>
  <c r="BF100" i="2"/>
  <c r="BG100" i="2" s="1"/>
  <c r="BL101" i="2"/>
  <c r="BL100" i="2"/>
  <c r="BJ101" i="2"/>
  <c r="BJ100" i="2"/>
  <c r="BK100" i="2" s="1"/>
  <c r="BK101" i="2"/>
  <c r="BO102" i="2"/>
  <c r="BO101" i="2"/>
  <c r="BO100" i="2"/>
  <c r="BP100" i="2" s="1"/>
  <c r="CK100" i="2" s="1"/>
  <c r="BN101" i="2"/>
  <c r="BN100" i="2"/>
  <c r="BM101" i="2"/>
  <c r="BI101" i="2"/>
  <c r="CJ101" i="2"/>
  <c r="BI102" i="2"/>
  <c r="BI104" i="2" s="1"/>
  <c r="BL103" i="2"/>
  <c r="BP103" i="2"/>
  <c r="BI103" i="2"/>
  <c r="BM103" i="2"/>
  <c r="BL80" i="2"/>
  <c r="CJ80" i="2" s="1"/>
  <c r="BP90" i="2"/>
  <c r="BM90" i="2"/>
  <c r="BL58" i="2"/>
  <c r="BL56" i="2"/>
  <c r="BL54" i="2"/>
  <c r="BL53" i="2"/>
  <c r="BL41" i="2"/>
  <c r="BL42" i="2" s="1"/>
  <c r="BK40" i="2"/>
  <c r="BL51" i="2"/>
  <c r="BL50" i="2"/>
  <c r="BL49" i="2"/>
  <c r="BL48" i="2"/>
  <c r="BL47" i="2"/>
  <c r="BL46" i="2"/>
  <c r="BL45" i="2"/>
  <c r="BL44" i="2"/>
  <c r="BL43" i="2"/>
  <c r="BL26" i="2"/>
  <c r="BL25" i="2"/>
  <c r="BL24" i="2"/>
  <c r="BL23" i="2"/>
  <c r="BP59" i="2"/>
  <c r="BP58" i="2"/>
  <c r="BO60" i="2"/>
  <c r="BM60" i="2"/>
  <c r="BJ60" i="2"/>
  <c r="BI60" i="2"/>
  <c r="BN60" i="2"/>
  <c r="BP57" i="2"/>
  <c r="BP56" i="2"/>
  <c r="BP55" i="2"/>
  <c r="BP54" i="2"/>
  <c r="BP53" i="2"/>
  <c r="BP52" i="2"/>
  <c r="BP26" i="2"/>
  <c r="BP51" i="2"/>
  <c r="BP50" i="2"/>
  <c r="BP49" i="2"/>
  <c r="BP48" i="2"/>
  <c r="BP47" i="2"/>
  <c r="BP46" i="2"/>
  <c r="BP45" i="2"/>
  <c r="BP44" i="2"/>
  <c r="BP43" i="2"/>
  <c r="BP41" i="2"/>
  <c r="BP12" i="2"/>
  <c r="BL12" i="2"/>
  <c r="BL10" i="2"/>
  <c r="BL9" i="2"/>
  <c r="BL8" i="2"/>
  <c r="BL7" i="2"/>
  <c r="BL5" i="2"/>
  <c r="BL4" i="2"/>
  <c r="BL3" i="2"/>
  <c r="CF62" i="2"/>
  <c r="CF61" i="2"/>
  <c r="CF60" i="2"/>
  <c r="CF59" i="2"/>
  <c r="CF58" i="2"/>
  <c r="CF27" i="2"/>
  <c r="CF26" i="2"/>
  <c r="CF25" i="2"/>
  <c r="CF24" i="2"/>
  <c r="CF23" i="2"/>
  <c r="CF31" i="2"/>
  <c r="CF29" i="2"/>
  <c r="BP25" i="2"/>
  <c r="BP24" i="2"/>
  <c r="BP23" i="2"/>
  <c r="BP10" i="2"/>
  <c r="BP4" i="2"/>
  <c r="BP9" i="2"/>
  <c r="BP8" i="2"/>
  <c r="BP7" i="2"/>
  <c r="BP5" i="2"/>
  <c r="BP3" i="2"/>
  <c r="BI55" i="2"/>
  <c r="BI57" i="2" s="1"/>
  <c r="BI62" i="2" s="1"/>
  <c r="BM55" i="2"/>
  <c r="BM57" i="2" s="1"/>
  <c r="BJ103" i="2"/>
  <c r="BN103" i="2"/>
  <c r="BN90" i="2"/>
  <c r="BK103" i="2"/>
  <c r="BO103" i="2"/>
  <c r="BL90" i="2"/>
  <c r="CJ90" i="2" s="1"/>
  <c r="BO90" i="2"/>
  <c r="CF104" i="2"/>
  <c r="CF103" i="2"/>
  <c r="CF102" i="2"/>
  <c r="CF101" i="2"/>
  <c r="CF100" i="2"/>
  <c r="CF90" i="2"/>
  <c r="CF89" i="2"/>
  <c r="CF88" i="2"/>
  <c r="CF87" i="2"/>
  <c r="CF86" i="2"/>
  <c r="CF85" i="2"/>
  <c r="CF84" i="2"/>
  <c r="CF83" i="2"/>
  <c r="CF82" i="2"/>
  <c r="CF79" i="2"/>
  <c r="CF78" i="2"/>
  <c r="CF77" i="2"/>
  <c r="CF76" i="2"/>
  <c r="CF75" i="2"/>
  <c r="CF74" i="2"/>
  <c r="CF73" i="2"/>
  <c r="CF72" i="2"/>
  <c r="CF71" i="2"/>
  <c r="CF70" i="2"/>
  <c r="CG90" i="2"/>
  <c r="CG89" i="2"/>
  <c r="CG88" i="2"/>
  <c r="CG87" i="2"/>
  <c r="CG86" i="2"/>
  <c r="CG85" i="2"/>
  <c r="CG84" i="2"/>
  <c r="CG83" i="2"/>
  <c r="CG82" i="2"/>
  <c r="CG79" i="2"/>
  <c r="CG78" i="2"/>
  <c r="CG77" i="2"/>
  <c r="CG76" i="2"/>
  <c r="CG75" i="2"/>
  <c r="CG74" i="2"/>
  <c r="CG73" i="2"/>
  <c r="CG72" i="2"/>
  <c r="CG71" i="2"/>
  <c r="CG70" i="2"/>
  <c r="CH90" i="2"/>
  <c r="CH89" i="2"/>
  <c r="CH88" i="2"/>
  <c r="CH87" i="2"/>
  <c r="CH86" i="2"/>
  <c r="CH85" i="2"/>
  <c r="CH84" i="2"/>
  <c r="CH83" i="2"/>
  <c r="CH82" i="2"/>
  <c r="CH79" i="2"/>
  <c r="CH78" i="2"/>
  <c r="CH77" i="2"/>
  <c r="CH76" i="2"/>
  <c r="CH75" i="2"/>
  <c r="CH74" i="2"/>
  <c r="CH73" i="2"/>
  <c r="CH72" i="2"/>
  <c r="CH71" i="2"/>
  <c r="CH70" i="2"/>
  <c r="CI90" i="2"/>
  <c r="CI89" i="2"/>
  <c r="CI88" i="2"/>
  <c r="CI87" i="2"/>
  <c r="CI86" i="2"/>
  <c r="CI85" i="2"/>
  <c r="CI84" i="2"/>
  <c r="CI83" i="2"/>
  <c r="CI82" i="2"/>
  <c r="CI79" i="2"/>
  <c r="CI78" i="2"/>
  <c r="CI77" i="2"/>
  <c r="CI76" i="2"/>
  <c r="CI75" i="2"/>
  <c r="CI74" i="2"/>
  <c r="CI73" i="2"/>
  <c r="CI72" i="2"/>
  <c r="CI71" i="2"/>
  <c r="CI70" i="2"/>
  <c r="CJ89" i="2"/>
  <c r="CJ88" i="2"/>
  <c r="CJ87" i="2"/>
  <c r="CJ86" i="2"/>
  <c r="CJ85" i="2"/>
  <c r="CJ84" i="2"/>
  <c r="CJ83" i="2"/>
  <c r="CJ82" i="2"/>
  <c r="CJ79" i="2"/>
  <c r="CJ78" i="2"/>
  <c r="CJ77" i="2"/>
  <c r="CJ76" i="2"/>
  <c r="CJ75" i="2"/>
  <c r="CJ74" i="2"/>
  <c r="CJ73" i="2"/>
  <c r="CJ72" i="2"/>
  <c r="CJ71" i="2"/>
  <c r="CJ70" i="2"/>
  <c r="CG104" i="2"/>
  <c r="CG103" i="2"/>
  <c r="CG102" i="2"/>
  <c r="CG101" i="2"/>
  <c r="CG100" i="2"/>
  <c r="CH104" i="2"/>
  <c r="CH103" i="2"/>
  <c r="CH102" i="2"/>
  <c r="CH101" i="2"/>
  <c r="CH100" i="2"/>
  <c r="CK90" i="2"/>
  <c r="CK89" i="2"/>
  <c r="CK88" i="2"/>
  <c r="CK87" i="2"/>
  <c r="CK86" i="2"/>
  <c r="CK85" i="2"/>
  <c r="CK84" i="2"/>
  <c r="CK83" i="2"/>
  <c r="CK82" i="2"/>
  <c r="CK79" i="2"/>
  <c r="CK78" i="2"/>
  <c r="CK77" i="2"/>
  <c r="CK76" i="2"/>
  <c r="CK75" i="2"/>
  <c r="CK74" i="2"/>
  <c r="CK73" i="2"/>
  <c r="CK72" i="2"/>
  <c r="CK71" i="2"/>
  <c r="CK70" i="2"/>
  <c r="AW32" i="2"/>
  <c r="AW31" i="2"/>
  <c r="AW30" i="2"/>
  <c r="AW29" i="2"/>
  <c r="BO80" i="2"/>
  <c r="BN80" i="2"/>
  <c r="BM80" i="2"/>
  <c r="BK80" i="2"/>
  <c r="BJ80" i="2"/>
  <c r="BI80" i="2"/>
  <c r="BH80" i="2"/>
  <c r="CI80" i="2" s="1"/>
  <c r="BG80" i="2"/>
  <c r="BF80" i="2"/>
  <c r="BE80" i="2"/>
  <c r="BD80" i="2"/>
  <c r="CH80" i="2" s="1"/>
  <c r="BC80" i="2"/>
  <c r="BB80" i="2"/>
  <c r="BA80" i="2"/>
  <c r="AZ80" i="2"/>
  <c r="CG80" i="2" s="1"/>
  <c r="AY80" i="2"/>
  <c r="AX80" i="2"/>
  <c r="AW80" i="2"/>
  <c r="AV80" i="2"/>
  <c r="CF80" i="2" s="1"/>
  <c r="AU80" i="2"/>
  <c r="AT80" i="2"/>
  <c r="AS80" i="2"/>
  <c r="BP80" i="2"/>
  <c r="CK80" i="2" s="1"/>
  <c r="AW40" i="2"/>
  <c r="CI100" i="2" l="1"/>
  <c r="BH101" i="2"/>
  <c r="BH100" i="2"/>
  <c r="BG101" i="2"/>
  <c r="BG102" i="2" s="1"/>
  <c r="BG104" i="2" s="1"/>
  <c r="BF102" i="2"/>
  <c r="CJ100" i="2"/>
  <c r="BK102" i="2"/>
  <c r="BO104" i="2"/>
  <c r="BP101" i="2"/>
  <c r="CK101" i="2" s="1"/>
  <c r="BN102" i="2"/>
  <c r="BM102" i="2"/>
  <c r="BM104" i="2" s="1"/>
  <c r="BJ102" i="2"/>
  <c r="BJ104" i="2" s="1"/>
  <c r="BP60" i="2"/>
  <c r="BP62" i="2" s="1"/>
  <c r="BM62" i="2"/>
  <c r="CF30" i="2"/>
  <c r="CF32" i="2"/>
  <c r="CK103" i="2"/>
  <c r="CJ103" i="2"/>
  <c r="BK104" i="2"/>
  <c r="BL52" i="2"/>
  <c r="BL55" i="2" s="1"/>
  <c r="BL57" i="2" s="1"/>
  <c r="BN104" i="2"/>
  <c r="BP6" i="2"/>
  <c r="BO11" i="2"/>
  <c r="BO13" i="2" s="1"/>
  <c r="BN11" i="2"/>
  <c r="BN13" i="2" s="1"/>
  <c r="BM11" i="2"/>
  <c r="BM13" i="2" s="1"/>
  <c r="BL11" i="2"/>
  <c r="BL13" i="2" s="1"/>
  <c r="BK11" i="2"/>
  <c r="BK13" i="2" s="1"/>
  <c r="BJ11" i="2"/>
  <c r="BJ13" i="2" s="1"/>
  <c r="BI11" i="2"/>
  <c r="BI13" i="2" s="1"/>
  <c r="BH11" i="2"/>
  <c r="BH13" i="2" s="1"/>
  <c r="BG11" i="2"/>
  <c r="BG13" i="2" s="1"/>
  <c r="BF11" i="2"/>
  <c r="BF13" i="2" s="1"/>
  <c r="BE11" i="2"/>
  <c r="BE13" i="2" s="1"/>
  <c r="BD11" i="2"/>
  <c r="BD13" i="2" s="1"/>
  <c r="BC11" i="2"/>
  <c r="BC13" i="2" s="1"/>
  <c r="BB11" i="2"/>
  <c r="BB13" i="2" s="1"/>
  <c r="BA11" i="2"/>
  <c r="BA13" i="2" s="1"/>
  <c r="AZ11" i="2"/>
  <c r="AZ13" i="2" s="1"/>
  <c r="AY11" i="2"/>
  <c r="AY13" i="2" s="1"/>
  <c r="AX11" i="2"/>
  <c r="AX13" i="2" s="1"/>
  <c r="AW11" i="2"/>
  <c r="AW13" i="2" s="1"/>
  <c r="BP11" i="2"/>
  <c r="BP13" i="2" s="1"/>
  <c r="CK61" i="2"/>
  <c r="CK59" i="2"/>
  <c r="CK58" i="2"/>
  <c r="CK56" i="2"/>
  <c r="CK54" i="2"/>
  <c r="CK53" i="2"/>
  <c r="CK51" i="2"/>
  <c r="CK50" i="2"/>
  <c r="CK49" i="2"/>
  <c r="CK48" i="2"/>
  <c r="CK47" i="2"/>
  <c r="CK46" i="2"/>
  <c r="CK45" i="2"/>
  <c r="CK44" i="2"/>
  <c r="CK43" i="2"/>
  <c r="CK41" i="2"/>
  <c r="CF12" i="2"/>
  <c r="CF10" i="2"/>
  <c r="CF9" i="2"/>
  <c r="CF8" i="2"/>
  <c r="CF7" i="2"/>
  <c r="CF5" i="2"/>
  <c r="CF4" i="2"/>
  <c r="CF3" i="2"/>
  <c r="CG26" i="2"/>
  <c r="CG25" i="2"/>
  <c r="CG24" i="2"/>
  <c r="CG23" i="2"/>
  <c r="CG12" i="2"/>
  <c r="CG10" i="2"/>
  <c r="CG9" i="2"/>
  <c r="CG8" i="2"/>
  <c r="CG7" i="2"/>
  <c r="CG5" i="2"/>
  <c r="CG4" i="2"/>
  <c r="CG3" i="2"/>
  <c r="CH26" i="2"/>
  <c r="CH25" i="2"/>
  <c r="CH24" i="2"/>
  <c r="CH23" i="2"/>
  <c r="CH12" i="2"/>
  <c r="CH10" i="2"/>
  <c r="CH9" i="2"/>
  <c r="CH8" i="2"/>
  <c r="CH7" i="2"/>
  <c r="CH5" i="2"/>
  <c r="CH4" i="2"/>
  <c r="CH3" i="2"/>
  <c r="CI26" i="2"/>
  <c r="CI25" i="2"/>
  <c r="CI24" i="2"/>
  <c r="CI23" i="2"/>
  <c r="CI12" i="2"/>
  <c r="CI10" i="2"/>
  <c r="CI9" i="2"/>
  <c r="CI8" i="2"/>
  <c r="CI7" i="2"/>
  <c r="CI5" i="2"/>
  <c r="CI4" i="2"/>
  <c r="CI3" i="2"/>
  <c r="CK26" i="2"/>
  <c r="CK25" i="2"/>
  <c r="CK24" i="2"/>
  <c r="CK23" i="2"/>
  <c r="CK12" i="2"/>
  <c r="CK10" i="2"/>
  <c r="CK9" i="2"/>
  <c r="CK8" i="2"/>
  <c r="CK7" i="2"/>
  <c r="CK5" i="2"/>
  <c r="CK4" i="2"/>
  <c r="CK3" i="2"/>
  <c r="CJ26" i="2"/>
  <c r="CJ25" i="2"/>
  <c r="CJ24" i="2"/>
  <c r="CJ23" i="2"/>
  <c r="CJ12" i="2"/>
  <c r="CJ10" i="2"/>
  <c r="CJ9" i="2"/>
  <c r="CJ8" i="2"/>
  <c r="CJ7" i="2"/>
  <c r="CJ5" i="2"/>
  <c r="CJ4" i="2"/>
  <c r="CJ3" i="2"/>
  <c r="AW68" i="2"/>
  <c r="AV68" i="2"/>
  <c r="AU68" i="2"/>
  <c r="AT68" i="2"/>
  <c r="AS68" i="2"/>
  <c r="AR68" i="2"/>
  <c r="AQ68" i="2"/>
  <c r="AP68" i="2"/>
  <c r="AO68" i="2"/>
  <c r="AN68" i="2"/>
  <c r="AM68" i="2"/>
  <c r="AL68" i="2"/>
  <c r="AK68" i="2"/>
  <c r="AJ68" i="2"/>
  <c r="AI68" i="2"/>
  <c r="AH68" i="2"/>
  <c r="AG68" i="2"/>
  <c r="AF68" i="2"/>
  <c r="AE68" i="2"/>
  <c r="AD68" i="2"/>
  <c r="AC68" i="2"/>
  <c r="AB68" i="2"/>
  <c r="AA68" i="2"/>
  <c r="Z68" i="2"/>
  <c r="Y68" i="2"/>
  <c r="X68" i="2"/>
  <c r="W68" i="2"/>
  <c r="V68" i="2"/>
  <c r="U68" i="2"/>
  <c r="T68" i="2"/>
  <c r="S68" i="2"/>
  <c r="R68" i="2"/>
  <c r="Q68" i="2"/>
  <c r="P68" i="2"/>
  <c r="O68" i="2"/>
  <c r="N68" i="2"/>
  <c r="M68" i="2"/>
  <c r="L68" i="2"/>
  <c r="K68" i="2"/>
  <c r="J68" i="2"/>
  <c r="I68" i="2"/>
  <c r="H68" i="2"/>
  <c r="G68" i="2"/>
  <c r="F68" i="2"/>
  <c r="E68" i="2"/>
  <c r="D68" i="2"/>
  <c r="C68" i="2"/>
  <c r="AW67" i="2"/>
  <c r="AV67" i="2"/>
  <c r="AU67" i="2"/>
  <c r="AT67" i="2"/>
  <c r="AS67" i="2"/>
  <c r="AR67" i="2"/>
  <c r="AQ67" i="2"/>
  <c r="AP67" i="2"/>
  <c r="AO67" i="2"/>
  <c r="AN67" i="2"/>
  <c r="AM67" i="2"/>
  <c r="AL67" i="2"/>
  <c r="AK67" i="2"/>
  <c r="AJ67" i="2"/>
  <c r="AI67" i="2"/>
  <c r="AH67" i="2"/>
  <c r="AG67" i="2"/>
  <c r="AF67" i="2"/>
  <c r="AE67" i="2"/>
  <c r="AD67" i="2"/>
  <c r="AC67" i="2"/>
  <c r="AB67" i="2"/>
  <c r="AA67" i="2"/>
  <c r="Z67" i="2"/>
  <c r="Y67" i="2"/>
  <c r="X67" i="2"/>
  <c r="W67" i="2"/>
  <c r="V67" i="2"/>
  <c r="U67" i="2"/>
  <c r="T67" i="2"/>
  <c r="S67" i="2"/>
  <c r="R67" i="2"/>
  <c r="Q67" i="2"/>
  <c r="P67" i="2"/>
  <c r="O67" i="2"/>
  <c r="N67" i="2"/>
  <c r="M67" i="2"/>
  <c r="L67" i="2"/>
  <c r="K67" i="2"/>
  <c r="J67" i="2"/>
  <c r="I67" i="2"/>
  <c r="H67" i="2"/>
  <c r="G67" i="2"/>
  <c r="F67" i="2"/>
  <c r="E67" i="2"/>
  <c r="D67" i="2"/>
  <c r="C67" i="2"/>
  <c r="AW65" i="2"/>
  <c r="AV65" i="2"/>
  <c r="AU65" i="2"/>
  <c r="AT65" i="2"/>
  <c r="AS65" i="2"/>
  <c r="AR65" i="2"/>
  <c r="AQ65" i="2"/>
  <c r="AP65" i="2"/>
  <c r="AO65" i="2"/>
  <c r="AN65" i="2"/>
  <c r="AM65" i="2"/>
  <c r="AL65" i="2"/>
  <c r="AK65" i="2"/>
  <c r="AJ65" i="2"/>
  <c r="AI65" i="2"/>
  <c r="AH65" i="2"/>
  <c r="AG65" i="2"/>
  <c r="AF65" i="2"/>
  <c r="AE65" i="2"/>
  <c r="AD65" i="2"/>
  <c r="AC65" i="2"/>
  <c r="AB65" i="2"/>
  <c r="AA65" i="2"/>
  <c r="Z65" i="2"/>
  <c r="Y65" i="2"/>
  <c r="X65" i="2"/>
  <c r="W65" i="2"/>
  <c r="V65" i="2"/>
  <c r="U65" i="2"/>
  <c r="T65" i="2"/>
  <c r="S65" i="2"/>
  <c r="R65" i="2"/>
  <c r="Q65" i="2"/>
  <c r="P65" i="2"/>
  <c r="O65" i="2"/>
  <c r="N65" i="2"/>
  <c r="M65" i="2"/>
  <c r="L65" i="2"/>
  <c r="K65" i="2"/>
  <c r="J65" i="2"/>
  <c r="I65" i="2"/>
  <c r="H65" i="2"/>
  <c r="G65" i="2"/>
  <c r="F65" i="2"/>
  <c r="E65" i="2"/>
  <c r="D65" i="2"/>
  <c r="C65" i="2"/>
  <c r="AW66" i="2"/>
  <c r="AV66" i="2"/>
  <c r="AU66" i="2"/>
  <c r="AT66" i="2"/>
  <c r="AS66" i="2"/>
  <c r="AR66" i="2"/>
  <c r="AQ66" i="2"/>
  <c r="AP66" i="2"/>
  <c r="AO66" i="2"/>
  <c r="AN66" i="2"/>
  <c r="AM66" i="2"/>
  <c r="AL66" i="2"/>
  <c r="AK66" i="2"/>
  <c r="AJ66" i="2"/>
  <c r="AI66" i="2"/>
  <c r="AH66" i="2"/>
  <c r="AG66" i="2"/>
  <c r="AF66" i="2"/>
  <c r="AE66" i="2"/>
  <c r="AD66" i="2"/>
  <c r="AC66" i="2"/>
  <c r="AB66" i="2"/>
  <c r="AA66" i="2"/>
  <c r="Z66" i="2"/>
  <c r="Y66" i="2"/>
  <c r="X66" i="2"/>
  <c r="W66" i="2"/>
  <c r="V66" i="2"/>
  <c r="U66" i="2"/>
  <c r="T66" i="2"/>
  <c r="S66" i="2"/>
  <c r="R66" i="2"/>
  <c r="Q66" i="2"/>
  <c r="P66" i="2"/>
  <c r="O66" i="2"/>
  <c r="N66" i="2"/>
  <c r="M66" i="2"/>
  <c r="L66" i="2"/>
  <c r="K66" i="2"/>
  <c r="J66" i="2"/>
  <c r="I66" i="2"/>
  <c r="H66" i="2"/>
  <c r="G66" i="2"/>
  <c r="F66" i="2"/>
  <c r="E66" i="2"/>
  <c r="D66" i="2"/>
  <c r="C66" i="2"/>
  <c r="AW64" i="2"/>
  <c r="AV64" i="2"/>
  <c r="AU64" i="2"/>
  <c r="AT64" i="2"/>
  <c r="AS64" i="2"/>
  <c r="AR64" i="2"/>
  <c r="AQ64" i="2"/>
  <c r="AP64" i="2"/>
  <c r="AO64" i="2"/>
  <c r="AN64" i="2"/>
  <c r="AM64" i="2"/>
  <c r="AL64" i="2"/>
  <c r="AK64" i="2"/>
  <c r="AJ64" i="2"/>
  <c r="AI64" i="2"/>
  <c r="AH64" i="2"/>
  <c r="AG64" i="2"/>
  <c r="AF64" i="2"/>
  <c r="AE64" i="2"/>
  <c r="AD64" i="2"/>
  <c r="AC64" i="2"/>
  <c r="AB64" i="2"/>
  <c r="AA64" i="2"/>
  <c r="Z64" i="2"/>
  <c r="Y64" i="2"/>
  <c r="X64" i="2"/>
  <c r="W64" i="2"/>
  <c r="V64" i="2"/>
  <c r="U64" i="2"/>
  <c r="T64" i="2"/>
  <c r="S64" i="2"/>
  <c r="R64" i="2"/>
  <c r="Q64" i="2"/>
  <c r="P64" i="2"/>
  <c r="O64" i="2"/>
  <c r="N64" i="2"/>
  <c r="M64" i="2"/>
  <c r="L64" i="2"/>
  <c r="K64" i="2"/>
  <c r="J64" i="2"/>
  <c r="I64" i="2"/>
  <c r="H64" i="2"/>
  <c r="G64" i="2"/>
  <c r="F64" i="2"/>
  <c r="E64" i="2"/>
  <c r="D64" i="2"/>
  <c r="C64" i="2"/>
  <c r="BO37" i="2"/>
  <c r="BN37" i="2"/>
  <c r="BM37" i="2"/>
  <c r="BL37" i="2"/>
  <c r="BK37" i="2"/>
  <c r="BJ37" i="2"/>
  <c r="BI37" i="2"/>
  <c r="BH37" i="2"/>
  <c r="BG37" i="2"/>
  <c r="BF37" i="2"/>
  <c r="BE37" i="2"/>
  <c r="BD37" i="2"/>
  <c r="BC37" i="2"/>
  <c r="BB37" i="2"/>
  <c r="BA37" i="2"/>
  <c r="BO36" i="2"/>
  <c r="BN36" i="2"/>
  <c r="BM36" i="2"/>
  <c r="BL36" i="2"/>
  <c r="BK36" i="2"/>
  <c r="BJ36" i="2"/>
  <c r="BI36" i="2"/>
  <c r="BH36" i="2"/>
  <c r="BG36" i="2"/>
  <c r="BF36" i="2"/>
  <c r="BE36" i="2"/>
  <c r="BD36" i="2"/>
  <c r="BC36" i="2"/>
  <c r="BB36" i="2"/>
  <c r="BA36" i="2"/>
  <c r="BO35" i="2"/>
  <c r="BN35" i="2"/>
  <c r="BM35" i="2"/>
  <c r="BL35" i="2"/>
  <c r="BK35" i="2"/>
  <c r="BJ35" i="2"/>
  <c r="BI35" i="2"/>
  <c r="BH35" i="2"/>
  <c r="BG35" i="2"/>
  <c r="BF35" i="2"/>
  <c r="BE35" i="2"/>
  <c r="BD35" i="2"/>
  <c r="BC35" i="2"/>
  <c r="BB35" i="2"/>
  <c r="BA35" i="2"/>
  <c r="BO34" i="2"/>
  <c r="BN34" i="2"/>
  <c r="BM34" i="2"/>
  <c r="BL34" i="2"/>
  <c r="BK34" i="2"/>
  <c r="BJ34" i="2"/>
  <c r="BI34" i="2"/>
  <c r="BH34" i="2"/>
  <c r="BG34" i="2"/>
  <c r="BF34" i="2"/>
  <c r="BE34" i="2"/>
  <c r="BD34" i="2"/>
  <c r="BC34" i="2"/>
  <c r="BB34" i="2"/>
  <c r="BA34" i="2"/>
  <c r="BP37" i="2"/>
  <c r="BP36" i="2"/>
  <c r="BP35" i="2"/>
  <c r="BP34" i="2"/>
  <c r="BO27" i="2"/>
  <c r="BN27" i="2"/>
  <c r="BM27" i="2"/>
  <c r="BL27" i="2"/>
  <c r="BK27" i="2"/>
  <c r="BJ27" i="2"/>
  <c r="BI27" i="2"/>
  <c r="BH27" i="2"/>
  <c r="BG27" i="2"/>
  <c r="BF27" i="2"/>
  <c r="BE27" i="2"/>
  <c r="BD27" i="2"/>
  <c r="BC27" i="2"/>
  <c r="BB27" i="2"/>
  <c r="BA27" i="2"/>
  <c r="AZ27" i="2"/>
  <c r="AY27" i="2"/>
  <c r="AX27" i="2"/>
  <c r="AX30" i="2" s="1"/>
  <c r="BP27" i="2"/>
  <c r="BO6" i="2"/>
  <c r="BN6" i="2"/>
  <c r="BM6" i="2"/>
  <c r="BL6" i="2"/>
  <c r="BK6" i="2"/>
  <c r="BJ6" i="2"/>
  <c r="BI6" i="2"/>
  <c r="BH6" i="2"/>
  <c r="BG6" i="2"/>
  <c r="BF6" i="2"/>
  <c r="BF14" i="2" s="1"/>
  <c r="BE6" i="2"/>
  <c r="BD6" i="2"/>
  <c r="BC6" i="2"/>
  <c r="BB6" i="2"/>
  <c r="BA6" i="2"/>
  <c r="AZ6" i="2"/>
  <c r="AY6" i="2"/>
  <c r="AX6" i="2"/>
  <c r="AX14" i="2" s="1"/>
  <c r="AW6" i="2"/>
  <c r="CI62" i="2"/>
  <c r="CH62" i="2"/>
  <c r="CG62" i="2"/>
  <c r="CJ61" i="2"/>
  <c r="CI61" i="2"/>
  <c r="CH61" i="2"/>
  <c r="CG61" i="2"/>
  <c r="CI60" i="2"/>
  <c r="CH60" i="2"/>
  <c r="CG60" i="2"/>
  <c r="CJ59" i="2"/>
  <c r="CI59" i="2"/>
  <c r="CH59" i="2"/>
  <c r="CG59" i="2"/>
  <c r="CJ58" i="2"/>
  <c r="CI58" i="2"/>
  <c r="CH58" i="2"/>
  <c r="CG58" i="2"/>
  <c r="CJ51" i="2"/>
  <c r="CI51" i="2"/>
  <c r="CH51" i="2"/>
  <c r="CG51" i="2"/>
  <c r="CF51" i="2"/>
  <c r="CE51" i="2"/>
  <c r="CD51" i="2"/>
  <c r="CC51" i="2"/>
  <c r="CB51" i="2"/>
  <c r="CA51" i="2"/>
  <c r="BZ51" i="2"/>
  <c r="BY51" i="2"/>
  <c r="BX51" i="2"/>
  <c r="BW51" i="2"/>
  <c r="BV51" i="2"/>
  <c r="CJ50" i="2"/>
  <c r="CI50" i="2"/>
  <c r="CH50" i="2"/>
  <c r="CG50" i="2"/>
  <c r="CF50" i="2"/>
  <c r="CE50" i="2"/>
  <c r="CD50" i="2"/>
  <c r="CC50" i="2"/>
  <c r="CB50" i="2"/>
  <c r="CA50" i="2"/>
  <c r="BZ50" i="2"/>
  <c r="BY50" i="2"/>
  <c r="BX50" i="2"/>
  <c r="BW50" i="2"/>
  <c r="BV50" i="2"/>
  <c r="CJ49" i="2"/>
  <c r="CI49" i="2"/>
  <c r="CH49" i="2"/>
  <c r="CG49" i="2"/>
  <c r="CF49" i="2"/>
  <c r="CE49" i="2"/>
  <c r="CD49" i="2"/>
  <c r="CC49" i="2"/>
  <c r="CB49" i="2"/>
  <c r="CA49" i="2"/>
  <c r="BZ49" i="2"/>
  <c r="BY49" i="2"/>
  <c r="BX49" i="2"/>
  <c r="BW49" i="2"/>
  <c r="BV49" i="2"/>
  <c r="CJ48" i="2"/>
  <c r="CI48" i="2"/>
  <c r="CH48" i="2"/>
  <c r="CG48" i="2"/>
  <c r="CF48" i="2"/>
  <c r="CE48" i="2"/>
  <c r="CD48" i="2"/>
  <c r="CC48" i="2"/>
  <c r="CB48" i="2"/>
  <c r="CA48" i="2"/>
  <c r="BZ48" i="2"/>
  <c r="BY48" i="2"/>
  <c r="BX48" i="2"/>
  <c r="BW48" i="2"/>
  <c r="BV48" i="2"/>
  <c r="CJ47" i="2"/>
  <c r="CI47" i="2"/>
  <c r="CH47" i="2"/>
  <c r="CG47" i="2"/>
  <c r="CF47" i="2"/>
  <c r="CE47" i="2"/>
  <c r="CD47" i="2"/>
  <c r="CC47" i="2"/>
  <c r="CB47" i="2"/>
  <c r="CA47" i="2"/>
  <c r="BZ47" i="2"/>
  <c r="BY47" i="2"/>
  <c r="BX47" i="2"/>
  <c r="BW47" i="2"/>
  <c r="BV47" i="2"/>
  <c r="CJ46" i="2"/>
  <c r="CI46" i="2"/>
  <c r="CH46" i="2"/>
  <c r="CG46" i="2"/>
  <c r="CF46" i="2"/>
  <c r="CE46" i="2"/>
  <c r="CD46" i="2"/>
  <c r="CC46" i="2"/>
  <c r="CB46" i="2"/>
  <c r="CA46" i="2"/>
  <c r="BZ46" i="2"/>
  <c r="BY46" i="2"/>
  <c r="BX46" i="2"/>
  <c r="BW46" i="2"/>
  <c r="BV46" i="2"/>
  <c r="CJ45" i="2"/>
  <c r="CI45" i="2"/>
  <c r="CH45" i="2"/>
  <c r="CG45" i="2"/>
  <c r="CF45" i="2"/>
  <c r="CE45" i="2"/>
  <c r="CD45" i="2"/>
  <c r="CC45" i="2"/>
  <c r="CB45" i="2"/>
  <c r="CA45" i="2"/>
  <c r="BZ45" i="2"/>
  <c r="BY45" i="2"/>
  <c r="BX45" i="2"/>
  <c r="BW45" i="2"/>
  <c r="BV45" i="2"/>
  <c r="BF104" i="2" l="1"/>
  <c r="CI101" i="2"/>
  <c r="BH102" i="2"/>
  <c r="BH104" i="2" s="1"/>
  <c r="CJ102" i="2"/>
  <c r="BL102" i="2"/>
  <c r="BL104" i="2" s="1"/>
  <c r="BP102" i="2"/>
  <c r="BP104" i="2" s="1"/>
  <c r="CK102" i="2"/>
  <c r="BL60" i="2"/>
  <c r="BL62" i="2" s="1"/>
  <c r="CJ104" i="2"/>
  <c r="BG19" i="2"/>
  <c r="CK104" i="2"/>
  <c r="BB38" i="2"/>
  <c r="BG20" i="2"/>
  <c r="CH36" i="2"/>
  <c r="BA30" i="2"/>
  <c r="BA40" i="2"/>
  <c r="BC32" i="2"/>
  <c r="BC40" i="2"/>
  <c r="BK32" i="2"/>
  <c r="BA38" i="2"/>
  <c r="BD32" i="2"/>
  <c r="BD40" i="2"/>
  <c r="BB32" i="2"/>
  <c r="BB40" i="2"/>
  <c r="BE32" i="2"/>
  <c r="BE40" i="2"/>
  <c r="AX32" i="2"/>
  <c r="AX40" i="2"/>
  <c r="BF32" i="2"/>
  <c r="BF40" i="2"/>
  <c r="AY32" i="2"/>
  <c r="AY40" i="2"/>
  <c r="BG32" i="2"/>
  <c r="BG40" i="2"/>
  <c r="BO32" i="2"/>
  <c r="BO40" i="2"/>
  <c r="BO42" i="2" s="1"/>
  <c r="BO52" i="2" s="1"/>
  <c r="AZ31" i="2"/>
  <c r="AZ40" i="2"/>
  <c r="BH31" i="2"/>
  <c r="BH40" i="2"/>
  <c r="BL32" i="2"/>
  <c r="BL40" i="2"/>
  <c r="BP31" i="2"/>
  <c r="BP40" i="2"/>
  <c r="BP42" i="2" s="1"/>
  <c r="BP14" i="2"/>
  <c r="BP17" i="2" s="1"/>
  <c r="CI35" i="2"/>
  <c r="BI30" i="2"/>
  <c r="BI40" i="2"/>
  <c r="BI38" i="2"/>
  <c r="CG11" i="2"/>
  <c r="CG13" i="2" s="1"/>
  <c r="CG6" i="2"/>
  <c r="BM32" i="2"/>
  <c r="BM40" i="2"/>
  <c r="BM42" i="2" s="1"/>
  <c r="CJ37" i="2"/>
  <c r="CJ36" i="2"/>
  <c r="CJ35" i="2"/>
  <c r="CK34" i="2"/>
  <c r="BJ32" i="2"/>
  <c r="BJ40" i="2"/>
  <c r="BJ42" i="2" s="1"/>
  <c r="BJ52" i="2" s="1"/>
  <c r="CH27" i="2"/>
  <c r="CH31" i="2" s="1"/>
  <c r="BJ38" i="2"/>
  <c r="BN32" i="2"/>
  <c r="BN40" i="2"/>
  <c r="BN42" i="2" s="1"/>
  <c r="BN52" i="2" s="1"/>
  <c r="BN55" i="2" s="1"/>
  <c r="BN57" i="2" s="1"/>
  <c r="CH11" i="2"/>
  <c r="CH13" i="2" s="1"/>
  <c r="CK6" i="2"/>
  <c r="BN14" i="2"/>
  <c r="BN17" i="2" s="1"/>
  <c r="CJ34" i="2"/>
  <c r="BO29" i="2"/>
  <c r="CK11" i="2"/>
  <c r="CK13" i="2" s="1"/>
  <c r="BO20" i="2"/>
  <c r="CJ6" i="2"/>
  <c r="BO19" i="2"/>
  <c r="CJ11" i="2"/>
  <c r="CJ13" i="2" s="1"/>
  <c r="BH14" i="2"/>
  <c r="CI11" i="2"/>
  <c r="CI13" i="2" s="1"/>
  <c r="CF11" i="2"/>
  <c r="CF13" i="2" s="1"/>
  <c r="BB30" i="2"/>
  <c r="BC38" i="2"/>
  <c r="BK38" i="2"/>
  <c r="CK35" i="2"/>
  <c r="CI36" i="2"/>
  <c r="CG27" i="2"/>
  <c r="CG38" i="2" s="1"/>
  <c r="AY14" i="2"/>
  <c r="AY16" i="2" s="1"/>
  <c r="BC30" i="2"/>
  <c r="BM31" i="2"/>
  <c r="BD38" i="2"/>
  <c r="BL38" i="2"/>
  <c r="CK36" i="2"/>
  <c r="CI6" i="2"/>
  <c r="CH6" i="2"/>
  <c r="BN30" i="2"/>
  <c r="BE38" i="2"/>
  <c r="BM38" i="2"/>
  <c r="CK37" i="2"/>
  <c r="CF6" i="2"/>
  <c r="BD20" i="2"/>
  <c r="BL20" i="2"/>
  <c r="AY29" i="2"/>
  <c r="BF38" i="2"/>
  <c r="BN38" i="2"/>
  <c r="CK27" i="2"/>
  <c r="CK30" i="2" s="1"/>
  <c r="CH35" i="2"/>
  <c r="BP38" i="2"/>
  <c r="CG37" i="2"/>
  <c r="C16" i="2"/>
  <c r="BE20" i="2"/>
  <c r="BM20" i="2"/>
  <c r="BB29" i="2"/>
  <c r="BG38" i="2"/>
  <c r="BO38" i="2"/>
  <c r="AR17" i="2"/>
  <c r="AZ14" i="2"/>
  <c r="AZ16" i="2" s="1"/>
  <c r="BC29" i="2"/>
  <c r="BH38" i="2"/>
  <c r="CI27" i="2"/>
  <c r="CH37" i="2"/>
  <c r="CG35" i="2"/>
  <c r="CG34" i="2"/>
  <c r="CG36" i="2"/>
  <c r="CH34" i="2"/>
  <c r="CI37" i="2"/>
  <c r="CI34" i="2"/>
  <c r="AA16" i="2"/>
  <c r="BF29" i="2"/>
  <c r="BE30" i="2"/>
  <c r="BA31" i="2"/>
  <c r="CJ27" i="2"/>
  <c r="BP29" i="2"/>
  <c r="BG29" i="2"/>
  <c r="BF30" i="2"/>
  <c r="BB31" i="2"/>
  <c r="S16" i="2"/>
  <c r="BP30" i="2"/>
  <c r="BJ29" i="2"/>
  <c r="BJ30" i="2"/>
  <c r="BE31" i="2"/>
  <c r="BF20" i="2"/>
  <c r="BN20" i="2"/>
  <c r="AB16" i="2"/>
  <c r="BP32" i="2"/>
  <c r="BK29" i="2"/>
  <c r="BK30" i="2"/>
  <c r="BI31" i="2"/>
  <c r="I16" i="2"/>
  <c r="Q17" i="2"/>
  <c r="Y17" i="2"/>
  <c r="AG17" i="2"/>
  <c r="AO17" i="2"/>
  <c r="AW14" i="2"/>
  <c r="AW17" i="2" s="1"/>
  <c r="BE14" i="2"/>
  <c r="BE17" i="2" s="1"/>
  <c r="BM14" i="2"/>
  <c r="BM17" i="2" s="1"/>
  <c r="BC20" i="2"/>
  <c r="BK20" i="2"/>
  <c r="AX29" i="2"/>
  <c r="BN29" i="2"/>
  <c r="BM30" i="2"/>
  <c r="BJ31" i="2"/>
  <c r="BL29" i="2"/>
  <c r="BI32" i="2"/>
  <c r="T17" i="2"/>
  <c r="BE29" i="2"/>
  <c r="BM29" i="2"/>
  <c r="BD30" i="2"/>
  <c r="BL30" i="2"/>
  <c r="BC31" i="2"/>
  <c r="BK31" i="2"/>
  <c r="BD29" i="2"/>
  <c r="BA32" i="2"/>
  <c r="BH19" i="2"/>
  <c r="BP20" i="2"/>
  <c r="BG14" i="2"/>
  <c r="BG17" i="2" s="1"/>
  <c r="BD31" i="2"/>
  <c r="BL31" i="2"/>
  <c r="AZ32" i="2"/>
  <c r="BI19" i="2"/>
  <c r="S17" i="2"/>
  <c r="BB19" i="2"/>
  <c r="BJ19" i="2"/>
  <c r="L17" i="2"/>
  <c r="AB17" i="2"/>
  <c r="AI17" i="2"/>
  <c r="BO14" i="2"/>
  <c r="BO17" i="2" s="1"/>
  <c r="AZ29" i="2"/>
  <c r="BH29" i="2"/>
  <c r="AY30" i="2"/>
  <c r="BG30" i="2"/>
  <c r="BO30" i="2"/>
  <c r="AX31" i="2"/>
  <c r="BF31" i="2"/>
  <c r="BN31" i="2"/>
  <c r="BA19" i="2"/>
  <c r="BC19" i="2"/>
  <c r="BK19" i="2"/>
  <c r="D17" i="2"/>
  <c r="BA29" i="2"/>
  <c r="BI29" i="2"/>
  <c r="AZ30" i="2"/>
  <c r="BH30" i="2"/>
  <c r="AY31" i="2"/>
  <c r="BG31" i="2"/>
  <c r="BO31" i="2"/>
  <c r="BH32" i="2"/>
  <c r="AA17" i="2"/>
  <c r="K17" i="2"/>
  <c r="AQ16" i="2"/>
  <c r="AO16" i="2"/>
  <c r="J17" i="2"/>
  <c r="R17" i="2"/>
  <c r="Z17" i="2"/>
  <c r="AH17" i="2"/>
  <c r="AP17" i="2"/>
  <c r="AX17" i="2"/>
  <c r="BF17" i="2"/>
  <c r="BD19" i="2"/>
  <c r="BL19" i="2"/>
  <c r="E17" i="2"/>
  <c r="AC16" i="2"/>
  <c r="BA14" i="2"/>
  <c r="BI14" i="2"/>
  <c r="J16" i="2"/>
  <c r="R16" i="2"/>
  <c r="Z16" i="2"/>
  <c r="AH16" i="2"/>
  <c r="AP16" i="2"/>
  <c r="AX16" i="2"/>
  <c r="BF16" i="2"/>
  <c r="I17" i="2"/>
  <c r="BE19" i="2"/>
  <c r="BM19" i="2"/>
  <c r="BH20" i="2"/>
  <c r="BJ14" i="2"/>
  <c r="BJ21" i="2" s="1"/>
  <c r="BF19" i="2"/>
  <c r="BN19" i="2"/>
  <c r="BA20" i="2"/>
  <c r="BI20" i="2"/>
  <c r="BB14" i="2"/>
  <c r="BB21" i="2" s="1"/>
  <c r="O16" i="2"/>
  <c r="AE16" i="2"/>
  <c r="BC14" i="2"/>
  <c r="BK14" i="2"/>
  <c r="BK16" i="2" s="1"/>
  <c r="L16" i="2"/>
  <c r="T16" i="2"/>
  <c r="AR16" i="2"/>
  <c r="BB20" i="2"/>
  <c r="BJ20" i="2"/>
  <c r="K16" i="2"/>
  <c r="H16" i="2"/>
  <c r="P16" i="2"/>
  <c r="AF16" i="2"/>
  <c r="AN16" i="2"/>
  <c r="BD14" i="2"/>
  <c r="BL14" i="2"/>
  <c r="BP19" i="2"/>
  <c r="F17" i="2"/>
  <c r="AM16" i="2"/>
  <c r="CI102" i="2" l="1"/>
  <c r="BO66" i="2"/>
  <c r="BO65" i="2"/>
  <c r="BN16" i="2"/>
  <c r="CG19" i="2"/>
  <c r="BK65" i="2"/>
  <c r="BK66" i="2"/>
  <c r="BK42" i="2"/>
  <c r="BG67" i="2"/>
  <c r="BG65" i="2"/>
  <c r="BG68" i="2"/>
  <c r="BG64" i="2"/>
  <c r="BG66" i="2"/>
  <c r="BE67" i="2"/>
  <c r="BE64" i="2"/>
  <c r="BE68" i="2"/>
  <c r="BE65" i="2"/>
  <c r="BE66" i="2"/>
  <c r="AX67" i="2"/>
  <c r="AX64" i="2"/>
  <c r="AX65" i="2"/>
  <c r="AX66" i="2"/>
  <c r="AX68" i="2"/>
  <c r="BO64" i="2"/>
  <c r="BC68" i="2"/>
  <c r="BC66" i="2"/>
  <c r="BC67" i="2"/>
  <c r="BC64" i="2"/>
  <c r="BC65" i="2"/>
  <c r="BH65" i="2"/>
  <c r="BH68" i="2"/>
  <c r="BH66" i="2"/>
  <c r="BH64" i="2"/>
  <c r="BH67" i="2"/>
  <c r="AY65" i="2"/>
  <c r="AY67" i="2"/>
  <c r="AY68" i="2"/>
  <c r="AY66" i="2"/>
  <c r="AY64" i="2"/>
  <c r="BB68" i="2"/>
  <c r="BB65" i="2"/>
  <c r="BB66" i="2"/>
  <c r="BB67" i="2"/>
  <c r="BB64" i="2"/>
  <c r="BA65" i="2"/>
  <c r="BA68" i="2"/>
  <c r="BA66" i="2"/>
  <c r="BA67" i="2"/>
  <c r="BA64" i="2"/>
  <c r="BJ55" i="2"/>
  <c r="BJ57" i="2" s="1"/>
  <c r="AZ65" i="2"/>
  <c r="AZ68" i="2"/>
  <c r="AZ66" i="2"/>
  <c r="AZ67" i="2"/>
  <c r="AZ64" i="2"/>
  <c r="BF67" i="2"/>
  <c r="BF64" i="2"/>
  <c r="BF65" i="2"/>
  <c r="BF66" i="2"/>
  <c r="BF68" i="2"/>
  <c r="BD66" i="2"/>
  <c r="BD67" i="2"/>
  <c r="BD64" i="2"/>
  <c r="BD68" i="2"/>
  <c r="BD65" i="2"/>
  <c r="BL68" i="2"/>
  <c r="BL67" i="2"/>
  <c r="BL66" i="2"/>
  <c r="BL65" i="2"/>
  <c r="BL64" i="2"/>
  <c r="BP64" i="2"/>
  <c r="BP68" i="2"/>
  <c r="BP67" i="2"/>
  <c r="BP66" i="2"/>
  <c r="BP65" i="2"/>
  <c r="CG31" i="2"/>
  <c r="CH32" i="2"/>
  <c r="CG30" i="2"/>
  <c r="CG29" i="2"/>
  <c r="BI68" i="2"/>
  <c r="BI66" i="2"/>
  <c r="BI67" i="2"/>
  <c r="BI65" i="2"/>
  <c r="BI64" i="2"/>
  <c r="CG14" i="2"/>
  <c r="CG16" i="2" s="1"/>
  <c r="CK40" i="2"/>
  <c r="BM68" i="2"/>
  <c r="BM64" i="2"/>
  <c r="BM65" i="2"/>
  <c r="BM66" i="2"/>
  <c r="BM67" i="2"/>
  <c r="CK14" i="2"/>
  <c r="CK17" i="2" s="1"/>
  <c r="BM16" i="2"/>
  <c r="CK19" i="2"/>
  <c r="CK32" i="2"/>
  <c r="CH30" i="2"/>
  <c r="CH29" i="2"/>
  <c r="CH38" i="2"/>
  <c r="BJ66" i="2"/>
  <c r="BJ64" i="2"/>
  <c r="BJ65" i="2"/>
  <c r="BJ67" i="2"/>
  <c r="BN68" i="2"/>
  <c r="BN67" i="2"/>
  <c r="BN65" i="2"/>
  <c r="BN66" i="2"/>
  <c r="BN64" i="2"/>
  <c r="CI14" i="2"/>
  <c r="CI16" i="2" s="1"/>
  <c r="BE16" i="2"/>
  <c r="AW16" i="2"/>
  <c r="CI20" i="2"/>
  <c r="CJ19" i="2"/>
  <c r="CK42" i="2"/>
  <c r="BO55" i="2"/>
  <c r="BO67" i="2"/>
  <c r="CK52" i="2"/>
  <c r="CG20" i="2"/>
  <c r="CF14" i="2"/>
  <c r="CF16" i="2" s="1"/>
  <c r="CJ20" i="2"/>
  <c r="CK20" i="2"/>
  <c r="CJ14" i="2"/>
  <c r="CJ16" i="2" s="1"/>
  <c r="BH16" i="2"/>
  <c r="BH17" i="2"/>
  <c r="CH14" i="2"/>
  <c r="CH20" i="2"/>
  <c r="BG21" i="2"/>
  <c r="BH21" i="2"/>
  <c r="C17" i="2"/>
  <c r="AZ17" i="2"/>
  <c r="BP16" i="2"/>
  <c r="BO16" i="2"/>
  <c r="CI19" i="2"/>
  <c r="AS16" i="2"/>
  <c r="Q16" i="2"/>
  <c r="V17" i="2"/>
  <c r="CI38" i="2"/>
  <c r="CI30" i="2"/>
  <c r="CI32" i="2"/>
  <c r="CI31" i="2"/>
  <c r="AY17" i="2"/>
  <c r="CK38" i="2"/>
  <c r="BJ16" i="2"/>
  <c r="CK31" i="2"/>
  <c r="CH19" i="2"/>
  <c r="CJ30" i="2"/>
  <c r="CJ38" i="2"/>
  <c r="CI29" i="2"/>
  <c r="AD17" i="2"/>
  <c r="V16" i="2"/>
  <c r="BA21" i="2"/>
  <c r="CG32" i="2"/>
  <c r="CK29" i="2"/>
  <c r="AG16" i="2"/>
  <c r="U16" i="2"/>
  <c r="Y16" i="2"/>
  <c r="BI21" i="2"/>
  <c r="AQ17" i="2"/>
  <c r="AS17" i="2"/>
  <c r="CJ31" i="2"/>
  <c r="CJ29" i="2"/>
  <c r="AI16" i="2"/>
  <c r="U17" i="2"/>
  <c r="CJ32" i="2"/>
  <c r="BI16" i="2"/>
  <c r="AL17" i="2"/>
  <c r="BA16" i="2"/>
  <c r="BG16" i="2"/>
  <c r="AJ16" i="2"/>
  <c r="AJ17" i="2"/>
  <c r="BB16" i="2"/>
  <c r="BM21" i="2"/>
  <c r="D16" i="2"/>
  <c r="W16" i="2"/>
  <c r="BL17" i="2"/>
  <c r="BL21" i="2"/>
  <c r="G17" i="2"/>
  <c r="M17" i="2"/>
  <c r="AT16" i="2"/>
  <c r="AV17" i="2"/>
  <c r="N17" i="2"/>
  <c r="AL16" i="2"/>
  <c r="AN17" i="2"/>
  <c r="AU17" i="2"/>
  <c r="F16" i="2"/>
  <c r="BE21" i="2"/>
  <c r="BD16" i="2"/>
  <c r="BI17" i="2"/>
  <c r="G16" i="2"/>
  <c r="AD16" i="2"/>
  <c r="AK16" i="2"/>
  <c r="AF17" i="2"/>
  <c r="AM17" i="2"/>
  <c r="AV16" i="2"/>
  <c r="BA17" i="2"/>
  <c r="BJ17" i="2"/>
  <c r="X17" i="2"/>
  <c r="AE17" i="2"/>
  <c r="BN21" i="2"/>
  <c r="BP21" i="2"/>
  <c r="BB17" i="2"/>
  <c r="BC16" i="2"/>
  <c r="N16" i="2"/>
  <c r="P17" i="2"/>
  <c r="W17" i="2"/>
  <c r="E16" i="2"/>
  <c r="AK17" i="2"/>
  <c r="AT17" i="2"/>
  <c r="AU16" i="2"/>
  <c r="M16" i="2"/>
  <c r="H17" i="2"/>
  <c r="O17" i="2"/>
  <c r="BF21" i="2"/>
  <c r="X16" i="2"/>
  <c r="AC17" i="2"/>
  <c r="BK17" i="2"/>
  <c r="BK21" i="2"/>
  <c r="BD17" i="2"/>
  <c r="BD21" i="2"/>
  <c r="BO21" i="2"/>
  <c r="BC17" i="2"/>
  <c r="BC21" i="2"/>
  <c r="BL16" i="2"/>
  <c r="BJ62" i="2" l="1"/>
  <c r="BN62" i="2"/>
  <c r="BK64" i="2"/>
  <c r="BK52" i="2"/>
  <c r="CF17" i="2"/>
  <c r="BJ68" i="2"/>
  <c r="CK55" i="2"/>
  <c r="BO57" i="2"/>
  <c r="CG21" i="2"/>
  <c r="CG17" i="2"/>
  <c r="CH21" i="2"/>
  <c r="CK64" i="2"/>
  <c r="CK66" i="2"/>
  <c r="CK65" i="2"/>
  <c r="CK67" i="2"/>
  <c r="CK16" i="2"/>
  <c r="CH16" i="2"/>
  <c r="CH17" i="2"/>
  <c r="CI17" i="2"/>
  <c r="CI21" i="2"/>
  <c r="CJ17" i="2"/>
  <c r="CJ21" i="2"/>
  <c r="CK21" i="2"/>
  <c r="BO68" i="2" l="1"/>
  <c r="CK57" i="2"/>
  <c r="CK68" i="2" s="1"/>
  <c r="BK55" i="2"/>
  <c r="BK57" i="2" s="1"/>
  <c r="BK60" i="2" s="1"/>
  <c r="BK67" i="2"/>
  <c r="CJ52" i="2"/>
  <c r="BK68" i="2" l="1"/>
  <c r="BO62" i="2"/>
  <c r="CK62" i="2" s="1"/>
  <c r="CK60" i="2"/>
  <c r="BK62" i="2" l="1"/>
  <c r="CJ62" i="2" s="1"/>
  <c r="CJ60" i="2"/>
  <c r="C8" i="1" l="1"/>
  <c r="CJ57" i="2" l="1"/>
  <c r="CJ56" i="2"/>
  <c r="CJ55" i="2"/>
  <c r="CJ54" i="2"/>
  <c r="CJ44" i="2"/>
  <c r="CJ43" i="2"/>
  <c r="CJ42" i="2"/>
  <c r="CJ41" i="2"/>
  <c r="CJ40" i="2"/>
  <c r="CI57" i="2"/>
  <c r="CI56" i="2"/>
  <c r="CI55" i="2"/>
  <c r="CI54" i="2"/>
  <c r="CI52" i="2"/>
  <c r="CI44" i="2"/>
  <c r="CI43" i="2"/>
  <c r="CI42" i="2"/>
  <c r="CI41" i="2"/>
  <c r="CI40" i="2"/>
  <c r="CH57" i="2"/>
  <c r="CH56" i="2"/>
  <c r="CH55" i="2"/>
  <c r="CH54" i="2"/>
  <c r="CH52" i="2"/>
  <c r="CH44" i="2"/>
  <c r="CH43" i="2"/>
  <c r="CH42" i="2"/>
  <c r="CH41" i="2"/>
  <c r="CH40" i="2"/>
  <c r="CG57" i="2"/>
  <c r="CG56" i="2"/>
  <c r="CG55" i="2"/>
  <c r="CG54" i="2"/>
  <c r="CG52" i="2"/>
  <c r="CG44" i="2"/>
  <c r="CG43" i="2"/>
  <c r="CG42" i="2"/>
  <c r="CG41" i="2"/>
  <c r="CG40" i="2"/>
  <c r="CF57" i="2"/>
  <c r="CF56" i="2"/>
  <c r="CF55" i="2"/>
  <c r="CF54" i="2"/>
  <c r="CF52" i="2"/>
  <c r="CF44" i="2"/>
  <c r="CF43" i="2"/>
  <c r="CF42" i="2"/>
  <c r="CF41" i="2"/>
  <c r="CF40" i="2"/>
  <c r="CE57" i="2"/>
  <c r="CE56" i="2"/>
  <c r="CE55" i="2"/>
  <c r="CE54" i="2"/>
  <c r="CE52" i="2"/>
  <c r="CE44" i="2"/>
  <c r="CE43" i="2"/>
  <c r="CE42" i="2"/>
  <c r="CE41" i="2"/>
  <c r="CE40" i="2"/>
  <c r="CD57" i="2"/>
  <c r="CD56" i="2"/>
  <c r="CD55" i="2"/>
  <c r="CD54" i="2"/>
  <c r="CD52" i="2"/>
  <c r="CD44" i="2"/>
  <c r="CD43" i="2"/>
  <c r="CD42" i="2"/>
  <c r="CD41" i="2"/>
  <c r="CD40" i="2"/>
  <c r="CC57" i="2"/>
  <c r="CC56" i="2"/>
  <c r="CC55" i="2"/>
  <c r="CC54" i="2"/>
  <c r="CC52" i="2"/>
  <c r="CC44" i="2"/>
  <c r="CC43" i="2"/>
  <c r="CC42" i="2"/>
  <c r="CC41" i="2"/>
  <c r="CC40" i="2"/>
  <c r="CB57" i="2"/>
  <c r="CB56" i="2"/>
  <c r="CB55" i="2"/>
  <c r="CB54" i="2"/>
  <c r="CB52" i="2"/>
  <c r="CB44" i="2"/>
  <c r="CB43" i="2"/>
  <c r="CB42" i="2"/>
  <c r="CB41" i="2"/>
  <c r="CB40" i="2"/>
  <c r="CA57" i="2"/>
  <c r="CA56" i="2"/>
  <c r="CA55" i="2"/>
  <c r="CA54" i="2"/>
  <c r="CA52" i="2"/>
  <c r="CA44" i="2"/>
  <c r="CA43" i="2"/>
  <c r="CA42" i="2"/>
  <c r="CA41" i="2"/>
  <c r="CA40" i="2"/>
  <c r="BZ57" i="2"/>
  <c r="BZ56" i="2"/>
  <c r="BZ55" i="2"/>
  <c r="BZ54" i="2"/>
  <c r="BZ52" i="2"/>
  <c r="BZ44" i="2"/>
  <c r="BZ43" i="2"/>
  <c r="BZ42" i="2"/>
  <c r="BZ41" i="2"/>
  <c r="BZ40" i="2"/>
  <c r="BY57" i="2"/>
  <c r="BY56" i="2"/>
  <c r="BY55" i="2"/>
  <c r="BY54" i="2"/>
  <c r="BY52" i="2"/>
  <c r="BY44" i="2"/>
  <c r="BY43" i="2"/>
  <c r="BY42" i="2"/>
  <c r="BY41" i="2"/>
  <c r="BY40" i="2"/>
  <c r="BX57" i="2"/>
  <c r="BX56" i="2"/>
  <c r="BX55" i="2"/>
  <c r="BX54" i="2"/>
  <c r="BX52" i="2"/>
  <c r="BX44" i="2"/>
  <c r="BX43" i="2"/>
  <c r="BX42" i="2"/>
  <c r="BX41" i="2"/>
  <c r="BX40" i="2"/>
  <c r="BW57" i="2"/>
  <c r="BW56" i="2"/>
  <c r="BW55" i="2"/>
  <c r="BW54" i="2"/>
  <c r="BW52" i="2"/>
  <c r="BW44" i="2"/>
  <c r="BW43" i="2"/>
  <c r="BW42" i="2"/>
  <c r="BW41" i="2"/>
  <c r="BW40" i="2"/>
  <c r="BV57" i="2"/>
  <c r="BV56" i="2"/>
  <c r="BV55" i="2"/>
  <c r="BV54" i="2"/>
  <c r="BV52" i="2"/>
  <c r="BV44" i="2"/>
  <c r="BV43" i="2"/>
  <c r="BV42" i="2"/>
  <c r="BV41" i="2"/>
  <c r="BV40" i="2"/>
  <c r="BU2" i="2"/>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C7" i="1"/>
  <c r="C6" i="1"/>
  <c r="CB67" i="2" l="1"/>
  <c r="CJ67" i="2"/>
  <c r="BY64" i="2"/>
  <c r="BV66" i="2"/>
  <c r="BY65" i="2"/>
  <c r="CB64" i="2"/>
  <c r="CB68" i="2"/>
  <c r="CD66" i="2"/>
  <c r="CG65" i="2"/>
  <c r="CJ64" i="2"/>
  <c r="CJ68" i="2"/>
  <c r="CD68" i="2"/>
  <c r="BV65" i="2"/>
  <c r="BY66" i="2"/>
  <c r="CB65" i="2"/>
  <c r="CG66" i="2"/>
  <c r="CJ65" i="2"/>
  <c r="BY68" i="2"/>
  <c r="CG64" i="2"/>
  <c r="BV67" i="2"/>
  <c r="BX66" i="2"/>
  <c r="CB66" i="2"/>
  <c r="CD67" i="2"/>
  <c r="CE65" i="2"/>
  <c r="CF66" i="2"/>
  <c r="CJ66" i="2"/>
  <c r="CD64" i="2"/>
  <c r="BY67" i="2"/>
  <c r="CG67" i="2"/>
  <c r="CH68" i="2"/>
  <c r="CC65" i="2"/>
  <c r="CF68" i="2"/>
  <c r="BW65" i="2"/>
  <c r="BZ64" i="2"/>
  <c r="CC68" i="2"/>
  <c r="BX65" i="2"/>
  <c r="BZ68" i="2"/>
  <c r="CH64" i="2"/>
  <c r="BV64" i="2"/>
  <c r="BV68" i="2"/>
  <c r="CA65" i="2"/>
  <c r="CA66" i="2"/>
  <c r="CC67" i="2"/>
  <c r="CD65" i="2"/>
  <c r="CG68" i="2"/>
  <c r="CI66" i="2"/>
  <c r="BX68" i="2"/>
  <c r="BX64" i="2"/>
  <c r="CA64" i="2"/>
  <c r="CA68" i="2"/>
  <c r="CC66" i="2"/>
  <c r="CI64" i="2"/>
  <c r="CI68" i="2"/>
  <c r="CF64" i="2"/>
  <c r="BZ67" i="2"/>
  <c r="CH67" i="2"/>
  <c r="CF65" i="2"/>
  <c r="CF67" i="2"/>
  <c r="CI65" i="2"/>
  <c r="BX67" i="2"/>
  <c r="BW64" i="2"/>
  <c r="BW68" i="2"/>
  <c r="CA67" i="2"/>
  <c r="CC64" i="2"/>
  <c r="CE64" i="2"/>
  <c r="CE68" i="2"/>
  <c r="CI67" i="2"/>
  <c r="BW66" i="2"/>
  <c r="CE66" i="2"/>
  <c r="CE67" i="2"/>
  <c r="CH65" i="2"/>
  <c r="BZ65" i="2"/>
  <c r="BZ66" i="2"/>
  <c r="CH66" i="2"/>
  <c r="BW67" i="2"/>
  <c r="C9" i="1"/>
</calcChain>
</file>

<file path=xl/sharedStrings.xml><?xml version="1.0" encoding="utf-8"?>
<sst xmlns="http://schemas.openxmlformats.org/spreadsheetml/2006/main" count="313" uniqueCount="245">
  <si>
    <t>Price</t>
  </si>
  <si>
    <t>SC</t>
  </si>
  <si>
    <t>MC</t>
  </si>
  <si>
    <t>Cash</t>
  </si>
  <si>
    <t>Debt</t>
  </si>
  <si>
    <t>EV</t>
  </si>
  <si>
    <t>BSX</t>
  </si>
  <si>
    <t/>
  </si>
  <si>
    <t>Q3 2024</t>
  </si>
  <si>
    <t>Q2 2024</t>
  </si>
  <si>
    <t>Q1 2024</t>
  </si>
  <si>
    <t>Q3 2023</t>
  </si>
  <si>
    <t>Q2 2023</t>
  </si>
  <si>
    <t>Q1 2023</t>
  </si>
  <si>
    <t>Q3 2022</t>
  </si>
  <si>
    <t>Q2 2022</t>
  </si>
  <si>
    <t>Q1 2022</t>
  </si>
  <si>
    <t>Q3 2021</t>
  </si>
  <si>
    <t>Q2 2021</t>
  </si>
  <si>
    <t>Q1 2021</t>
  </si>
  <si>
    <t>Q3 2020</t>
  </si>
  <si>
    <t>Q2 2020</t>
  </si>
  <si>
    <t>Q1 2020</t>
  </si>
  <si>
    <t>Q3 2019</t>
  </si>
  <si>
    <t>Q2 2019</t>
  </si>
  <si>
    <t>Q1 2019</t>
  </si>
  <si>
    <t>Q3 2018</t>
  </si>
  <si>
    <t>Q2 2018</t>
  </si>
  <si>
    <t>Q1 2018</t>
  </si>
  <si>
    <t>Q3 2017</t>
  </si>
  <si>
    <t>Q2 2017</t>
  </si>
  <si>
    <t>Q1 2017</t>
  </si>
  <si>
    <t>Q3 2016</t>
  </si>
  <si>
    <t>Q2 2016</t>
  </si>
  <si>
    <t>Q1 2016</t>
  </si>
  <si>
    <t>Q3 2015</t>
  </si>
  <si>
    <t>Q2 2015</t>
  </si>
  <si>
    <t>Q1 2015</t>
  </si>
  <si>
    <t>Q3 2014</t>
  </si>
  <si>
    <t>Q2 2014</t>
  </si>
  <si>
    <t>Q1 2014</t>
  </si>
  <si>
    <t>Q3 2013</t>
  </si>
  <si>
    <t>Q2 2013</t>
  </si>
  <si>
    <t>Q1 2013</t>
  </si>
  <si>
    <t>Q3 2012</t>
  </si>
  <si>
    <t>Q2 2012</t>
  </si>
  <si>
    <t>Q1 2012</t>
  </si>
  <si>
    <t>Q3 2011</t>
  </si>
  <si>
    <t>Q2 2011</t>
  </si>
  <si>
    <t>Q1 2011</t>
  </si>
  <si>
    <t>Q3 2010</t>
  </si>
  <si>
    <t>Q2 2010</t>
  </si>
  <si>
    <t>Q1 2010</t>
  </si>
  <si>
    <t>Q3 2009</t>
  </si>
  <si>
    <t>Q2 2009</t>
  </si>
  <si>
    <t>SG&amp;A as % of Revenue</t>
  </si>
  <si>
    <t>R&amp;D as % of Revenue</t>
  </si>
  <si>
    <t>Net Profit Margin</t>
  </si>
  <si>
    <t>Operating Profit Margin</t>
  </si>
  <si>
    <t>Gross Profit Margin</t>
  </si>
  <si>
    <t>Net Income</t>
  </si>
  <si>
    <t>Pretax Income</t>
  </si>
  <si>
    <t>Other Income</t>
  </si>
  <si>
    <t>Operating Income</t>
  </si>
  <si>
    <t>COGS</t>
  </si>
  <si>
    <t>Q4 2024</t>
  </si>
  <si>
    <t>Q4 2023</t>
  </si>
  <si>
    <t>Q4 2022</t>
  </si>
  <si>
    <t>Q4 2021</t>
  </si>
  <si>
    <t>Q4 2020</t>
  </si>
  <si>
    <t>Q4 2019</t>
  </si>
  <si>
    <t>Q4 2018</t>
  </si>
  <si>
    <t>Q4 2017</t>
  </si>
  <si>
    <t>Q4 2016</t>
  </si>
  <si>
    <t>Q4 2015</t>
  </si>
  <si>
    <t>Q4 2014</t>
  </si>
  <si>
    <t>Q4 2013</t>
  </si>
  <si>
    <t>Q4 2012</t>
  </si>
  <si>
    <t>Q4 2011</t>
  </si>
  <si>
    <t>Q4 2010</t>
  </si>
  <si>
    <t>Q4 2009</t>
  </si>
  <si>
    <t>Q1 2009</t>
  </si>
  <si>
    <t>Q3 2008</t>
  </si>
  <si>
    <t>Q2 2008</t>
  </si>
  <si>
    <t>Quarterly</t>
  </si>
  <si>
    <t>Master</t>
  </si>
  <si>
    <t>Capital Structure Snapshot:</t>
  </si>
  <si>
    <t>SO</t>
  </si>
  <si>
    <t>Q4'24</t>
  </si>
  <si>
    <t>Boston Scientific Corp. (BSX)</t>
  </si>
  <si>
    <t>Registered Exchange: NYSE</t>
  </si>
  <si>
    <t>Sources for model:</t>
  </si>
  <si>
    <t>SEC filings</t>
  </si>
  <si>
    <t>Headquarted: Marlborough, MA</t>
  </si>
  <si>
    <t>Current CEO: Michael F. Mahoney</t>
  </si>
  <si>
    <t>Employees: 53,000</t>
  </si>
  <si>
    <t>Address: 300 BOSTON SCIENTIFIC WAY, MARLBOROUGH, MA, 01752-1234</t>
  </si>
  <si>
    <t>Earnings calls</t>
  </si>
  <si>
    <t>Company Overview:</t>
  </si>
  <si>
    <t>Founded: 1979</t>
  </si>
  <si>
    <t>Minimally invasive devices for endoscopy, urology, and pelvic health</t>
  </si>
  <si>
    <t>MedSurg:</t>
  </si>
  <si>
    <t>Rhythm and Neuro:</t>
  </si>
  <si>
    <t>Cardiovascular:</t>
  </si>
  <si>
    <t>Solutions for cardiac rhythm management (CRM), electrophysiology (EP), and neuromodulation</t>
  </si>
  <si>
    <t>Devices for interventional cardiology, peripheral interventions, and structural heart</t>
  </si>
  <si>
    <t>Boston Scientific Corporation is a global developer, manufacturer and marketer of medical devices that are used in a broad range of interventional medical specialties for both domestic and international markets</t>
  </si>
  <si>
    <t>The Company operates through three segments:</t>
  </si>
  <si>
    <t>The Company states that they operate pursuant to five strategic imperatives</t>
  </si>
  <si>
    <t>Strengthen Category Leadership, Expand into High Growth Adjacencies, Drive Global Expansion, Fund the Journey to Fuel Growth and Develop Key Capabilities</t>
  </si>
  <si>
    <t>We expect to continue to invest in our core businesses and pursue opportunities to diversify and further expand our presence in strategic, high-growth adjacencies and new global markets, including growth within the countries we define as emerging markets</t>
  </si>
  <si>
    <t>Maintaining and expanding our international presence is an important component of our long-term growth strategy</t>
  </si>
  <si>
    <t>Through our international presence, we seek to increase net sales and market share, leverage our relationships with leading physicians and their clinical research programs, accelerate the time to bring new products to market and gain access to worldwide technological developments that we can implement across our product lines</t>
  </si>
  <si>
    <t>Our research and development efforts are focused largely on the development of next-generation and novel technology offerings across multiple programs and all divisions</t>
  </si>
  <si>
    <t>In the past several years, we have completed numerous acquisitions in support of our growth strategy, both strengthening our core businesses and expanding into high growth adjacent markets</t>
  </si>
  <si>
    <t>Noteable acquisitions made by The Company include (categorized by segment):</t>
  </si>
  <si>
    <t>!Check into R&amp;D projects, product pipelines, and create useful life schedules for current assets!</t>
  </si>
  <si>
    <t>Scope out company assets</t>
  </si>
  <si>
    <t>Identify and assess high value assets … create useful life schedule for product lines</t>
  </si>
  <si>
    <t>Break out company assets and categorize them into sub segments</t>
  </si>
  <si>
    <t>https://www.bostonscientific.com/en-US/about-us/leadership.html</t>
  </si>
  <si>
    <t>https://www.morningstar.com/stocks/xnys/bsx/executive</t>
  </si>
  <si>
    <t>https://www.comparably.com/companies/boston-scientific/executive-team</t>
  </si>
  <si>
    <r>
      <rPr>
        <b/>
        <sz val="11"/>
        <color theme="1"/>
        <rFont val="Calibre"/>
      </rPr>
      <t>American Medical Systems</t>
    </r>
    <r>
      <rPr>
        <sz val="11"/>
        <color theme="1"/>
        <rFont val="Calibre"/>
      </rPr>
      <t xml:space="preserve"> (AMS) Pelvic Health (2015) – $1.6B</t>
    </r>
  </si>
  <si>
    <r>
      <rPr>
        <b/>
        <sz val="11"/>
        <color theme="1"/>
        <rFont val="Calibre"/>
      </rPr>
      <t>Men’s health (BPH/ED)</t>
    </r>
    <r>
      <rPr>
        <sz val="11"/>
        <color theme="1"/>
        <rFont val="Calibre"/>
      </rPr>
      <t> &amp; women’s pelvic floor devices</t>
    </r>
  </si>
  <si>
    <r>
      <rPr>
        <b/>
        <sz val="11"/>
        <color theme="1"/>
        <rFont val="Calibre"/>
      </rPr>
      <t>EndoChoice</t>
    </r>
    <r>
      <rPr>
        <sz val="11"/>
        <color theme="1"/>
        <rFont val="Calibre"/>
      </rPr>
      <t xml:space="preserve"> (2016) – $210M</t>
    </r>
  </si>
  <si>
    <r>
      <rPr>
        <b/>
        <sz val="11"/>
        <color theme="1"/>
        <rFont val="Calibre"/>
      </rPr>
      <t>Single-use endoscopy</t>
    </r>
    <r>
      <rPr>
        <sz val="11"/>
        <color theme="1"/>
        <rFont val="Calibre"/>
      </rPr>
      <t> (complemented </t>
    </r>
    <r>
      <rPr>
        <b/>
        <sz val="11"/>
        <color theme="1"/>
        <rFont val="Calibre"/>
      </rPr>
      <t>SpyGlass</t>
    </r>
    <r>
      <rPr>
        <sz val="11"/>
        <color theme="1"/>
        <rFont val="Calibre"/>
      </rPr>
      <t>)</t>
    </r>
  </si>
  <si>
    <r>
      <rPr>
        <b/>
        <sz val="11"/>
        <color theme="1"/>
        <rFont val="Calibre"/>
      </rPr>
      <t>Lumenis Surgical</t>
    </r>
    <r>
      <rPr>
        <sz val="11"/>
        <color theme="1"/>
        <rFont val="Calibre"/>
      </rPr>
      <t xml:space="preserve"> (2021) – $1.07B</t>
    </r>
  </si>
  <si>
    <r>
      <rPr>
        <b/>
        <sz val="11"/>
        <color theme="1"/>
        <rFont val="Calibre"/>
      </rPr>
      <t>Laser solutions for urology</t>
    </r>
    <r>
      <rPr>
        <sz val="11"/>
        <color theme="1"/>
        <rFont val="Calibre"/>
      </rPr>
      <t> (e.g., MOSES for kidney stones)</t>
    </r>
  </si>
  <si>
    <r>
      <rPr>
        <b/>
        <sz val="11"/>
        <color theme="1"/>
        <rFont val="Calibre"/>
      </rPr>
      <t>Acotec Scientific</t>
    </r>
    <r>
      <rPr>
        <sz val="11"/>
        <color theme="1"/>
        <rFont val="Calibre"/>
      </rPr>
      <t xml:space="preserve"> (2022) – $523M</t>
    </r>
  </si>
  <si>
    <r>
      <t>Drug-coated balloons (DCBs) for </t>
    </r>
    <r>
      <rPr>
        <b/>
        <sz val="11"/>
        <color theme="1"/>
        <rFont val="Calibre"/>
      </rPr>
      <t>China’s vascular market</t>
    </r>
  </si>
  <si>
    <r>
      <rPr>
        <b/>
        <sz val="11"/>
        <color theme="1"/>
        <rFont val="Calibre"/>
      </rPr>
      <t>Cameron Health</t>
    </r>
    <r>
      <rPr>
        <sz val="11"/>
        <color theme="1"/>
        <rFont val="Calibre"/>
      </rPr>
      <t xml:space="preserve"> (2012) – $1.35B</t>
    </r>
  </si>
  <si>
    <r>
      <rPr>
        <b/>
        <sz val="11"/>
        <color theme="1"/>
        <rFont val="Calibre"/>
      </rPr>
      <t>S-ICD (subcutaneous defibrillator)</t>
    </r>
    <r>
      <rPr>
        <sz val="11"/>
        <color theme="1"/>
        <rFont val="Calibre"/>
      </rPr>
      <t>, competing with Medtronic/Abbott</t>
    </r>
  </si>
  <si>
    <r>
      <rPr>
        <b/>
        <sz val="11"/>
        <color theme="1"/>
        <rFont val="Calibre"/>
      </rPr>
      <t>Rhythmia Medical</t>
    </r>
    <r>
      <rPr>
        <sz val="11"/>
        <color theme="1"/>
        <rFont val="Calibre"/>
      </rPr>
      <t xml:space="preserve"> (2017) – Undisclosed</t>
    </r>
  </si>
  <si>
    <r>
      <rPr>
        <b/>
        <sz val="11"/>
        <color theme="1"/>
        <rFont val="Calibre"/>
      </rPr>
      <t>High-resolution cardiac mapping</t>
    </r>
    <r>
      <rPr>
        <sz val="11"/>
        <color theme="1"/>
        <rFont val="Calibre"/>
      </rPr>
      <t> (used in Farapulse ablation)</t>
    </r>
  </si>
  <si>
    <r>
      <rPr>
        <b/>
        <sz val="11"/>
        <color theme="1"/>
        <rFont val="Calibre"/>
      </rPr>
      <t>Preventice</t>
    </r>
    <r>
      <rPr>
        <sz val="11"/>
        <color theme="1"/>
        <rFont val="Calibre"/>
      </rPr>
      <t xml:space="preserve"> (2021) – $925M</t>
    </r>
  </si>
  <si>
    <r>
      <rPr>
        <b/>
        <sz val="11"/>
        <color theme="1"/>
        <rFont val="Calibre"/>
      </rPr>
      <t>Remote cardiac monitoring</t>
    </r>
    <r>
      <rPr>
        <sz val="11"/>
        <color theme="1"/>
        <rFont val="Calibre"/>
      </rPr>
      <t> (competing with iRhythm)</t>
    </r>
  </si>
  <si>
    <r>
      <rPr>
        <b/>
        <sz val="11"/>
        <color theme="1"/>
        <rFont val="Calibre"/>
      </rPr>
      <t>Farapulse</t>
    </r>
    <r>
      <rPr>
        <sz val="11"/>
        <color theme="1"/>
        <rFont val="Calibre"/>
      </rPr>
      <t xml:space="preserve"> (2021) – $295M (+ milestones)</t>
    </r>
  </si>
  <si>
    <r>
      <rPr>
        <b/>
        <sz val="11"/>
        <color theme="1"/>
        <rFont val="Calibre"/>
      </rPr>
      <t>Pulsed-field ablation (PFA)</t>
    </r>
    <r>
      <rPr>
        <sz val="11"/>
        <color theme="1"/>
        <rFont val="Calibre"/>
      </rPr>
      <t> for atrial fibrillation (now a $1B+ opportunity)</t>
    </r>
  </si>
  <si>
    <r>
      <rPr>
        <b/>
        <sz val="11"/>
        <color theme="1"/>
        <rFont val="Calibre"/>
      </rPr>
      <t>Relievant Medsystems</t>
    </r>
    <r>
      <rPr>
        <sz val="11"/>
        <color theme="1"/>
        <rFont val="Calibre"/>
      </rPr>
      <t xml:space="preserve"> (2023) – $850M</t>
    </r>
  </si>
  <si>
    <r>
      <rPr>
        <b/>
        <sz val="11"/>
        <color theme="1"/>
        <rFont val="Calibre"/>
      </rPr>
      <t>Intracept </t>
    </r>
    <r>
      <rPr>
        <sz val="11"/>
        <color theme="1"/>
        <rFont val="Calibre"/>
      </rPr>
      <t>(vertebral bone ablation for chronic back pain)</t>
    </r>
  </si>
  <si>
    <r>
      <rPr>
        <b/>
        <sz val="11"/>
        <color theme="1"/>
        <rFont val="Calibre"/>
      </rPr>
      <t>Axonics</t>
    </r>
    <r>
      <rPr>
        <sz val="11"/>
        <color theme="1"/>
        <rFont val="Calibre"/>
      </rPr>
      <t xml:space="preserve"> (2024) – $3.7B (10 months after proposal due to FTC holdups … bubye Lina Khan)</t>
    </r>
  </si>
  <si>
    <r>
      <t>Axonics’ flagship products are </t>
    </r>
    <r>
      <rPr>
        <b/>
        <sz val="11"/>
        <color theme="1"/>
        <rFont val="Calibre"/>
      </rPr>
      <t>sacral neuromodulation (SNM) systems</t>
    </r>
    <r>
      <rPr>
        <sz val="11"/>
        <color theme="1"/>
        <rFont val="Calibre"/>
      </rPr>
      <t> for urinary incontinence</t>
    </r>
  </si>
  <si>
    <r>
      <rPr>
        <b/>
        <sz val="11"/>
        <color theme="1"/>
        <rFont val="Calibre"/>
      </rPr>
      <t>Guidant</t>
    </r>
    <r>
      <rPr>
        <sz val="11"/>
        <color theme="1"/>
        <rFont val="Calibre"/>
      </rPr>
      <t xml:space="preserve"> (2006) – $27B</t>
    </r>
  </si>
  <si>
    <r>
      <t>Acquired </t>
    </r>
    <r>
      <rPr>
        <b/>
        <sz val="11"/>
        <color theme="1"/>
        <rFont val="Calibre"/>
      </rPr>
      <t>cardiovascular &amp; rhythm management assets</t>
    </r>
    <r>
      <rPr>
        <sz val="11"/>
        <color theme="1"/>
        <rFont val="Calibre"/>
      </rPr>
      <t xml:space="preserve"> (after bidding war with J&amp;J)</t>
    </r>
  </si>
  <si>
    <r>
      <t>Included </t>
    </r>
    <r>
      <rPr>
        <b/>
        <sz val="11"/>
        <color theme="1"/>
        <rFont val="Calibre"/>
      </rPr>
      <t>CRMD (pacemakers/ICDs)</t>
    </r>
    <r>
      <rPr>
        <sz val="11"/>
        <color theme="1"/>
        <rFont val="Calibre"/>
      </rPr>
      <t>, </t>
    </r>
    <r>
      <rPr>
        <b/>
        <sz val="11"/>
        <color theme="1"/>
        <rFont val="Calibre"/>
      </rPr>
      <t>angioplasty stents</t>
    </r>
    <r>
      <rPr>
        <sz val="11"/>
        <color theme="1"/>
        <rFont val="Calibre"/>
      </rPr>
      <t>, and </t>
    </r>
    <r>
      <rPr>
        <b/>
        <sz val="11"/>
        <color theme="1"/>
        <rFont val="Calibre"/>
      </rPr>
      <t>vascular surgery</t>
    </r>
  </si>
  <si>
    <r>
      <rPr>
        <b/>
        <sz val="11"/>
        <color theme="1"/>
        <rFont val="Calibre"/>
      </rPr>
      <t>Sadra Medical</t>
    </r>
    <r>
      <rPr>
        <sz val="11"/>
        <color theme="1"/>
        <rFont val="Calibre"/>
      </rPr>
      <t xml:space="preserve"> (2011) – $193M (+ milestones)</t>
    </r>
  </si>
  <si>
    <r>
      <t>Added </t>
    </r>
    <r>
      <rPr>
        <b/>
        <sz val="11"/>
        <color theme="1"/>
        <rFont val="Calibre"/>
      </rPr>
      <t>Lotus Valve</t>
    </r>
    <r>
      <rPr>
        <sz val="11"/>
        <color theme="1"/>
        <rFont val="Calibre"/>
      </rPr>
      <t> (transcatheter aortic valve, later sold to </t>
    </r>
    <r>
      <rPr>
        <b/>
        <sz val="11"/>
        <color theme="1"/>
        <rFont val="Calibre"/>
      </rPr>
      <t>Shockwave</t>
    </r>
    <r>
      <rPr>
        <sz val="11"/>
        <color theme="1"/>
        <rFont val="Calibre"/>
      </rPr>
      <t>)</t>
    </r>
  </si>
  <si>
    <r>
      <rPr>
        <b/>
        <sz val="11"/>
        <color theme="1"/>
        <rFont val="Calibre"/>
      </rPr>
      <t>Symetis</t>
    </r>
    <r>
      <rPr>
        <sz val="11"/>
        <color theme="1"/>
        <rFont val="Calibre"/>
      </rPr>
      <t xml:space="preserve"> (2017) – $435M</t>
    </r>
  </si>
  <si>
    <r>
      <rPr>
        <b/>
        <sz val="11"/>
        <color theme="1"/>
        <rFont val="Calibre"/>
      </rPr>
      <t>ACURATE neo TAVR system</t>
    </r>
    <r>
      <rPr>
        <sz val="11"/>
        <color theme="1"/>
        <rFont val="Calibre"/>
      </rPr>
      <t> (competed with Edwards/Medtronic in Europe)</t>
    </r>
  </si>
  <si>
    <r>
      <rPr>
        <b/>
        <sz val="11"/>
        <color theme="1"/>
        <rFont val="Calibre"/>
      </rPr>
      <t>BTG plc</t>
    </r>
    <r>
      <rPr>
        <sz val="11"/>
        <color theme="1"/>
        <rFont val="Calibre"/>
      </rPr>
      <t xml:space="preserve"> (2019) – $4.2B</t>
    </r>
  </si>
  <si>
    <r>
      <t>Expanded </t>
    </r>
    <r>
      <rPr>
        <b/>
        <sz val="11"/>
        <color theme="1"/>
        <rFont val="Calibre"/>
      </rPr>
      <t>peripheral interventions</t>
    </r>
    <r>
      <rPr>
        <sz val="11"/>
        <color theme="1"/>
        <rFont val="Calibre"/>
      </rPr>
      <t> (e.g., </t>
    </r>
    <r>
      <rPr>
        <b/>
        <sz val="11"/>
        <color theme="1"/>
        <rFont val="Calibre"/>
      </rPr>
      <t>EKOS</t>
    </r>
    <r>
      <rPr>
        <sz val="11"/>
        <color theme="1"/>
        <rFont val="Calibre"/>
      </rPr>
      <t> ultrasound thrombectomy, </t>
    </r>
    <r>
      <rPr>
        <b/>
        <sz val="11"/>
        <color theme="1"/>
        <rFont val="Calibre"/>
      </rPr>
      <t>Galil</t>
    </r>
    <r>
      <rPr>
        <sz val="11"/>
        <color theme="1"/>
        <rFont val="Calibre"/>
      </rPr>
      <t> venous stents)</t>
    </r>
  </si>
  <si>
    <r>
      <rPr>
        <b/>
        <sz val="11"/>
        <color theme="1"/>
        <rFont val="Calibre"/>
      </rPr>
      <t>Baylis Medical</t>
    </r>
    <r>
      <rPr>
        <sz val="11"/>
        <color theme="1"/>
        <rFont val="Calibre"/>
      </rPr>
      <t xml:space="preserve"> (2021) – $1.75B</t>
    </r>
  </si>
  <si>
    <r>
      <rPr>
        <b/>
        <sz val="11"/>
        <color theme="1"/>
        <rFont val="Calibre"/>
      </rPr>
      <t>Transseptal access tools</t>
    </r>
    <r>
      <rPr>
        <sz val="11"/>
        <color theme="1"/>
        <rFont val="Calibre"/>
      </rPr>
      <t> (</t>
    </r>
    <r>
      <rPr>
        <b/>
        <sz val="11"/>
        <color theme="1"/>
        <rFont val="Calibre"/>
      </rPr>
      <t>used in left-heart procedures</t>
    </r>
    <r>
      <rPr>
        <sz val="11"/>
        <color theme="1"/>
        <rFont val="Calibre"/>
      </rPr>
      <t xml:space="preserve"> like Watchman)</t>
    </r>
  </si>
  <si>
    <r>
      <rPr>
        <b/>
        <sz val="11"/>
        <color theme="1"/>
        <rFont val="Calibre"/>
      </rPr>
      <t>Obsidio</t>
    </r>
    <r>
      <rPr>
        <sz val="11"/>
        <color theme="1"/>
        <rFont val="Calibre"/>
      </rPr>
      <t xml:space="preserve"> (2022) – Undisclosed</t>
    </r>
  </si>
  <si>
    <r>
      <rPr>
        <b/>
        <sz val="11"/>
        <color theme="1"/>
        <rFont val="Calibre"/>
      </rPr>
      <t>Gel Embolic Material</t>
    </r>
    <r>
      <rPr>
        <sz val="11"/>
        <color theme="1"/>
        <rFont val="Calibre"/>
      </rPr>
      <t xml:space="preserve"> (GEM) technology for </t>
    </r>
    <r>
      <rPr>
        <b/>
        <sz val="11"/>
        <color theme="1"/>
        <rFont val="Calibre"/>
      </rPr>
      <t>vascular occlusion</t>
    </r>
  </si>
  <si>
    <r>
      <t>Competes directly with </t>
    </r>
    <r>
      <rPr>
        <b/>
        <sz val="11"/>
        <color theme="1"/>
        <rFont val="Calibre"/>
      </rPr>
      <t>Medtronic’s InterStim</t>
    </r>
    <r>
      <rPr>
        <sz val="11"/>
        <color theme="1"/>
        <rFont val="Calibre"/>
      </rPr>
      <t>, a core product in neuromodulation</t>
    </r>
  </si>
  <si>
    <t>Product Offerings</t>
  </si>
  <si>
    <t>The Company's core businesses are organized into two reportable segments: MedSurg and Cardiovascular. The following describes our key product offerings and new product innovations by reportable segment and business unit</t>
  </si>
  <si>
    <t>Rythem and Neuro operating segment is consolidated into the Cardiovascular segement on financial filings</t>
  </si>
  <si>
    <t>[Build table here]</t>
  </si>
  <si>
    <t>Revenues</t>
  </si>
  <si>
    <t>Intangible Asset Impairment</t>
  </si>
  <si>
    <t>Contingent Consideration</t>
  </si>
  <si>
    <t>Restructuring Charges</t>
  </si>
  <si>
    <t>Loss on Disposal of Assets</t>
  </si>
  <si>
    <t>Interest Income (Expenses)</t>
  </si>
  <si>
    <t>Preferred Stock Obligation</t>
  </si>
  <si>
    <t>Net Income Attr to BSX</t>
  </si>
  <si>
    <t>Net Income Attr to Non-Cont</t>
  </si>
  <si>
    <t>EPS</t>
  </si>
  <si>
    <t>Taxes</t>
  </si>
  <si>
    <t xml:space="preserve">R&amp;D </t>
  </si>
  <si>
    <t>Royalties</t>
  </si>
  <si>
    <t>Amortization</t>
  </si>
  <si>
    <t xml:space="preserve">SG&amp;A </t>
  </si>
  <si>
    <t>GP</t>
  </si>
  <si>
    <t>Endoscopy</t>
  </si>
  <si>
    <t>Urology</t>
  </si>
  <si>
    <t>Neuromodulation</t>
  </si>
  <si>
    <t>MedSurg Ttl Revenues</t>
  </si>
  <si>
    <t>Intervential Cardiology</t>
  </si>
  <si>
    <t>Watchman</t>
  </si>
  <si>
    <t>Cardiac Rhythm</t>
  </si>
  <si>
    <t>Electrophysiology</t>
  </si>
  <si>
    <t>Peripheral Interventions</t>
  </si>
  <si>
    <t>Cardiovascular Ttl Revenues</t>
  </si>
  <si>
    <t>Ttl Revenues</t>
  </si>
  <si>
    <t>MedSurg % of Ttl Revenues</t>
  </si>
  <si>
    <t>Cardiovasc % of Ttl Revenues</t>
  </si>
  <si>
    <t>Litigation-Related net Charges</t>
  </si>
  <si>
    <t>Total Revenue Growth Y/y</t>
  </si>
  <si>
    <t>Cardiovasc Revenue Growth Y/y</t>
  </si>
  <si>
    <t>MedSurg Revenue Growth Y/y</t>
  </si>
  <si>
    <t>U.S. Revenues</t>
  </si>
  <si>
    <t>Euro, Mid. East, Afr</t>
  </si>
  <si>
    <t>A-Pac</t>
  </si>
  <si>
    <t>Lat Am + Canada</t>
  </si>
  <si>
    <t>U.S. % of Revenues</t>
  </si>
  <si>
    <t>Euro, Mid. East, Afr % of Revenues</t>
  </si>
  <si>
    <t>A-Pac % of Revenues</t>
  </si>
  <si>
    <t>Lat Am + Canada % of Revenues</t>
  </si>
  <si>
    <t>U.S. Revenue Growth Y/y</t>
  </si>
  <si>
    <t>Euro, Mid. East, Afr Revenue Growth Y/y</t>
  </si>
  <si>
    <t>A-Pac Revenue Growth Y/y</t>
  </si>
  <si>
    <t>Lat Am + Canada Revenue Growth Y/y</t>
  </si>
  <si>
    <t>Ttl Revenue Growth Y/y</t>
  </si>
  <si>
    <t>Cardiology Ttl</t>
  </si>
  <si>
    <t>Cash &amp; C.E.'s</t>
  </si>
  <si>
    <t>A/R</t>
  </si>
  <si>
    <t>Inventories</t>
  </si>
  <si>
    <t>Prepaid Income Taxes</t>
  </si>
  <si>
    <t>Other Current Assets</t>
  </si>
  <si>
    <t>PP&amp;E</t>
  </si>
  <si>
    <t>Goodwill</t>
  </si>
  <si>
    <t>Other Intangibles</t>
  </si>
  <si>
    <t>Deffered Taxes</t>
  </si>
  <si>
    <t>Other LT Assets</t>
  </si>
  <si>
    <t>Ttl Assets</t>
  </si>
  <si>
    <t>Current Debt</t>
  </si>
  <si>
    <t>Accounts Payable</t>
  </si>
  <si>
    <t>Accrued Expenses</t>
  </si>
  <si>
    <t>Other Current Liabilities</t>
  </si>
  <si>
    <t>Deferred Income Taxes</t>
  </si>
  <si>
    <t>Other LT Liabilities</t>
  </si>
  <si>
    <t>LT Debt</t>
  </si>
  <si>
    <t>SE</t>
  </si>
  <si>
    <t xml:space="preserve">Ttl L + SE </t>
  </si>
  <si>
    <t>Current Ratio</t>
  </si>
  <si>
    <t>Quick Ratio</t>
  </si>
  <si>
    <t>Cash Ratio</t>
  </si>
  <si>
    <t>Return on Assets</t>
  </si>
  <si>
    <t>Return on Equity</t>
  </si>
  <si>
    <t>Ttl Asset Turnover</t>
  </si>
  <si>
    <t>Inventory Turnover Ratio</t>
  </si>
  <si>
    <t>CFFO</t>
  </si>
  <si>
    <t>FCF</t>
  </si>
  <si>
    <t>FCF per Share</t>
  </si>
  <si>
    <t>Apr</t>
  </si>
  <si>
    <t>July</t>
  </si>
  <si>
    <t>Oct</t>
  </si>
  <si>
    <t>Jan</t>
  </si>
  <si>
    <t>CapEx, net</t>
  </si>
  <si>
    <t>https://www.sec.gov/edgar/browse/?CIK=885725&amp;owner=exclude</t>
  </si>
  <si>
    <t>Godel 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</si>
</sst>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7" formatCode="&quot;$&quot;#,##0.00"/>
    <numFmt numFmtId="169" formatCode="&quot;$&quot;#,##0"/>
    <numFmt numFmtId="178" formatCode="0.0%"/>
  </numFmts>
  <fonts count="9">
    <font>
      <sz val="11"/>
      <color theme="1"/>
      <name val="Calibri"/>
      <family val="2"/>
      <scheme val="minor"/>
    </font>
    <font>
      <sz val="11"/>
      <color theme="1"/>
      <name val="Calibre"/>
    </font>
    <font>
      <u/>
      <sz val="11"/>
      <color theme="10"/>
      <name val="Calibri"/>
      <family val="2"/>
      <scheme val="minor"/>
    </font>
    <font>
      <u/>
      <sz val="11"/>
      <color theme="10"/>
      <name val="Calibre"/>
    </font>
    <font>
      <b/>
      <sz val="11"/>
      <color theme="1"/>
      <name val="Calibre"/>
    </font>
    <font>
      <sz val="11"/>
      <name val="Calibre"/>
    </font>
    <font>
      <b/>
      <sz val="11"/>
      <name val="Calibre"/>
    </font>
    <font>
      <b/>
      <u/>
      <sz val="11"/>
      <color theme="1"/>
      <name val="Calibre"/>
    </font>
    <font>
      <i/>
      <sz val="11"/>
      <color theme="1"/>
      <name val="Calibre"/>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2" fillId="0" borderId="0" xfId="1"/>
    <xf numFmtId="0" fontId="3" fillId="0" borderId="0" xfId="1" applyFont="1"/>
    <xf numFmtId="0" fontId="4" fillId="0" borderId="0" xfId="0" applyFont="1"/>
    <xf numFmtId="169" fontId="1" fillId="0" borderId="0" xfId="0" applyNumberFormat="1" applyFont="1" applyAlignment="1">
      <alignment horizontal="right"/>
    </xf>
    <xf numFmtId="2" fontId="1" fillId="0" borderId="0" xfId="0" applyNumberFormat="1" applyFont="1" applyAlignment="1">
      <alignment horizontal="right"/>
    </xf>
    <xf numFmtId="169" fontId="1" fillId="0" borderId="0" xfId="0" applyNumberFormat="1" applyFont="1"/>
    <xf numFmtId="14" fontId="1" fillId="0" borderId="0" xfId="0" applyNumberFormat="1" applyFont="1"/>
    <xf numFmtId="167" fontId="1" fillId="0" borderId="0" xfId="0" applyNumberFormat="1" applyFont="1" applyAlignment="1">
      <alignment horizontal="right"/>
    </xf>
    <xf numFmtId="0" fontId="5" fillId="0" borderId="0" xfId="0" applyFont="1"/>
    <xf numFmtId="0" fontId="6" fillId="0" borderId="0" xfId="0" applyFont="1"/>
    <xf numFmtId="0" fontId="7" fillId="0" borderId="0" xfId="0" applyFont="1"/>
    <xf numFmtId="2" fontId="5" fillId="0" borderId="0" xfId="0" applyNumberFormat="1" applyFont="1"/>
    <xf numFmtId="10" fontId="5" fillId="0" borderId="0" xfId="0" applyNumberFormat="1" applyFont="1"/>
    <xf numFmtId="0" fontId="8" fillId="0" borderId="0" xfId="0" applyFont="1" applyAlignment="1">
      <alignment horizontal="left" indent="1"/>
    </xf>
    <xf numFmtId="10" fontId="1" fillId="0" borderId="0" xfId="0" applyNumberFormat="1" applyFont="1"/>
    <xf numFmtId="2" fontId="1" fillId="0" borderId="0" xfId="0" applyNumberFormat="1" applyFont="1"/>
    <xf numFmtId="178" fontId="1" fillId="0" borderId="0" xfId="0" applyNumberFormat="1" applyFont="1"/>
    <xf numFmtId="178"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ec.gov/edgar/browse/?CIK=885725&amp;owner=exclude" TargetMode="External"/><Relationship Id="rId1" Type="http://schemas.openxmlformats.org/officeDocument/2006/relationships/hyperlink" Target="000%20Med-Devices%20Master%20List%20000.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bostonscientific.com/en-US/about-us/leadership.html" TargetMode="External"/><Relationship Id="rId2" Type="http://schemas.openxmlformats.org/officeDocument/2006/relationships/hyperlink" Target="https://www.comparably.com/companies/boston-scientific/executive-team" TargetMode="External"/><Relationship Id="rId1" Type="http://schemas.openxmlformats.org/officeDocument/2006/relationships/hyperlink" Target="https://www.morningstar.com/stocks/xnys/bsx/execu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topLeftCell="A30" workbookViewId="0">
      <selection activeCell="O17" sqref="O17"/>
    </sheetView>
  </sheetViews>
  <sheetFormatPr defaultRowHeight="14.25"/>
  <cols>
    <col min="1" max="1" width="2.85546875" style="1" customWidth="1"/>
    <col min="2" max="2" width="9.140625" style="1"/>
    <col min="3" max="3" width="10.7109375" style="1" customWidth="1"/>
    <col min="4" max="4" width="10.85546875" style="1" customWidth="1"/>
    <col min="5" max="16384" width="9.140625" style="1"/>
  </cols>
  <sheetData>
    <row r="1" spans="1:17">
      <c r="A1" s="3" t="s">
        <v>85</v>
      </c>
    </row>
    <row r="2" spans="1:17" ht="15">
      <c r="A2" s="4" t="s">
        <v>86</v>
      </c>
    </row>
    <row r="3" spans="1:17" ht="15">
      <c r="B3" s="4" t="s">
        <v>6</v>
      </c>
    </row>
    <row r="4" spans="1:17">
      <c r="B4" s="1" t="s">
        <v>0</v>
      </c>
      <c r="C4" s="9">
        <v>96.2</v>
      </c>
      <c r="D4" s="8">
        <v>45767</v>
      </c>
    </row>
    <row r="5" spans="1:17">
      <c r="B5" s="1" t="s">
        <v>87</v>
      </c>
      <c r="C5" s="6">
        <v>1475.778</v>
      </c>
      <c r="D5" s="1" t="s">
        <v>88</v>
      </c>
    </row>
    <row r="6" spans="1:17">
      <c r="B6" s="1" t="s">
        <v>2</v>
      </c>
      <c r="C6" s="5">
        <f>C4*C5</f>
        <v>141969.84359999999</v>
      </c>
    </row>
    <row r="7" spans="1:17">
      <c r="B7" s="1" t="s">
        <v>3</v>
      </c>
      <c r="C7" s="5">
        <f>2502</f>
        <v>2502</v>
      </c>
      <c r="D7" s="1" t="s">
        <v>88</v>
      </c>
    </row>
    <row r="8" spans="1:17">
      <c r="B8" s="1" t="s">
        <v>4</v>
      </c>
      <c r="C8" s="7">
        <f>1652+9233</f>
        <v>10885</v>
      </c>
      <c r="D8" s="1" t="s">
        <v>88</v>
      </c>
    </row>
    <row r="9" spans="1:17">
      <c r="B9" s="1" t="s">
        <v>5</v>
      </c>
      <c r="C9" s="5">
        <f>C6-C7+C8</f>
        <v>150352.84359999999</v>
      </c>
    </row>
    <row r="11" spans="1:17" ht="15">
      <c r="B11" s="4" t="s">
        <v>89</v>
      </c>
    </row>
    <row r="13" spans="1:17">
      <c r="B13" s="1" t="s">
        <v>99</v>
      </c>
      <c r="F13" s="1" t="s">
        <v>90</v>
      </c>
      <c r="O13" s="1" t="s">
        <v>91</v>
      </c>
    </row>
    <row r="14" spans="1:17" ht="15">
      <c r="B14" s="1" t="s">
        <v>93</v>
      </c>
      <c r="F14" s="1" t="s">
        <v>96</v>
      </c>
      <c r="O14" s="1" t="s">
        <v>92</v>
      </c>
      <c r="Q14" s="2" t="s">
        <v>243</v>
      </c>
    </row>
    <row r="15" spans="1:17">
      <c r="B15" s="1" t="s">
        <v>94</v>
      </c>
      <c r="O15" s="1" t="s">
        <v>97</v>
      </c>
    </row>
    <row r="16" spans="1:17">
      <c r="B16" s="1" t="s">
        <v>95</v>
      </c>
      <c r="O16" s="1" t="s">
        <v>244</v>
      </c>
    </row>
    <row r="18" spans="1:6" ht="15">
      <c r="A18" s="4" t="s">
        <v>98</v>
      </c>
    </row>
    <row r="19" spans="1:6">
      <c r="B19" s="1" t="s">
        <v>106</v>
      </c>
    </row>
    <row r="20" spans="1:6">
      <c r="C20" s="1" t="s">
        <v>107</v>
      </c>
    </row>
    <row r="21" spans="1:6" ht="15">
      <c r="D21" s="4" t="s">
        <v>101</v>
      </c>
      <c r="F21" s="1" t="s">
        <v>100</v>
      </c>
    </row>
    <row r="22" spans="1:6" ht="15">
      <c r="D22" s="4" t="s">
        <v>102</v>
      </c>
      <c r="F22" s="1" t="s">
        <v>104</v>
      </c>
    </row>
    <row r="23" spans="1:6" ht="15">
      <c r="D23" s="4" t="s">
        <v>103</v>
      </c>
      <c r="F23" s="1" t="s">
        <v>105</v>
      </c>
    </row>
    <row r="24" spans="1:6">
      <c r="B24" s="1" t="s">
        <v>108</v>
      </c>
    </row>
    <row r="25" spans="1:6">
      <c r="C25" s="1" t="s">
        <v>109</v>
      </c>
    </row>
    <row r="26" spans="1:6">
      <c r="B26" s="1" t="s">
        <v>110</v>
      </c>
    </row>
    <row r="27" spans="1:6">
      <c r="C27" s="1" t="s">
        <v>111</v>
      </c>
    </row>
    <row r="28" spans="1:6">
      <c r="C28" s="1" t="s">
        <v>112</v>
      </c>
    </row>
    <row r="29" spans="1:6">
      <c r="B29" s="1" t="s">
        <v>113</v>
      </c>
    </row>
    <row r="30" spans="1:6">
      <c r="C30" s="1" t="s">
        <v>116</v>
      </c>
    </row>
    <row r="31" spans="1:6">
      <c r="B31" s="1" t="s">
        <v>114</v>
      </c>
    </row>
    <row r="32" spans="1:6">
      <c r="C32" s="1" t="s">
        <v>115</v>
      </c>
    </row>
    <row r="33" spans="4:7" ht="15">
      <c r="D33" s="4" t="s">
        <v>101</v>
      </c>
      <c r="F33" s="1" t="s">
        <v>123</v>
      </c>
    </row>
    <row r="34" spans="4:7" ht="14.25" customHeight="1">
      <c r="D34" s="4"/>
      <c r="G34" s="1" t="s">
        <v>124</v>
      </c>
    </row>
    <row r="35" spans="4:7" ht="14.25" customHeight="1">
      <c r="D35" s="4"/>
      <c r="F35" s="1" t="s">
        <v>125</v>
      </c>
    </row>
    <row r="36" spans="4:7" ht="14.25" customHeight="1">
      <c r="D36" s="4"/>
      <c r="G36" s="1" t="s">
        <v>126</v>
      </c>
    </row>
    <row r="37" spans="4:7" ht="14.25" customHeight="1">
      <c r="D37" s="4"/>
      <c r="F37" s="1" t="s">
        <v>127</v>
      </c>
    </row>
    <row r="38" spans="4:7" ht="14.25" customHeight="1">
      <c r="D38" s="4"/>
      <c r="G38" s="1" t="s">
        <v>128</v>
      </c>
    </row>
    <row r="39" spans="4:7" ht="14.25" customHeight="1">
      <c r="D39" s="4"/>
      <c r="F39" s="1" t="s">
        <v>129</v>
      </c>
    </row>
    <row r="40" spans="4:7" ht="14.25" customHeight="1">
      <c r="D40" s="4"/>
      <c r="G40" s="1" t="s">
        <v>130</v>
      </c>
    </row>
    <row r="41" spans="4:7" ht="14.25" customHeight="1">
      <c r="D41" s="4"/>
    </row>
    <row r="42" spans="4:7" ht="14.25" customHeight="1">
      <c r="D42" s="4" t="s">
        <v>102</v>
      </c>
      <c r="F42" s="1" t="s">
        <v>131</v>
      </c>
    </row>
    <row r="43" spans="4:7" ht="14.25" customHeight="1">
      <c r="D43" s="4"/>
      <c r="G43" s="1" t="s">
        <v>132</v>
      </c>
    </row>
    <row r="44" spans="4:7" ht="14.25" customHeight="1">
      <c r="D44" s="4"/>
      <c r="F44" s="1" t="s">
        <v>133</v>
      </c>
    </row>
    <row r="45" spans="4:7" ht="14.25" customHeight="1">
      <c r="D45" s="4"/>
      <c r="G45" s="1" t="s">
        <v>134</v>
      </c>
    </row>
    <row r="46" spans="4:7" ht="15">
      <c r="D46" s="4"/>
      <c r="F46" s="1" t="s">
        <v>135</v>
      </c>
    </row>
    <row r="47" spans="4:7" ht="15">
      <c r="D47" s="4"/>
      <c r="G47" s="1" t="s">
        <v>136</v>
      </c>
    </row>
    <row r="48" spans="4:7" ht="15">
      <c r="D48" s="4"/>
      <c r="F48" s="1" t="s">
        <v>137</v>
      </c>
    </row>
    <row r="49" spans="4:7" ht="15">
      <c r="D49" s="4"/>
      <c r="G49" s="1" t="s">
        <v>138</v>
      </c>
    </row>
    <row r="50" spans="4:7" ht="15">
      <c r="D50" s="4"/>
      <c r="F50" s="1" t="s">
        <v>139</v>
      </c>
    </row>
    <row r="51" spans="4:7" ht="15">
      <c r="D51" s="4"/>
      <c r="G51" s="1" t="s">
        <v>140</v>
      </c>
    </row>
    <row r="52" spans="4:7" ht="15">
      <c r="D52" s="4"/>
      <c r="F52" s="1" t="s">
        <v>141</v>
      </c>
    </row>
    <row r="53" spans="4:7" ht="15">
      <c r="D53" s="4"/>
      <c r="G53" s="1" t="s">
        <v>142</v>
      </c>
    </row>
    <row r="54" spans="4:7" ht="15">
      <c r="D54" s="4"/>
      <c r="G54" s="1" t="s">
        <v>156</v>
      </c>
    </row>
    <row r="55" spans="4:7" ht="15">
      <c r="D55" s="4"/>
    </row>
    <row r="56" spans="4:7" ht="15">
      <c r="D56" s="4" t="s">
        <v>103</v>
      </c>
      <c r="F56" s="1" t="s">
        <v>143</v>
      </c>
    </row>
    <row r="57" spans="4:7" ht="15">
      <c r="D57" s="4"/>
      <c r="G57" s="1" t="s">
        <v>144</v>
      </c>
    </row>
    <row r="58" spans="4:7" ht="15">
      <c r="D58" s="4"/>
      <c r="G58" s="1" t="s">
        <v>145</v>
      </c>
    </row>
    <row r="59" spans="4:7" ht="15">
      <c r="D59" s="4"/>
      <c r="F59" s="1" t="s">
        <v>146</v>
      </c>
    </row>
    <row r="60" spans="4:7" ht="15">
      <c r="D60" s="4"/>
      <c r="G60" s="1" t="s">
        <v>147</v>
      </c>
    </row>
    <row r="61" spans="4:7" ht="15">
      <c r="D61" s="4"/>
      <c r="F61" s="1" t="s">
        <v>148</v>
      </c>
    </row>
    <row r="62" spans="4:7" ht="15">
      <c r="D62" s="4"/>
      <c r="G62" s="1" t="s">
        <v>149</v>
      </c>
    </row>
    <row r="63" spans="4:7" ht="15">
      <c r="D63" s="4"/>
      <c r="F63" s="1" t="s">
        <v>150</v>
      </c>
    </row>
    <row r="64" spans="4:7" ht="15">
      <c r="D64" s="4"/>
      <c r="G64" s="1" t="s">
        <v>151</v>
      </c>
    </row>
    <row r="65" spans="1:7" ht="15">
      <c r="D65" s="4"/>
      <c r="F65" s="1" t="s">
        <v>152</v>
      </c>
    </row>
    <row r="66" spans="1:7" ht="15">
      <c r="G66" s="1" t="s">
        <v>153</v>
      </c>
    </row>
    <row r="67" spans="1:7" ht="15">
      <c r="F67" s="1" t="s">
        <v>154</v>
      </c>
    </row>
    <row r="68" spans="1:7" ht="15">
      <c r="G68" s="1" t="s">
        <v>155</v>
      </c>
    </row>
    <row r="70" spans="1:7" ht="15">
      <c r="A70" s="4" t="s">
        <v>157</v>
      </c>
    </row>
    <row r="72" spans="1:7">
      <c r="B72" s="1" t="s">
        <v>158</v>
      </c>
    </row>
    <row r="73" spans="1:7" ht="15">
      <c r="C73" s="4" t="s">
        <v>159</v>
      </c>
    </row>
    <row r="75" spans="1:7" ht="15">
      <c r="B75" s="12" t="s">
        <v>160</v>
      </c>
      <c r="D75" s="4"/>
    </row>
  </sheetData>
  <hyperlinks>
    <hyperlink ref="A1" r:id="rId1" xr:uid="{8C860948-C6BE-4410-993F-D2B52D1CE524}"/>
    <hyperlink ref="Q14" r:id="rId2" xr:uid="{D02EB130-ACA4-4840-AF60-80300C4C19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BBBF-231F-4413-9D35-B81B3144EF2A}">
  <dimension ref="B1:DZ104"/>
  <sheetViews>
    <sheetView tabSelected="1" zoomScale="85" zoomScaleNormal="85" workbookViewId="0">
      <pane xSplit="2" ySplit="2" topLeftCell="AP3" activePane="bottomRight" state="frozen"/>
      <selection pane="topRight" activeCell="C1" sqref="C1"/>
      <selection pane="bottomLeft" activeCell="A3" sqref="A3"/>
      <selection pane="bottomRight" activeCell="BE100" sqref="BE100:BH104"/>
    </sheetView>
  </sheetViews>
  <sheetFormatPr defaultRowHeight="14.25"/>
  <cols>
    <col min="1" max="1" width="3" style="1" customWidth="1"/>
    <col min="2" max="2" width="30.7109375" style="1" customWidth="1"/>
    <col min="3" max="17" width="9.28515625" style="1" bestFit="1" customWidth="1"/>
    <col min="18" max="18" width="9.85546875" style="1" bestFit="1" customWidth="1"/>
    <col min="19" max="68" width="9.28515625" style="1" bestFit="1" customWidth="1"/>
    <col min="69" max="72" width="9.140625" style="1"/>
    <col min="73" max="130" width="9.28515625" style="1" bestFit="1" customWidth="1"/>
    <col min="131" max="16384" width="9.140625" style="1"/>
  </cols>
  <sheetData>
    <row r="1" spans="2:130">
      <c r="B1" s="1" t="s">
        <v>84</v>
      </c>
      <c r="E1" s="1" t="s">
        <v>238</v>
      </c>
      <c r="F1" s="1" t="s">
        <v>239</v>
      </c>
      <c r="G1" s="1" t="s">
        <v>240</v>
      </c>
      <c r="H1" s="1" t="s">
        <v>241</v>
      </c>
      <c r="I1" s="1" t="s">
        <v>238</v>
      </c>
      <c r="J1" s="1" t="s">
        <v>239</v>
      </c>
      <c r="K1" s="1" t="s">
        <v>240</v>
      </c>
      <c r="L1" s="1" t="s">
        <v>241</v>
      </c>
      <c r="M1" s="1" t="s">
        <v>238</v>
      </c>
      <c r="N1" s="1" t="s">
        <v>239</v>
      </c>
      <c r="O1" s="1" t="s">
        <v>240</v>
      </c>
      <c r="P1" s="1" t="s">
        <v>241</v>
      </c>
      <c r="Q1" s="1" t="s">
        <v>238</v>
      </c>
      <c r="R1" s="1" t="s">
        <v>239</v>
      </c>
      <c r="S1" s="1" t="s">
        <v>240</v>
      </c>
      <c r="T1" s="1" t="s">
        <v>241</v>
      </c>
      <c r="U1" s="1" t="s">
        <v>238</v>
      </c>
      <c r="V1" s="1" t="s">
        <v>239</v>
      </c>
      <c r="W1" s="1" t="s">
        <v>240</v>
      </c>
      <c r="X1" s="1" t="s">
        <v>241</v>
      </c>
      <c r="Y1" s="1" t="s">
        <v>238</v>
      </c>
      <c r="Z1" s="1" t="s">
        <v>239</v>
      </c>
      <c r="AA1" s="1" t="s">
        <v>240</v>
      </c>
      <c r="AB1" s="1" t="s">
        <v>241</v>
      </c>
      <c r="AC1" s="1" t="s">
        <v>238</v>
      </c>
      <c r="AD1" s="1" t="s">
        <v>239</v>
      </c>
      <c r="AE1" s="1" t="s">
        <v>240</v>
      </c>
      <c r="AF1" s="1" t="s">
        <v>241</v>
      </c>
      <c r="AG1" s="1" t="s">
        <v>238</v>
      </c>
      <c r="AH1" s="1" t="s">
        <v>239</v>
      </c>
      <c r="AI1" s="1" t="s">
        <v>240</v>
      </c>
      <c r="AJ1" s="1" t="s">
        <v>241</v>
      </c>
      <c r="AK1" s="1" t="s">
        <v>238</v>
      </c>
      <c r="AL1" s="1" t="s">
        <v>239</v>
      </c>
      <c r="AM1" s="1" t="s">
        <v>240</v>
      </c>
      <c r="AN1" s="1" t="s">
        <v>241</v>
      </c>
      <c r="AO1" s="1" t="s">
        <v>238</v>
      </c>
      <c r="AP1" s="1" t="s">
        <v>239</v>
      </c>
      <c r="AQ1" s="1" t="s">
        <v>240</v>
      </c>
      <c r="AR1" s="1" t="s">
        <v>241</v>
      </c>
      <c r="AS1" s="1" t="s">
        <v>238</v>
      </c>
      <c r="AT1" s="1" t="s">
        <v>239</v>
      </c>
      <c r="AU1" s="1" t="s">
        <v>240</v>
      </c>
      <c r="AV1" s="1" t="s">
        <v>241</v>
      </c>
      <c r="AW1" s="1" t="s">
        <v>238</v>
      </c>
      <c r="AX1" s="1" t="s">
        <v>239</v>
      </c>
      <c r="AY1" s="1" t="s">
        <v>240</v>
      </c>
      <c r="AZ1" s="1" t="s">
        <v>241</v>
      </c>
      <c r="BA1" s="1" t="s">
        <v>238</v>
      </c>
      <c r="BB1" s="1" t="s">
        <v>239</v>
      </c>
      <c r="BC1" s="1" t="s">
        <v>240</v>
      </c>
      <c r="BD1" s="1" t="s">
        <v>241</v>
      </c>
      <c r="BE1" s="1" t="s">
        <v>238</v>
      </c>
      <c r="BF1" s="1" t="s">
        <v>239</v>
      </c>
      <c r="BG1" s="1" t="s">
        <v>240</v>
      </c>
      <c r="BH1" s="1" t="s">
        <v>241</v>
      </c>
      <c r="BI1" s="1" t="s">
        <v>238</v>
      </c>
      <c r="BJ1" s="1" t="s">
        <v>239</v>
      </c>
      <c r="BK1" s="1" t="s">
        <v>240</v>
      </c>
      <c r="BL1" s="1" t="s">
        <v>241</v>
      </c>
      <c r="BM1" s="1" t="s">
        <v>238</v>
      </c>
      <c r="BN1" s="1" t="s">
        <v>239</v>
      </c>
      <c r="BO1" s="1" t="s">
        <v>240</v>
      </c>
      <c r="BP1" s="1" t="s">
        <v>241</v>
      </c>
    </row>
    <row r="2" spans="2:130" s="4" customFormat="1" ht="15">
      <c r="B2" s="4" t="s">
        <v>161</v>
      </c>
      <c r="C2" s="11" t="s">
        <v>83</v>
      </c>
      <c r="D2" s="11" t="s">
        <v>82</v>
      </c>
      <c r="E2" s="11" t="s">
        <v>81</v>
      </c>
      <c r="F2" s="11" t="s">
        <v>54</v>
      </c>
      <c r="G2" s="11" t="s">
        <v>53</v>
      </c>
      <c r="H2" s="11" t="s">
        <v>80</v>
      </c>
      <c r="I2" s="11" t="s">
        <v>52</v>
      </c>
      <c r="J2" s="11" t="s">
        <v>51</v>
      </c>
      <c r="K2" s="11" t="s">
        <v>50</v>
      </c>
      <c r="L2" s="11" t="s">
        <v>79</v>
      </c>
      <c r="M2" s="11" t="s">
        <v>49</v>
      </c>
      <c r="N2" s="11" t="s">
        <v>48</v>
      </c>
      <c r="O2" s="11" t="s">
        <v>47</v>
      </c>
      <c r="P2" s="11" t="s">
        <v>78</v>
      </c>
      <c r="Q2" s="11" t="s">
        <v>46</v>
      </c>
      <c r="R2" s="11" t="s">
        <v>45</v>
      </c>
      <c r="S2" s="11" t="s">
        <v>44</v>
      </c>
      <c r="T2" s="11" t="s">
        <v>77</v>
      </c>
      <c r="U2" s="11" t="s">
        <v>43</v>
      </c>
      <c r="V2" s="11" t="s">
        <v>42</v>
      </c>
      <c r="W2" s="11" t="s">
        <v>41</v>
      </c>
      <c r="X2" s="11" t="s">
        <v>76</v>
      </c>
      <c r="Y2" s="11" t="s">
        <v>40</v>
      </c>
      <c r="Z2" s="11" t="s">
        <v>39</v>
      </c>
      <c r="AA2" s="11" t="s">
        <v>38</v>
      </c>
      <c r="AB2" s="11" t="s">
        <v>75</v>
      </c>
      <c r="AC2" s="11" t="s">
        <v>37</v>
      </c>
      <c r="AD2" s="11" t="s">
        <v>36</v>
      </c>
      <c r="AE2" s="11" t="s">
        <v>35</v>
      </c>
      <c r="AF2" s="11" t="s">
        <v>74</v>
      </c>
      <c r="AG2" s="11" t="s">
        <v>34</v>
      </c>
      <c r="AH2" s="11" t="s">
        <v>33</v>
      </c>
      <c r="AI2" s="11" t="s">
        <v>32</v>
      </c>
      <c r="AJ2" s="11" t="s">
        <v>73</v>
      </c>
      <c r="AK2" s="11" t="s">
        <v>31</v>
      </c>
      <c r="AL2" s="11" t="s">
        <v>30</v>
      </c>
      <c r="AM2" s="11" t="s">
        <v>29</v>
      </c>
      <c r="AN2" s="11" t="s">
        <v>72</v>
      </c>
      <c r="AO2" s="11" t="s">
        <v>28</v>
      </c>
      <c r="AP2" s="11" t="s">
        <v>27</v>
      </c>
      <c r="AQ2" s="11" t="s">
        <v>26</v>
      </c>
      <c r="AR2" s="11" t="s">
        <v>71</v>
      </c>
      <c r="AS2" s="11" t="s">
        <v>25</v>
      </c>
      <c r="AT2" s="11" t="s">
        <v>24</v>
      </c>
      <c r="AU2" s="11" t="s">
        <v>23</v>
      </c>
      <c r="AV2" s="11" t="s">
        <v>70</v>
      </c>
      <c r="AW2" s="11" t="s">
        <v>22</v>
      </c>
      <c r="AX2" s="11" t="s">
        <v>21</v>
      </c>
      <c r="AY2" s="11" t="s">
        <v>20</v>
      </c>
      <c r="AZ2" s="11" t="s">
        <v>69</v>
      </c>
      <c r="BA2" s="11" t="s">
        <v>19</v>
      </c>
      <c r="BB2" s="11" t="s">
        <v>18</v>
      </c>
      <c r="BC2" s="11" t="s">
        <v>17</v>
      </c>
      <c r="BD2" s="11" t="s">
        <v>68</v>
      </c>
      <c r="BE2" s="11" t="s">
        <v>16</v>
      </c>
      <c r="BF2" s="11" t="s">
        <v>15</v>
      </c>
      <c r="BG2" s="11" t="s">
        <v>14</v>
      </c>
      <c r="BH2" s="11" t="s">
        <v>67</v>
      </c>
      <c r="BI2" s="11" t="s">
        <v>13</v>
      </c>
      <c r="BJ2" s="11" t="s">
        <v>12</v>
      </c>
      <c r="BK2" s="11" t="s">
        <v>11</v>
      </c>
      <c r="BL2" s="11" t="s">
        <v>66</v>
      </c>
      <c r="BM2" s="11" t="s">
        <v>10</v>
      </c>
      <c r="BN2" s="11" t="s">
        <v>9</v>
      </c>
      <c r="BO2" s="11" t="s">
        <v>8</v>
      </c>
      <c r="BP2" s="11" t="s">
        <v>65</v>
      </c>
      <c r="BU2" s="4">
        <f>2008</f>
        <v>2008</v>
      </c>
      <c r="BV2" s="4">
        <f>BU2+1</f>
        <v>2009</v>
      </c>
      <c r="BW2" s="4">
        <f t="shared" ref="BW2:DZ2" si="0">BV2+1</f>
        <v>2010</v>
      </c>
      <c r="BX2" s="4">
        <f t="shared" si="0"/>
        <v>2011</v>
      </c>
      <c r="BY2" s="4">
        <f t="shared" si="0"/>
        <v>2012</v>
      </c>
      <c r="BZ2" s="4">
        <f t="shared" si="0"/>
        <v>2013</v>
      </c>
      <c r="CA2" s="4">
        <f t="shared" si="0"/>
        <v>2014</v>
      </c>
      <c r="CB2" s="4">
        <f t="shared" si="0"/>
        <v>2015</v>
      </c>
      <c r="CC2" s="4">
        <f t="shared" si="0"/>
        <v>2016</v>
      </c>
      <c r="CD2" s="4">
        <f t="shared" si="0"/>
        <v>2017</v>
      </c>
      <c r="CE2" s="4">
        <f t="shared" si="0"/>
        <v>2018</v>
      </c>
      <c r="CF2" s="4">
        <f t="shared" si="0"/>
        <v>2019</v>
      </c>
      <c r="CG2" s="4">
        <f t="shared" si="0"/>
        <v>2020</v>
      </c>
      <c r="CH2" s="4">
        <f t="shared" si="0"/>
        <v>2021</v>
      </c>
      <c r="CI2" s="4">
        <f t="shared" si="0"/>
        <v>2022</v>
      </c>
      <c r="CJ2" s="4">
        <f t="shared" si="0"/>
        <v>2023</v>
      </c>
      <c r="CK2" s="4">
        <f t="shared" si="0"/>
        <v>2024</v>
      </c>
      <c r="CL2" s="4">
        <f t="shared" si="0"/>
        <v>2025</v>
      </c>
      <c r="CM2" s="4">
        <f t="shared" si="0"/>
        <v>2026</v>
      </c>
      <c r="CN2" s="4">
        <f t="shared" si="0"/>
        <v>2027</v>
      </c>
      <c r="CO2" s="4">
        <f t="shared" si="0"/>
        <v>2028</v>
      </c>
      <c r="CP2" s="4">
        <f t="shared" si="0"/>
        <v>2029</v>
      </c>
      <c r="CQ2" s="4">
        <f t="shared" si="0"/>
        <v>2030</v>
      </c>
      <c r="CR2" s="4">
        <f t="shared" si="0"/>
        <v>2031</v>
      </c>
      <c r="CS2" s="4">
        <f t="shared" si="0"/>
        <v>2032</v>
      </c>
      <c r="CT2" s="4">
        <f t="shared" si="0"/>
        <v>2033</v>
      </c>
      <c r="CU2" s="4">
        <f t="shared" si="0"/>
        <v>2034</v>
      </c>
      <c r="CV2" s="4">
        <f t="shared" si="0"/>
        <v>2035</v>
      </c>
      <c r="CW2" s="4">
        <f t="shared" si="0"/>
        <v>2036</v>
      </c>
      <c r="CX2" s="4">
        <f t="shared" si="0"/>
        <v>2037</v>
      </c>
      <c r="CY2" s="4">
        <f t="shared" si="0"/>
        <v>2038</v>
      </c>
      <c r="CZ2" s="4">
        <f t="shared" si="0"/>
        <v>2039</v>
      </c>
      <c r="DA2" s="4">
        <f t="shared" si="0"/>
        <v>2040</v>
      </c>
      <c r="DB2" s="4">
        <f t="shared" si="0"/>
        <v>2041</v>
      </c>
      <c r="DC2" s="4">
        <f t="shared" si="0"/>
        <v>2042</v>
      </c>
      <c r="DD2" s="4">
        <f t="shared" si="0"/>
        <v>2043</v>
      </c>
      <c r="DE2" s="4">
        <f t="shared" si="0"/>
        <v>2044</v>
      </c>
      <c r="DF2" s="4">
        <f t="shared" si="0"/>
        <v>2045</v>
      </c>
      <c r="DG2" s="4">
        <f t="shared" si="0"/>
        <v>2046</v>
      </c>
      <c r="DH2" s="4">
        <f t="shared" si="0"/>
        <v>2047</v>
      </c>
      <c r="DI2" s="4">
        <f t="shared" si="0"/>
        <v>2048</v>
      </c>
      <c r="DJ2" s="4">
        <f t="shared" si="0"/>
        <v>2049</v>
      </c>
      <c r="DK2" s="4">
        <f t="shared" si="0"/>
        <v>2050</v>
      </c>
      <c r="DL2" s="4">
        <f t="shared" si="0"/>
        <v>2051</v>
      </c>
      <c r="DM2" s="4">
        <f t="shared" si="0"/>
        <v>2052</v>
      </c>
      <c r="DN2" s="4">
        <f t="shared" si="0"/>
        <v>2053</v>
      </c>
      <c r="DO2" s="4">
        <f t="shared" si="0"/>
        <v>2054</v>
      </c>
      <c r="DP2" s="4">
        <f t="shared" si="0"/>
        <v>2055</v>
      </c>
      <c r="DQ2" s="4">
        <f t="shared" si="0"/>
        <v>2056</v>
      </c>
      <c r="DR2" s="4">
        <f t="shared" si="0"/>
        <v>2057</v>
      </c>
      <c r="DS2" s="4">
        <f t="shared" si="0"/>
        <v>2058</v>
      </c>
      <c r="DT2" s="4">
        <f t="shared" si="0"/>
        <v>2059</v>
      </c>
      <c r="DU2" s="4">
        <f t="shared" si="0"/>
        <v>2060</v>
      </c>
      <c r="DV2" s="4">
        <f t="shared" si="0"/>
        <v>2061</v>
      </c>
      <c r="DW2" s="4">
        <f t="shared" si="0"/>
        <v>2062</v>
      </c>
      <c r="DX2" s="4">
        <f t="shared" si="0"/>
        <v>2063</v>
      </c>
      <c r="DY2" s="4">
        <f t="shared" si="0"/>
        <v>2064</v>
      </c>
      <c r="DZ2" s="4">
        <f t="shared" si="0"/>
        <v>2065</v>
      </c>
    </row>
    <row r="3" spans="2:130">
      <c r="B3" s="1" t="s">
        <v>177</v>
      </c>
      <c r="BI3" s="1">
        <v>577</v>
      </c>
      <c r="BJ3" s="1">
        <v>630</v>
      </c>
      <c r="BK3" s="1">
        <v>629</v>
      </c>
      <c r="BL3" s="1">
        <f>2482-SUM(BI3:BK3)</f>
        <v>646</v>
      </c>
      <c r="BM3" s="1">
        <v>642</v>
      </c>
      <c r="BN3" s="1">
        <v>675</v>
      </c>
      <c r="BO3" s="1">
        <v>678</v>
      </c>
      <c r="BP3" s="1">
        <f>2687-SUM(BM3:BO3)</f>
        <v>692</v>
      </c>
      <c r="CF3" s="10">
        <f t="shared" ref="CF3:CK12" si="1">SUM(BE3:BH3)</f>
        <v>0</v>
      </c>
      <c r="CG3" s="10">
        <f t="shared" si="1"/>
        <v>577</v>
      </c>
      <c r="CH3" s="10">
        <f t="shared" si="1"/>
        <v>1207</v>
      </c>
      <c r="CI3" s="10">
        <f t="shared" si="1"/>
        <v>1836</v>
      </c>
      <c r="CJ3" s="10">
        <f t="shared" si="1"/>
        <v>2482</v>
      </c>
      <c r="CK3" s="10">
        <f t="shared" si="1"/>
        <v>2547</v>
      </c>
    </row>
    <row r="4" spans="2:130">
      <c r="B4" s="1" t="s">
        <v>178</v>
      </c>
      <c r="BI4" s="1">
        <v>469</v>
      </c>
      <c r="BJ4" s="1">
        <v>485</v>
      </c>
      <c r="BK4" s="1">
        <v>483</v>
      </c>
      <c r="BL4" s="1">
        <f>1964-SUM(BI4:BK4)</f>
        <v>527</v>
      </c>
      <c r="BM4" s="1">
        <v>513</v>
      </c>
      <c r="BN4" s="1">
        <v>525</v>
      </c>
      <c r="BO4" s="1">
        <v>532</v>
      </c>
      <c r="BP4" s="1">
        <f>2200-SUM(BM4:BO4)</f>
        <v>630</v>
      </c>
      <c r="CF4" s="10">
        <f t="shared" si="1"/>
        <v>0</v>
      </c>
      <c r="CG4" s="10">
        <f t="shared" si="1"/>
        <v>469</v>
      </c>
      <c r="CH4" s="10">
        <f t="shared" si="1"/>
        <v>954</v>
      </c>
      <c r="CI4" s="10">
        <f t="shared" si="1"/>
        <v>1437</v>
      </c>
      <c r="CJ4" s="10">
        <f t="shared" si="1"/>
        <v>1964</v>
      </c>
      <c r="CK4" s="10">
        <f t="shared" si="1"/>
        <v>2008</v>
      </c>
    </row>
    <row r="5" spans="2:130">
      <c r="B5" s="1" t="s">
        <v>179</v>
      </c>
      <c r="BI5" s="1">
        <v>234</v>
      </c>
      <c r="BJ5" s="1">
        <v>244</v>
      </c>
      <c r="BK5" s="1">
        <v>229</v>
      </c>
      <c r="BL5" s="1">
        <f>976-SUM(BI5:BK5)</f>
        <v>269</v>
      </c>
      <c r="BM5" s="1">
        <v>256</v>
      </c>
      <c r="BN5" s="1">
        <v>282</v>
      </c>
      <c r="BO5" s="1">
        <v>268</v>
      </c>
      <c r="BP5" s="1">
        <f>1106-SUM(BM5:BO5)</f>
        <v>300</v>
      </c>
      <c r="CF5" s="10">
        <f t="shared" si="1"/>
        <v>0</v>
      </c>
      <c r="CG5" s="10">
        <f t="shared" si="1"/>
        <v>234</v>
      </c>
      <c r="CH5" s="10">
        <f t="shared" si="1"/>
        <v>478</v>
      </c>
      <c r="CI5" s="10">
        <f t="shared" si="1"/>
        <v>707</v>
      </c>
      <c r="CJ5" s="10">
        <f t="shared" si="1"/>
        <v>976</v>
      </c>
      <c r="CK5" s="10">
        <f t="shared" si="1"/>
        <v>998</v>
      </c>
    </row>
    <row r="6" spans="2:130" s="4" customFormat="1" ht="15">
      <c r="B6" s="4" t="s">
        <v>180</v>
      </c>
      <c r="AW6" s="4">
        <f t="shared" ref="AW6:BN6" si="2">SUM(AW3:AW5)</f>
        <v>0</v>
      </c>
      <c r="AX6" s="4">
        <f t="shared" si="2"/>
        <v>0</v>
      </c>
      <c r="AY6" s="4">
        <f t="shared" si="2"/>
        <v>0</v>
      </c>
      <c r="AZ6" s="4">
        <f t="shared" si="2"/>
        <v>0</v>
      </c>
      <c r="BA6" s="4">
        <f t="shared" si="2"/>
        <v>0</v>
      </c>
      <c r="BB6" s="4">
        <f t="shared" si="2"/>
        <v>0</v>
      </c>
      <c r="BC6" s="4">
        <f t="shared" si="2"/>
        <v>0</v>
      </c>
      <c r="BD6" s="4">
        <f t="shared" si="2"/>
        <v>0</v>
      </c>
      <c r="BE6" s="4">
        <f t="shared" si="2"/>
        <v>0</v>
      </c>
      <c r="BF6" s="4">
        <f t="shared" si="2"/>
        <v>0</v>
      </c>
      <c r="BG6" s="4">
        <f t="shared" si="2"/>
        <v>0</v>
      </c>
      <c r="BH6" s="4">
        <f t="shared" si="2"/>
        <v>0</v>
      </c>
      <c r="BI6" s="4">
        <f t="shared" si="2"/>
        <v>1280</v>
      </c>
      <c r="BJ6" s="4">
        <f t="shared" si="2"/>
        <v>1359</v>
      </c>
      <c r="BK6" s="4">
        <f t="shared" si="2"/>
        <v>1341</v>
      </c>
      <c r="BL6" s="4">
        <f t="shared" si="2"/>
        <v>1442</v>
      </c>
      <c r="BM6" s="4">
        <f t="shared" si="2"/>
        <v>1411</v>
      </c>
      <c r="BN6" s="4">
        <f t="shared" si="2"/>
        <v>1482</v>
      </c>
      <c r="BO6" s="4">
        <f t="shared" ref="BO6:BP6" si="3">SUM(BO3:BO5)</f>
        <v>1478</v>
      </c>
      <c r="BP6" s="4">
        <f t="shared" si="3"/>
        <v>1622</v>
      </c>
      <c r="CF6" s="4">
        <f>SUM(CF3:CF5)</f>
        <v>0</v>
      </c>
      <c r="CG6" s="4">
        <f>SUM(CG3:CG5)</f>
        <v>1280</v>
      </c>
      <c r="CH6" s="4">
        <f>SUM(CH3:CH5)</f>
        <v>2639</v>
      </c>
      <c r="CI6" s="4">
        <f>SUM(CI3:CI5)</f>
        <v>3980</v>
      </c>
      <c r="CJ6" s="4">
        <f>SUM(CJ3:CJ5)</f>
        <v>5422</v>
      </c>
      <c r="CK6" s="4">
        <f>SUM(CK3:CK5)</f>
        <v>5553</v>
      </c>
    </row>
    <row r="7" spans="2:130">
      <c r="B7" s="15" t="s">
        <v>181</v>
      </c>
      <c r="BI7" s="1">
        <v>591</v>
      </c>
      <c r="BJ7" s="1">
        <v>629</v>
      </c>
      <c r="BK7" s="1">
        <v>583</v>
      </c>
      <c r="BL7" s="1">
        <f>2417-SUM(BI7:BK7)</f>
        <v>614</v>
      </c>
      <c r="BM7" s="1">
        <v>652</v>
      </c>
      <c r="BN7" s="1">
        <v>665</v>
      </c>
      <c r="BO7" s="1">
        <v>661</v>
      </c>
      <c r="BP7" s="1">
        <f>2645-SUM(BM7:BO7)</f>
        <v>667</v>
      </c>
      <c r="CF7" s="10">
        <f t="shared" si="1"/>
        <v>0</v>
      </c>
      <c r="CG7" s="10">
        <f t="shared" si="1"/>
        <v>591</v>
      </c>
      <c r="CH7" s="10">
        <f t="shared" si="1"/>
        <v>1220</v>
      </c>
      <c r="CI7" s="10">
        <f t="shared" si="1"/>
        <v>1803</v>
      </c>
      <c r="CJ7" s="10">
        <f t="shared" si="1"/>
        <v>2417</v>
      </c>
      <c r="CK7" s="10">
        <f t="shared" si="1"/>
        <v>2478</v>
      </c>
    </row>
    <row r="8" spans="2:130">
      <c r="B8" s="15" t="s">
        <v>182</v>
      </c>
      <c r="BI8" s="1">
        <v>291</v>
      </c>
      <c r="BJ8" s="1">
        <v>317</v>
      </c>
      <c r="BK8" s="1">
        <v>323</v>
      </c>
      <c r="BL8" s="1">
        <f>1274-SUM(BI8:BK8)</f>
        <v>343</v>
      </c>
      <c r="BM8" s="1">
        <v>344</v>
      </c>
      <c r="BN8" s="1">
        <v>379</v>
      </c>
      <c r="BO8" s="1">
        <v>380</v>
      </c>
      <c r="BP8" s="1">
        <f>1516-SUM(BM8:BO8)</f>
        <v>413</v>
      </c>
      <c r="CF8" s="10">
        <f t="shared" si="1"/>
        <v>0</v>
      </c>
      <c r="CG8" s="10">
        <f t="shared" si="1"/>
        <v>291</v>
      </c>
      <c r="CH8" s="10">
        <f t="shared" si="1"/>
        <v>608</v>
      </c>
      <c r="CI8" s="10">
        <f t="shared" si="1"/>
        <v>931</v>
      </c>
      <c r="CJ8" s="10">
        <f t="shared" si="1"/>
        <v>1274</v>
      </c>
      <c r="CK8" s="10">
        <f t="shared" si="1"/>
        <v>1327</v>
      </c>
    </row>
    <row r="9" spans="2:130">
      <c r="B9" s="15" t="s">
        <v>183</v>
      </c>
      <c r="BI9" s="1">
        <v>548</v>
      </c>
      <c r="BJ9" s="1">
        <v>566</v>
      </c>
      <c r="BK9" s="1">
        <v>552</v>
      </c>
      <c r="BL9" s="1">
        <f>2218-SUM(BI9:BK9)</f>
        <v>552</v>
      </c>
      <c r="BM9" s="1">
        <v>575</v>
      </c>
      <c r="BN9" s="1">
        <v>576</v>
      </c>
      <c r="BO9" s="1">
        <v>561</v>
      </c>
      <c r="BP9" s="1">
        <f>2279-SUM(BM9:BO9)</f>
        <v>567</v>
      </c>
      <c r="CF9" s="10">
        <f t="shared" si="1"/>
        <v>0</v>
      </c>
      <c r="CG9" s="10">
        <f t="shared" si="1"/>
        <v>548</v>
      </c>
      <c r="CH9" s="10">
        <f t="shared" si="1"/>
        <v>1114</v>
      </c>
      <c r="CI9" s="10">
        <f t="shared" si="1"/>
        <v>1666</v>
      </c>
      <c r="CJ9" s="10">
        <f t="shared" si="1"/>
        <v>2218</v>
      </c>
      <c r="CK9" s="10">
        <f t="shared" si="1"/>
        <v>2245</v>
      </c>
    </row>
    <row r="10" spans="2:130">
      <c r="B10" s="15" t="s">
        <v>184</v>
      </c>
      <c r="BI10" s="1">
        <v>177</v>
      </c>
      <c r="BJ10" s="1">
        <v>193</v>
      </c>
      <c r="BK10" s="1">
        <v>190</v>
      </c>
      <c r="BL10" s="1">
        <f>800-SUM(BI10:BK10)</f>
        <v>240</v>
      </c>
      <c r="BM10" s="1">
        <v>300</v>
      </c>
      <c r="BN10" s="1">
        <v>428</v>
      </c>
      <c r="BO10" s="1">
        <v>527</v>
      </c>
      <c r="BP10" s="1">
        <f>1904-SUM(BM10:BO10)</f>
        <v>649</v>
      </c>
      <c r="CF10" s="10">
        <f t="shared" si="1"/>
        <v>0</v>
      </c>
      <c r="CG10" s="10">
        <f t="shared" si="1"/>
        <v>177</v>
      </c>
      <c r="CH10" s="10">
        <f t="shared" si="1"/>
        <v>370</v>
      </c>
      <c r="CI10" s="10">
        <f t="shared" si="1"/>
        <v>560</v>
      </c>
      <c r="CJ10" s="10">
        <f t="shared" si="1"/>
        <v>800</v>
      </c>
      <c r="CK10" s="10">
        <f t="shared" si="1"/>
        <v>923</v>
      </c>
    </row>
    <row r="11" spans="2:130">
      <c r="B11" s="1" t="s">
        <v>207</v>
      </c>
      <c r="AW11" s="1">
        <f t="shared" ref="AW11:BN11" si="4">SUM(AW7:AW10)</f>
        <v>0</v>
      </c>
      <c r="AX11" s="1">
        <f t="shared" si="4"/>
        <v>0</v>
      </c>
      <c r="AY11" s="1">
        <f t="shared" si="4"/>
        <v>0</v>
      </c>
      <c r="AZ11" s="1">
        <f t="shared" si="4"/>
        <v>0</v>
      </c>
      <c r="BA11" s="1">
        <f t="shared" si="4"/>
        <v>0</v>
      </c>
      <c r="BB11" s="1">
        <f t="shared" si="4"/>
        <v>0</v>
      </c>
      <c r="BC11" s="1">
        <f t="shared" si="4"/>
        <v>0</v>
      </c>
      <c r="BD11" s="1">
        <f t="shared" si="4"/>
        <v>0</v>
      </c>
      <c r="BE11" s="1">
        <f t="shared" si="4"/>
        <v>0</v>
      </c>
      <c r="BF11" s="1">
        <f t="shared" si="4"/>
        <v>0</v>
      </c>
      <c r="BG11" s="1">
        <f t="shared" si="4"/>
        <v>0</v>
      </c>
      <c r="BH11" s="1">
        <f t="shared" si="4"/>
        <v>0</v>
      </c>
      <c r="BI11" s="1">
        <f t="shared" si="4"/>
        <v>1607</v>
      </c>
      <c r="BJ11" s="1">
        <f t="shared" si="4"/>
        <v>1705</v>
      </c>
      <c r="BK11" s="1">
        <f t="shared" si="4"/>
        <v>1648</v>
      </c>
      <c r="BL11" s="1">
        <f t="shared" si="4"/>
        <v>1749</v>
      </c>
      <c r="BM11" s="1">
        <f t="shared" si="4"/>
        <v>1871</v>
      </c>
      <c r="BN11" s="1">
        <f t="shared" si="4"/>
        <v>2048</v>
      </c>
      <c r="BO11" s="1">
        <f t="shared" ref="BO11" si="5">SUM(BO7:BO10)</f>
        <v>2129</v>
      </c>
      <c r="BP11" s="1">
        <f>SUM(BP7:BP10)</f>
        <v>2296</v>
      </c>
      <c r="CF11" s="10">
        <f t="shared" si="1"/>
        <v>0</v>
      </c>
      <c r="CG11" s="10">
        <f t="shared" si="1"/>
        <v>1607</v>
      </c>
      <c r="CH11" s="10">
        <f t="shared" si="1"/>
        <v>3312</v>
      </c>
      <c r="CI11" s="10">
        <f t="shared" si="1"/>
        <v>4960</v>
      </c>
      <c r="CJ11" s="10">
        <f t="shared" si="1"/>
        <v>6709</v>
      </c>
      <c r="CK11" s="10">
        <f t="shared" si="1"/>
        <v>6973</v>
      </c>
    </row>
    <row r="12" spans="2:130">
      <c r="B12" s="1" t="s">
        <v>185</v>
      </c>
      <c r="BI12" s="1">
        <v>502</v>
      </c>
      <c r="BJ12" s="1">
        <v>535</v>
      </c>
      <c r="BK12" s="1">
        <v>538</v>
      </c>
      <c r="BL12" s="1">
        <f>2109-SUM(BI12:BK12)</f>
        <v>534</v>
      </c>
      <c r="BM12" s="1">
        <v>575</v>
      </c>
      <c r="BN12" s="1">
        <v>590</v>
      </c>
      <c r="BO12" s="1">
        <v>602</v>
      </c>
      <c r="BP12" s="1">
        <f>2410-SUM(BM12:BO12)</f>
        <v>643</v>
      </c>
      <c r="CF12" s="10">
        <f t="shared" si="1"/>
        <v>0</v>
      </c>
      <c r="CG12" s="10">
        <f t="shared" si="1"/>
        <v>502</v>
      </c>
      <c r="CH12" s="10">
        <f t="shared" si="1"/>
        <v>1037</v>
      </c>
      <c r="CI12" s="10">
        <f t="shared" si="1"/>
        <v>1575</v>
      </c>
      <c r="CJ12" s="10">
        <f t="shared" si="1"/>
        <v>2109</v>
      </c>
      <c r="CK12" s="10">
        <f t="shared" si="1"/>
        <v>2182</v>
      </c>
    </row>
    <row r="13" spans="2:130" s="4" customFormat="1" ht="15">
      <c r="B13" s="4" t="s">
        <v>186</v>
      </c>
      <c r="AW13" s="4">
        <f t="shared" ref="AW13:BN13" si="6">SUM(AW11:AW12)</f>
        <v>0</v>
      </c>
      <c r="AX13" s="4">
        <f t="shared" si="6"/>
        <v>0</v>
      </c>
      <c r="AY13" s="4">
        <f t="shared" si="6"/>
        <v>0</v>
      </c>
      <c r="AZ13" s="4">
        <f t="shared" si="6"/>
        <v>0</v>
      </c>
      <c r="BA13" s="4">
        <f t="shared" si="6"/>
        <v>0</v>
      </c>
      <c r="BB13" s="4">
        <f t="shared" si="6"/>
        <v>0</v>
      </c>
      <c r="BC13" s="4">
        <f t="shared" si="6"/>
        <v>0</v>
      </c>
      <c r="BD13" s="4">
        <f t="shared" si="6"/>
        <v>0</v>
      </c>
      <c r="BE13" s="4">
        <f t="shared" si="6"/>
        <v>0</v>
      </c>
      <c r="BF13" s="4">
        <f t="shared" si="6"/>
        <v>0</v>
      </c>
      <c r="BG13" s="4">
        <f t="shared" si="6"/>
        <v>0</v>
      </c>
      <c r="BH13" s="4">
        <f t="shared" si="6"/>
        <v>0</v>
      </c>
      <c r="BI13" s="4">
        <f t="shared" si="6"/>
        <v>2109</v>
      </c>
      <c r="BJ13" s="4">
        <f t="shared" si="6"/>
        <v>2240</v>
      </c>
      <c r="BK13" s="4">
        <f t="shared" si="6"/>
        <v>2186</v>
      </c>
      <c r="BL13" s="4">
        <f t="shared" si="6"/>
        <v>2283</v>
      </c>
      <c r="BM13" s="4">
        <f t="shared" si="6"/>
        <v>2446</v>
      </c>
      <c r="BN13" s="4">
        <f t="shared" si="6"/>
        <v>2638</v>
      </c>
      <c r="BO13" s="4">
        <f>SUM(BO11:BO12)</f>
        <v>2731</v>
      </c>
      <c r="BP13" s="4">
        <f>SUM(BP11:BP12)</f>
        <v>2939</v>
      </c>
      <c r="CF13" s="4">
        <f>SUM(CF7:CF12)</f>
        <v>0</v>
      </c>
      <c r="CG13" s="4">
        <f>SUM(CG7:CG12)</f>
        <v>3716</v>
      </c>
      <c r="CH13" s="4">
        <f>SUM(CH7:CH12)</f>
        <v>7661</v>
      </c>
      <c r="CI13" s="4">
        <f>SUM(CI7:CI12)</f>
        <v>11495</v>
      </c>
      <c r="CJ13" s="4">
        <f>SUM(CJ7:CJ12)</f>
        <v>15527</v>
      </c>
      <c r="CK13" s="4">
        <f>SUM(CK7:CK12)</f>
        <v>16128</v>
      </c>
    </row>
    <row r="14" spans="2:130" s="4" customFormat="1" ht="15">
      <c r="B14" s="4" t="s">
        <v>187</v>
      </c>
      <c r="AW14" s="4">
        <f t="shared" ref="AW14:BN14" si="7">AW6+AW13</f>
        <v>0</v>
      </c>
      <c r="AX14" s="4">
        <f t="shared" si="7"/>
        <v>0</v>
      </c>
      <c r="AY14" s="4">
        <f t="shared" si="7"/>
        <v>0</v>
      </c>
      <c r="AZ14" s="4">
        <f t="shared" si="7"/>
        <v>0</v>
      </c>
      <c r="BA14" s="4">
        <f t="shared" si="7"/>
        <v>0</v>
      </c>
      <c r="BB14" s="4">
        <f t="shared" si="7"/>
        <v>0</v>
      </c>
      <c r="BC14" s="4">
        <f t="shared" si="7"/>
        <v>0</v>
      </c>
      <c r="BD14" s="4">
        <f t="shared" si="7"/>
        <v>0</v>
      </c>
      <c r="BE14" s="4">
        <f t="shared" si="7"/>
        <v>0</v>
      </c>
      <c r="BF14" s="4">
        <f t="shared" si="7"/>
        <v>0</v>
      </c>
      <c r="BG14" s="4">
        <f t="shared" si="7"/>
        <v>0</v>
      </c>
      <c r="BH14" s="4">
        <f t="shared" si="7"/>
        <v>0</v>
      </c>
      <c r="BI14" s="4">
        <f t="shared" si="7"/>
        <v>3389</v>
      </c>
      <c r="BJ14" s="4">
        <f t="shared" si="7"/>
        <v>3599</v>
      </c>
      <c r="BK14" s="4">
        <f t="shared" si="7"/>
        <v>3527</v>
      </c>
      <c r="BL14" s="4">
        <f t="shared" si="7"/>
        <v>3725</v>
      </c>
      <c r="BM14" s="4">
        <f t="shared" si="7"/>
        <v>3857</v>
      </c>
      <c r="BN14" s="4">
        <f t="shared" si="7"/>
        <v>4120</v>
      </c>
      <c r="BO14" s="4">
        <f t="shared" ref="BO14:BP14" si="8">BO6+BO13</f>
        <v>4209</v>
      </c>
      <c r="BP14" s="4">
        <f t="shared" si="8"/>
        <v>4561</v>
      </c>
      <c r="CF14" s="4">
        <f>CF6+CF13</f>
        <v>0</v>
      </c>
      <c r="CG14" s="4">
        <f>CG6+CG13</f>
        <v>4996</v>
      </c>
      <c r="CH14" s="4">
        <f>CH6+CH13</f>
        <v>10300</v>
      </c>
      <c r="CI14" s="4">
        <f>CI6+CI13</f>
        <v>15475</v>
      </c>
      <c r="CJ14" s="4">
        <f>CJ6+CJ13</f>
        <v>20949</v>
      </c>
      <c r="CK14" s="4">
        <f>CK6+CK13</f>
        <v>21681</v>
      </c>
    </row>
    <row r="15" spans="2:130" ht="15">
      <c r="B15" s="4"/>
    </row>
    <row r="16" spans="2:130">
      <c r="B16" s="1" t="s">
        <v>188</v>
      </c>
      <c r="C16" s="16" t="e">
        <f t="shared" ref="C16:BN16" si="9">C6/C14</f>
        <v>#DIV/0!</v>
      </c>
      <c r="D16" s="16" t="e">
        <f t="shared" si="9"/>
        <v>#DIV/0!</v>
      </c>
      <c r="E16" s="16" t="e">
        <f t="shared" si="9"/>
        <v>#DIV/0!</v>
      </c>
      <c r="F16" s="16" t="e">
        <f t="shared" si="9"/>
        <v>#DIV/0!</v>
      </c>
      <c r="G16" s="16" t="e">
        <f t="shared" si="9"/>
        <v>#DIV/0!</v>
      </c>
      <c r="H16" s="16" t="e">
        <f t="shared" si="9"/>
        <v>#DIV/0!</v>
      </c>
      <c r="I16" s="16" t="e">
        <f t="shared" si="9"/>
        <v>#DIV/0!</v>
      </c>
      <c r="J16" s="16" t="e">
        <f t="shared" si="9"/>
        <v>#DIV/0!</v>
      </c>
      <c r="K16" s="16" t="e">
        <f t="shared" si="9"/>
        <v>#DIV/0!</v>
      </c>
      <c r="L16" s="16" t="e">
        <f t="shared" si="9"/>
        <v>#DIV/0!</v>
      </c>
      <c r="M16" s="16" t="e">
        <f t="shared" si="9"/>
        <v>#DIV/0!</v>
      </c>
      <c r="N16" s="16" t="e">
        <f t="shared" si="9"/>
        <v>#DIV/0!</v>
      </c>
      <c r="O16" s="16" t="e">
        <f t="shared" si="9"/>
        <v>#DIV/0!</v>
      </c>
      <c r="P16" s="16" t="e">
        <f t="shared" si="9"/>
        <v>#DIV/0!</v>
      </c>
      <c r="Q16" s="16" t="e">
        <f t="shared" si="9"/>
        <v>#DIV/0!</v>
      </c>
      <c r="R16" s="16" t="e">
        <f t="shared" si="9"/>
        <v>#DIV/0!</v>
      </c>
      <c r="S16" s="16" t="e">
        <f t="shared" si="9"/>
        <v>#DIV/0!</v>
      </c>
      <c r="T16" s="16" t="e">
        <f t="shared" si="9"/>
        <v>#DIV/0!</v>
      </c>
      <c r="U16" s="16" t="e">
        <f t="shared" si="9"/>
        <v>#DIV/0!</v>
      </c>
      <c r="V16" s="16" t="e">
        <f t="shared" si="9"/>
        <v>#DIV/0!</v>
      </c>
      <c r="W16" s="16" t="e">
        <f t="shared" si="9"/>
        <v>#DIV/0!</v>
      </c>
      <c r="X16" s="16" t="e">
        <f t="shared" si="9"/>
        <v>#DIV/0!</v>
      </c>
      <c r="Y16" s="16" t="e">
        <f t="shared" si="9"/>
        <v>#DIV/0!</v>
      </c>
      <c r="Z16" s="16" t="e">
        <f t="shared" si="9"/>
        <v>#DIV/0!</v>
      </c>
      <c r="AA16" s="16" t="e">
        <f t="shared" si="9"/>
        <v>#DIV/0!</v>
      </c>
      <c r="AB16" s="16" t="e">
        <f t="shared" si="9"/>
        <v>#DIV/0!</v>
      </c>
      <c r="AC16" s="16" t="e">
        <f t="shared" si="9"/>
        <v>#DIV/0!</v>
      </c>
      <c r="AD16" s="16" t="e">
        <f t="shared" si="9"/>
        <v>#DIV/0!</v>
      </c>
      <c r="AE16" s="16" t="e">
        <f t="shared" si="9"/>
        <v>#DIV/0!</v>
      </c>
      <c r="AF16" s="16" t="e">
        <f t="shared" si="9"/>
        <v>#DIV/0!</v>
      </c>
      <c r="AG16" s="16" t="e">
        <f t="shared" si="9"/>
        <v>#DIV/0!</v>
      </c>
      <c r="AH16" s="16" t="e">
        <f t="shared" si="9"/>
        <v>#DIV/0!</v>
      </c>
      <c r="AI16" s="16" t="e">
        <f t="shared" si="9"/>
        <v>#DIV/0!</v>
      </c>
      <c r="AJ16" s="16" t="e">
        <f t="shared" si="9"/>
        <v>#DIV/0!</v>
      </c>
      <c r="AK16" s="16" t="e">
        <f t="shared" si="9"/>
        <v>#DIV/0!</v>
      </c>
      <c r="AL16" s="16" t="e">
        <f t="shared" si="9"/>
        <v>#DIV/0!</v>
      </c>
      <c r="AM16" s="16" t="e">
        <f t="shared" si="9"/>
        <v>#DIV/0!</v>
      </c>
      <c r="AN16" s="16" t="e">
        <f t="shared" si="9"/>
        <v>#DIV/0!</v>
      </c>
      <c r="AO16" s="16" t="e">
        <f t="shared" si="9"/>
        <v>#DIV/0!</v>
      </c>
      <c r="AP16" s="16" t="e">
        <f t="shared" si="9"/>
        <v>#DIV/0!</v>
      </c>
      <c r="AQ16" s="16" t="e">
        <f t="shared" si="9"/>
        <v>#DIV/0!</v>
      </c>
      <c r="AR16" s="16" t="e">
        <f t="shared" si="9"/>
        <v>#DIV/0!</v>
      </c>
      <c r="AS16" s="16" t="e">
        <f t="shared" si="9"/>
        <v>#DIV/0!</v>
      </c>
      <c r="AT16" s="16" t="e">
        <f t="shared" si="9"/>
        <v>#DIV/0!</v>
      </c>
      <c r="AU16" s="16" t="e">
        <f t="shared" si="9"/>
        <v>#DIV/0!</v>
      </c>
      <c r="AV16" s="16" t="e">
        <f t="shared" si="9"/>
        <v>#DIV/0!</v>
      </c>
      <c r="AW16" s="16" t="e">
        <f t="shared" si="9"/>
        <v>#DIV/0!</v>
      </c>
      <c r="AX16" s="16" t="e">
        <f t="shared" si="9"/>
        <v>#DIV/0!</v>
      </c>
      <c r="AY16" s="16" t="e">
        <f t="shared" si="9"/>
        <v>#DIV/0!</v>
      </c>
      <c r="AZ16" s="16" t="e">
        <f t="shared" si="9"/>
        <v>#DIV/0!</v>
      </c>
      <c r="BA16" s="16" t="e">
        <f t="shared" si="9"/>
        <v>#DIV/0!</v>
      </c>
      <c r="BB16" s="16" t="e">
        <f t="shared" si="9"/>
        <v>#DIV/0!</v>
      </c>
      <c r="BC16" s="16" t="e">
        <f t="shared" si="9"/>
        <v>#DIV/0!</v>
      </c>
      <c r="BD16" s="16" t="e">
        <f t="shared" si="9"/>
        <v>#DIV/0!</v>
      </c>
      <c r="BE16" s="16" t="e">
        <f t="shared" si="9"/>
        <v>#DIV/0!</v>
      </c>
      <c r="BF16" s="16" t="e">
        <f t="shared" si="9"/>
        <v>#DIV/0!</v>
      </c>
      <c r="BG16" s="16" t="e">
        <f t="shared" si="9"/>
        <v>#DIV/0!</v>
      </c>
      <c r="BH16" s="16" t="e">
        <f t="shared" si="9"/>
        <v>#DIV/0!</v>
      </c>
      <c r="BI16" s="16">
        <f t="shared" si="9"/>
        <v>0.3776925346709944</v>
      </c>
      <c r="BJ16" s="16">
        <f t="shared" si="9"/>
        <v>0.37760489024729094</v>
      </c>
      <c r="BK16" s="16">
        <f t="shared" si="9"/>
        <v>0.3802098100368585</v>
      </c>
      <c r="BL16" s="16">
        <f t="shared" si="9"/>
        <v>0.38711409395973156</v>
      </c>
      <c r="BM16" s="16">
        <f t="shared" si="9"/>
        <v>0.36582836401348195</v>
      </c>
      <c r="BN16" s="16">
        <f t="shared" si="9"/>
        <v>0.35970873786407764</v>
      </c>
      <c r="BO16" s="16">
        <f t="shared" ref="BO16" si="10">BO6/BO14</f>
        <v>0.35115229270610598</v>
      </c>
      <c r="BP16" s="16">
        <f>BP6/BP14</f>
        <v>0.35562376671782503</v>
      </c>
      <c r="CF16" s="1" t="e">
        <f>CF6/CF14</f>
        <v>#DIV/0!</v>
      </c>
      <c r="CG16" s="1">
        <f>CG6/CG14</f>
        <v>0.25620496397117692</v>
      </c>
      <c r="CH16" s="1">
        <f>CH6/CH14</f>
        <v>0.25621359223300971</v>
      </c>
      <c r="CI16" s="1">
        <f>CI6/CI14</f>
        <v>0.25718901453957999</v>
      </c>
      <c r="CJ16" s="1">
        <f>CJ6/CJ14</f>
        <v>0.25881903670819612</v>
      </c>
      <c r="CK16" s="1">
        <f>CK6/CK14</f>
        <v>0.25612287256122873</v>
      </c>
    </row>
    <row r="17" spans="2:89">
      <c r="B17" s="1" t="s">
        <v>189</v>
      </c>
      <c r="C17" s="16" t="e">
        <f t="shared" ref="C17:BN17" si="11">C13/C14</f>
        <v>#DIV/0!</v>
      </c>
      <c r="D17" s="16" t="e">
        <f t="shared" si="11"/>
        <v>#DIV/0!</v>
      </c>
      <c r="E17" s="16" t="e">
        <f t="shared" si="11"/>
        <v>#DIV/0!</v>
      </c>
      <c r="F17" s="16" t="e">
        <f t="shared" si="11"/>
        <v>#DIV/0!</v>
      </c>
      <c r="G17" s="16" t="e">
        <f t="shared" si="11"/>
        <v>#DIV/0!</v>
      </c>
      <c r="H17" s="16" t="e">
        <f t="shared" si="11"/>
        <v>#DIV/0!</v>
      </c>
      <c r="I17" s="16" t="e">
        <f t="shared" si="11"/>
        <v>#DIV/0!</v>
      </c>
      <c r="J17" s="16" t="e">
        <f t="shared" si="11"/>
        <v>#DIV/0!</v>
      </c>
      <c r="K17" s="16" t="e">
        <f t="shared" si="11"/>
        <v>#DIV/0!</v>
      </c>
      <c r="L17" s="16" t="e">
        <f t="shared" si="11"/>
        <v>#DIV/0!</v>
      </c>
      <c r="M17" s="16" t="e">
        <f t="shared" si="11"/>
        <v>#DIV/0!</v>
      </c>
      <c r="N17" s="16" t="e">
        <f t="shared" si="11"/>
        <v>#DIV/0!</v>
      </c>
      <c r="O17" s="16" t="e">
        <f t="shared" si="11"/>
        <v>#DIV/0!</v>
      </c>
      <c r="P17" s="16" t="e">
        <f t="shared" si="11"/>
        <v>#DIV/0!</v>
      </c>
      <c r="Q17" s="16" t="e">
        <f t="shared" si="11"/>
        <v>#DIV/0!</v>
      </c>
      <c r="R17" s="16" t="e">
        <f t="shared" si="11"/>
        <v>#DIV/0!</v>
      </c>
      <c r="S17" s="16" t="e">
        <f t="shared" si="11"/>
        <v>#DIV/0!</v>
      </c>
      <c r="T17" s="16" t="e">
        <f t="shared" si="11"/>
        <v>#DIV/0!</v>
      </c>
      <c r="U17" s="16" t="e">
        <f t="shared" si="11"/>
        <v>#DIV/0!</v>
      </c>
      <c r="V17" s="16" t="e">
        <f t="shared" si="11"/>
        <v>#DIV/0!</v>
      </c>
      <c r="W17" s="16" t="e">
        <f t="shared" si="11"/>
        <v>#DIV/0!</v>
      </c>
      <c r="X17" s="16" t="e">
        <f t="shared" si="11"/>
        <v>#DIV/0!</v>
      </c>
      <c r="Y17" s="16" t="e">
        <f t="shared" si="11"/>
        <v>#DIV/0!</v>
      </c>
      <c r="Z17" s="16" t="e">
        <f t="shared" si="11"/>
        <v>#DIV/0!</v>
      </c>
      <c r="AA17" s="16" t="e">
        <f t="shared" si="11"/>
        <v>#DIV/0!</v>
      </c>
      <c r="AB17" s="16" t="e">
        <f t="shared" si="11"/>
        <v>#DIV/0!</v>
      </c>
      <c r="AC17" s="16" t="e">
        <f t="shared" si="11"/>
        <v>#DIV/0!</v>
      </c>
      <c r="AD17" s="16" t="e">
        <f t="shared" si="11"/>
        <v>#DIV/0!</v>
      </c>
      <c r="AE17" s="16" t="e">
        <f t="shared" si="11"/>
        <v>#DIV/0!</v>
      </c>
      <c r="AF17" s="16" t="e">
        <f t="shared" si="11"/>
        <v>#DIV/0!</v>
      </c>
      <c r="AG17" s="16" t="e">
        <f t="shared" si="11"/>
        <v>#DIV/0!</v>
      </c>
      <c r="AH17" s="16" t="e">
        <f t="shared" si="11"/>
        <v>#DIV/0!</v>
      </c>
      <c r="AI17" s="16" t="e">
        <f t="shared" si="11"/>
        <v>#DIV/0!</v>
      </c>
      <c r="AJ17" s="16" t="e">
        <f t="shared" si="11"/>
        <v>#DIV/0!</v>
      </c>
      <c r="AK17" s="16" t="e">
        <f t="shared" si="11"/>
        <v>#DIV/0!</v>
      </c>
      <c r="AL17" s="16" t="e">
        <f t="shared" si="11"/>
        <v>#DIV/0!</v>
      </c>
      <c r="AM17" s="16" t="e">
        <f t="shared" si="11"/>
        <v>#DIV/0!</v>
      </c>
      <c r="AN17" s="16" t="e">
        <f t="shared" si="11"/>
        <v>#DIV/0!</v>
      </c>
      <c r="AO17" s="16" t="e">
        <f t="shared" si="11"/>
        <v>#DIV/0!</v>
      </c>
      <c r="AP17" s="16" t="e">
        <f t="shared" si="11"/>
        <v>#DIV/0!</v>
      </c>
      <c r="AQ17" s="16" t="e">
        <f t="shared" si="11"/>
        <v>#DIV/0!</v>
      </c>
      <c r="AR17" s="16" t="e">
        <f t="shared" si="11"/>
        <v>#DIV/0!</v>
      </c>
      <c r="AS17" s="16" t="e">
        <f t="shared" si="11"/>
        <v>#DIV/0!</v>
      </c>
      <c r="AT17" s="16" t="e">
        <f t="shared" si="11"/>
        <v>#DIV/0!</v>
      </c>
      <c r="AU17" s="16" t="e">
        <f t="shared" si="11"/>
        <v>#DIV/0!</v>
      </c>
      <c r="AV17" s="16" t="e">
        <f t="shared" si="11"/>
        <v>#DIV/0!</v>
      </c>
      <c r="AW17" s="16" t="e">
        <f t="shared" si="11"/>
        <v>#DIV/0!</v>
      </c>
      <c r="AX17" s="16" t="e">
        <f t="shared" si="11"/>
        <v>#DIV/0!</v>
      </c>
      <c r="AY17" s="16" t="e">
        <f t="shared" si="11"/>
        <v>#DIV/0!</v>
      </c>
      <c r="AZ17" s="16" t="e">
        <f t="shared" si="11"/>
        <v>#DIV/0!</v>
      </c>
      <c r="BA17" s="16" t="e">
        <f t="shared" si="11"/>
        <v>#DIV/0!</v>
      </c>
      <c r="BB17" s="16" t="e">
        <f t="shared" si="11"/>
        <v>#DIV/0!</v>
      </c>
      <c r="BC17" s="16" t="e">
        <f t="shared" si="11"/>
        <v>#DIV/0!</v>
      </c>
      <c r="BD17" s="16" t="e">
        <f t="shared" si="11"/>
        <v>#DIV/0!</v>
      </c>
      <c r="BE17" s="16" t="e">
        <f t="shared" si="11"/>
        <v>#DIV/0!</v>
      </c>
      <c r="BF17" s="16" t="e">
        <f t="shared" si="11"/>
        <v>#DIV/0!</v>
      </c>
      <c r="BG17" s="16" t="e">
        <f t="shared" si="11"/>
        <v>#DIV/0!</v>
      </c>
      <c r="BH17" s="16" t="e">
        <f t="shared" si="11"/>
        <v>#DIV/0!</v>
      </c>
      <c r="BI17" s="16">
        <f t="shared" si="11"/>
        <v>0.6223074653290056</v>
      </c>
      <c r="BJ17" s="16">
        <f t="shared" si="11"/>
        <v>0.62239510975270906</v>
      </c>
      <c r="BK17" s="16">
        <f t="shared" si="11"/>
        <v>0.6197901899631415</v>
      </c>
      <c r="BL17" s="16">
        <f t="shared" si="11"/>
        <v>0.61288590604026849</v>
      </c>
      <c r="BM17" s="16">
        <f t="shared" si="11"/>
        <v>0.63417163598651805</v>
      </c>
      <c r="BN17" s="16">
        <f t="shared" si="11"/>
        <v>0.64029126213592236</v>
      </c>
      <c r="BO17" s="16">
        <f t="shared" ref="BO17" si="12">BO13/BO14</f>
        <v>0.64884770729389407</v>
      </c>
      <c r="BP17" s="16">
        <f>BP13/BP14</f>
        <v>0.64437623328217497</v>
      </c>
      <c r="CF17" s="1" t="e">
        <f>CF13/CF14</f>
        <v>#DIV/0!</v>
      </c>
      <c r="CG17" s="1">
        <f>CG13/CG14</f>
        <v>0.74379503602882302</v>
      </c>
      <c r="CH17" s="1">
        <f>CH13/CH14</f>
        <v>0.74378640776699034</v>
      </c>
      <c r="CI17" s="1">
        <f>CI13/CI14</f>
        <v>0.74281098546042001</v>
      </c>
      <c r="CJ17" s="1">
        <f>CJ13/CJ14</f>
        <v>0.74118096329180394</v>
      </c>
      <c r="CK17" s="1">
        <f>CK13/CK14</f>
        <v>0.74387712743877132</v>
      </c>
    </row>
    <row r="18" spans="2:89">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row>
    <row r="19" spans="2:89">
      <c r="B19" s="1" t="s">
        <v>193</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8" t="e">
        <f t="shared" ref="BA19:BO19" si="13">BA6/AW6-1</f>
        <v>#DIV/0!</v>
      </c>
      <c r="BB19" s="18" t="e">
        <f t="shared" si="13"/>
        <v>#DIV/0!</v>
      </c>
      <c r="BC19" s="18" t="e">
        <f t="shared" si="13"/>
        <v>#DIV/0!</v>
      </c>
      <c r="BD19" s="18" t="e">
        <f t="shared" si="13"/>
        <v>#DIV/0!</v>
      </c>
      <c r="BE19" s="18" t="e">
        <f t="shared" si="13"/>
        <v>#DIV/0!</v>
      </c>
      <c r="BF19" s="18" t="e">
        <f t="shared" si="13"/>
        <v>#DIV/0!</v>
      </c>
      <c r="BG19" s="18" t="e">
        <f t="shared" si="13"/>
        <v>#DIV/0!</v>
      </c>
      <c r="BH19" s="18" t="e">
        <f t="shared" si="13"/>
        <v>#DIV/0!</v>
      </c>
      <c r="BI19" s="18" t="e">
        <f t="shared" si="13"/>
        <v>#DIV/0!</v>
      </c>
      <c r="BJ19" s="18" t="e">
        <f t="shared" si="13"/>
        <v>#DIV/0!</v>
      </c>
      <c r="BK19" s="18" t="e">
        <f t="shared" si="13"/>
        <v>#DIV/0!</v>
      </c>
      <c r="BL19" s="18" t="e">
        <f t="shared" si="13"/>
        <v>#DIV/0!</v>
      </c>
      <c r="BM19" s="18">
        <f t="shared" si="13"/>
        <v>0.10234374999999996</v>
      </c>
      <c r="BN19" s="18">
        <f t="shared" si="13"/>
        <v>9.0507726269315691E-2</v>
      </c>
      <c r="BO19" s="18">
        <f t="shared" si="13"/>
        <v>0.10216256524981349</v>
      </c>
      <c r="BP19" s="18">
        <f>BP6/BL6-1</f>
        <v>0.12482662968099856</v>
      </c>
      <c r="CG19" s="1" t="e">
        <f>CG6/CF6-1</f>
        <v>#DIV/0!</v>
      </c>
      <c r="CH19" s="1">
        <f>CH6/CG6-1</f>
        <v>1.0617187499999998</v>
      </c>
      <c r="CI19" s="1">
        <f>CI6/CH6-1</f>
        <v>0.50814702538840462</v>
      </c>
      <c r="CJ19" s="1">
        <f>CJ6/CI6-1</f>
        <v>0.36231155778894464</v>
      </c>
      <c r="CK19" s="1">
        <f>CK6/CJ6-1</f>
        <v>2.416082626337146E-2</v>
      </c>
    </row>
    <row r="20" spans="2:89">
      <c r="B20" s="1" t="s">
        <v>192</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8" t="e">
        <f t="shared" ref="BA20:BO20" si="14">BA13/AW13</f>
        <v>#DIV/0!</v>
      </c>
      <c r="BB20" s="18" t="e">
        <f t="shared" si="14"/>
        <v>#DIV/0!</v>
      </c>
      <c r="BC20" s="18" t="e">
        <f t="shared" si="14"/>
        <v>#DIV/0!</v>
      </c>
      <c r="BD20" s="18" t="e">
        <f t="shared" si="14"/>
        <v>#DIV/0!</v>
      </c>
      <c r="BE20" s="18" t="e">
        <f t="shared" si="14"/>
        <v>#DIV/0!</v>
      </c>
      <c r="BF20" s="18" t="e">
        <f t="shared" si="14"/>
        <v>#DIV/0!</v>
      </c>
      <c r="BG20" s="18" t="e">
        <f t="shared" si="14"/>
        <v>#DIV/0!</v>
      </c>
      <c r="BH20" s="18" t="e">
        <f t="shared" si="14"/>
        <v>#DIV/0!</v>
      </c>
      <c r="BI20" s="18" t="e">
        <f t="shared" si="14"/>
        <v>#DIV/0!</v>
      </c>
      <c r="BJ20" s="18" t="e">
        <f t="shared" si="14"/>
        <v>#DIV/0!</v>
      </c>
      <c r="BK20" s="18" t="e">
        <f t="shared" si="14"/>
        <v>#DIV/0!</v>
      </c>
      <c r="BL20" s="18" t="e">
        <f t="shared" si="14"/>
        <v>#DIV/0!</v>
      </c>
      <c r="BM20" s="18">
        <f t="shared" si="14"/>
        <v>1.1597913703176861</v>
      </c>
      <c r="BN20" s="18">
        <f t="shared" si="14"/>
        <v>1.1776785714285714</v>
      </c>
      <c r="BO20" s="18">
        <f t="shared" si="14"/>
        <v>1.2493138151875571</v>
      </c>
      <c r="BP20" s="18">
        <f>BP13/BL13</f>
        <v>1.287341217696014</v>
      </c>
      <c r="CG20" s="1" t="e">
        <f>CG13/CF13-1</f>
        <v>#DIV/0!</v>
      </c>
      <c r="CH20" s="1">
        <f>CH13/CG13-1</f>
        <v>1.0616254036598494</v>
      </c>
      <c r="CI20" s="1">
        <f>CI13/CH13-1</f>
        <v>0.50045685941783047</v>
      </c>
      <c r="CJ20" s="1">
        <f>CJ13/CI13-1</f>
        <v>0.35076120052196602</v>
      </c>
      <c r="CK20" s="1">
        <f>CK13/CJ13-1</f>
        <v>3.8706768854253948E-2</v>
      </c>
    </row>
    <row r="21" spans="2:89">
      <c r="B21" s="1" t="s">
        <v>191</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8" t="e">
        <f t="shared" ref="BA21:BO21" si="15">BA14/AW14-1</f>
        <v>#DIV/0!</v>
      </c>
      <c r="BB21" s="18" t="e">
        <f t="shared" si="15"/>
        <v>#DIV/0!</v>
      </c>
      <c r="BC21" s="18" t="e">
        <f t="shared" si="15"/>
        <v>#DIV/0!</v>
      </c>
      <c r="BD21" s="18" t="e">
        <f t="shared" si="15"/>
        <v>#DIV/0!</v>
      </c>
      <c r="BE21" s="18" t="e">
        <f t="shared" si="15"/>
        <v>#DIV/0!</v>
      </c>
      <c r="BF21" s="18" t="e">
        <f t="shared" si="15"/>
        <v>#DIV/0!</v>
      </c>
      <c r="BG21" s="18" t="e">
        <f t="shared" si="15"/>
        <v>#DIV/0!</v>
      </c>
      <c r="BH21" s="18" t="e">
        <f t="shared" si="15"/>
        <v>#DIV/0!</v>
      </c>
      <c r="BI21" s="18" t="e">
        <f t="shared" si="15"/>
        <v>#DIV/0!</v>
      </c>
      <c r="BJ21" s="18" t="e">
        <f t="shared" si="15"/>
        <v>#DIV/0!</v>
      </c>
      <c r="BK21" s="18" t="e">
        <f t="shared" si="15"/>
        <v>#DIV/0!</v>
      </c>
      <c r="BL21" s="18" t="e">
        <f t="shared" si="15"/>
        <v>#DIV/0!</v>
      </c>
      <c r="BM21" s="18">
        <f t="shared" si="15"/>
        <v>0.1380938329890824</v>
      </c>
      <c r="BN21" s="18">
        <f t="shared" si="15"/>
        <v>0.14476243400944711</v>
      </c>
      <c r="BO21" s="18">
        <f t="shared" si="15"/>
        <v>0.19336546640204144</v>
      </c>
      <c r="BP21" s="18">
        <f>BP14/BL14-1</f>
        <v>0.22442953020134238</v>
      </c>
      <c r="CG21" s="1" t="e">
        <f>CG14/CF14-1</f>
        <v>#DIV/0!</v>
      </c>
      <c r="CH21" s="1">
        <f>CH14/CG14-1</f>
        <v>1.0616493194555643</v>
      </c>
      <c r="CI21" s="1">
        <f>CI14/CH14-1</f>
        <v>0.50242718446601953</v>
      </c>
      <c r="CJ21" s="1">
        <f>CJ14/CI14-1</f>
        <v>0.35373182552504034</v>
      </c>
      <c r="CK21" s="1">
        <f>CK14/CJ14-1</f>
        <v>3.4942002004868966E-2</v>
      </c>
    </row>
    <row r="22" spans="2:89" s="10" customFormat="1"/>
    <row r="23" spans="2:89" s="10" customFormat="1">
      <c r="B23" s="10" t="s">
        <v>194</v>
      </c>
      <c r="BI23" s="10">
        <v>2003</v>
      </c>
      <c r="BJ23" s="10">
        <v>2110</v>
      </c>
      <c r="BK23" s="10">
        <v>2099</v>
      </c>
      <c r="BL23" s="1">
        <f>8425-SUM(BI23:BK23)</f>
        <v>2213</v>
      </c>
      <c r="BM23" s="10">
        <v>2258</v>
      </c>
      <c r="BN23" s="10">
        <v>2466</v>
      </c>
      <c r="BO23" s="10">
        <v>2593</v>
      </c>
      <c r="BP23" s="1">
        <f>10210-SUM(BM23:BO23)</f>
        <v>2893</v>
      </c>
      <c r="CF23" s="10">
        <f t="shared" ref="CF23:CF26" si="16">SUM(BE23:BH23)</f>
        <v>0</v>
      </c>
      <c r="CG23" s="10">
        <f t="shared" ref="CF23:CK27" si="17">SUM(BF23:BI23)</f>
        <v>2003</v>
      </c>
      <c r="CH23" s="10">
        <f t="shared" si="17"/>
        <v>4113</v>
      </c>
      <c r="CI23" s="10">
        <f t="shared" si="17"/>
        <v>6212</v>
      </c>
      <c r="CJ23" s="10">
        <f t="shared" si="17"/>
        <v>8425</v>
      </c>
      <c r="CK23" s="10">
        <f t="shared" si="17"/>
        <v>8680</v>
      </c>
    </row>
    <row r="24" spans="2:89" s="10" customFormat="1">
      <c r="B24" s="10" t="s">
        <v>195</v>
      </c>
      <c r="BI24" s="10">
        <v>712</v>
      </c>
      <c r="BJ24" s="10">
        <v>723</v>
      </c>
      <c r="BK24" s="10">
        <v>671</v>
      </c>
      <c r="BL24" s="1">
        <f>2856-SUM(BI24:BK24)</f>
        <v>750</v>
      </c>
      <c r="BM24" s="10">
        <v>803</v>
      </c>
      <c r="BN24" s="10">
        <v>822</v>
      </c>
      <c r="BO24" s="10">
        <v>773</v>
      </c>
      <c r="BP24" s="1">
        <f>3228-SUM(BM24:BO24)</f>
        <v>830</v>
      </c>
      <c r="CF24" s="10">
        <f t="shared" si="16"/>
        <v>0</v>
      </c>
      <c r="CG24" s="10">
        <f t="shared" si="17"/>
        <v>712</v>
      </c>
      <c r="CH24" s="10">
        <f t="shared" si="17"/>
        <v>1435</v>
      </c>
      <c r="CI24" s="10">
        <f t="shared" si="17"/>
        <v>2106</v>
      </c>
      <c r="CJ24" s="10">
        <f t="shared" si="17"/>
        <v>2856</v>
      </c>
      <c r="CK24" s="10">
        <f t="shared" si="17"/>
        <v>2947</v>
      </c>
    </row>
    <row r="25" spans="2:89" s="10" customFormat="1">
      <c r="B25" s="10" t="s">
        <v>196</v>
      </c>
      <c r="BI25" s="10">
        <v>548</v>
      </c>
      <c r="BJ25" s="10">
        <v>626</v>
      </c>
      <c r="BK25" s="10">
        <v>611</v>
      </c>
      <c r="BL25" s="1">
        <f>2400-SUM(BI25:BK25)</f>
        <v>615</v>
      </c>
      <c r="BM25" s="10">
        <v>647</v>
      </c>
      <c r="BN25" s="10">
        <v>670</v>
      </c>
      <c r="BO25" s="10">
        <v>684</v>
      </c>
      <c r="BP25" s="1">
        <f>2686-SUM(BM25:BO25)</f>
        <v>685</v>
      </c>
      <c r="CF25" s="10">
        <f t="shared" si="16"/>
        <v>0</v>
      </c>
      <c r="CG25" s="10">
        <f t="shared" si="17"/>
        <v>548</v>
      </c>
      <c r="CH25" s="10">
        <f t="shared" si="17"/>
        <v>1174</v>
      </c>
      <c r="CI25" s="10">
        <f t="shared" si="17"/>
        <v>1785</v>
      </c>
      <c r="CJ25" s="10">
        <f t="shared" si="17"/>
        <v>2400</v>
      </c>
      <c r="CK25" s="10">
        <f t="shared" si="17"/>
        <v>2499</v>
      </c>
    </row>
    <row r="26" spans="2:89" s="10" customFormat="1">
      <c r="B26" s="10" t="s">
        <v>197</v>
      </c>
      <c r="BI26" s="10">
        <v>126</v>
      </c>
      <c r="BJ26" s="10">
        <v>140</v>
      </c>
      <c r="BK26" s="10">
        <v>146</v>
      </c>
      <c r="BL26" s="1">
        <f>559-SUM(BI26:BK26)</f>
        <v>147</v>
      </c>
      <c r="BM26" s="10">
        <v>149</v>
      </c>
      <c r="BN26" s="10">
        <v>162</v>
      </c>
      <c r="BO26" s="10">
        <v>159</v>
      </c>
      <c r="BP26" s="1">
        <f>623-SUM(BM26:BO26)</f>
        <v>153</v>
      </c>
      <c r="CF26" s="10">
        <f t="shared" si="16"/>
        <v>0</v>
      </c>
      <c r="CG26" s="10">
        <f t="shared" si="17"/>
        <v>126</v>
      </c>
      <c r="CH26" s="10">
        <f t="shared" si="17"/>
        <v>266</v>
      </c>
      <c r="CI26" s="10">
        <f t="shared" si="17"/>
        <v>412</v>
      </c>
      <c r="CJ26" s="10">
        <f t="shared" si="17"/>
        <v>559</v>
      </c>
      <c r="CK26" s="10">
        <f t="shared" si="17"/>
        <v>582</v>
      </c>
    </row>
    <row r="27" spans="2:89" s="11" customFormat="1" ht="15">
      <c r="B27" s="11" t="s">
        <v>187</v>
      </c>
      <c r="AX27" s="11">
        <f t="shared" ref="AX27:BN27" si="18">SUM(AX23:AX26)</f>
        <v>0</v>
      </c>
      <c r="AY27" s="11">
        <f t="shared" si="18"/>
        <v>0</v>
      </c>
      <c r="AZ27" s="11">
        <f t="shared" si="18"/>
        <v>0</v>
      </c>
      <c r="BA27" s="11">
        <f t="shared" si="18"/>
        <v>0</v>
      </c>
      <c r="BB27" s="11">
        <f t="shared" si="18"/>
        <v>0</v>
      </c>
      <c r="BC27" s="11">
        <f t="shared" si="18"/>
        <v>0</v>
      </c>
      <c r="BD27" s="11">
        <f t="shared" si="18"/>
        <v>0</v>
      </c>
      <c r="BE27" s="11">
        <f t="shared" si="18"/>
        <v>0</v>
      </c>
      <c r="BF27" s="11">
        <f t="shared" si="18"/>
        <v>0</v>
      </c>
      <c r="BG27" s="11">
        <f t="shared" si="18"/>
        <v>0</v>
      </c>
      <c r="BH27" s="11">
        <f t="shared" si="18"/>
        <v>0</v>
      </c>
      <c r="BI27" s="11">
        <f t="shared" si="18"/>
        <v>3389</v>
      </c>
      <c r="BJ27" s="11">
        <f t="shared" si="18"/>
        <v>3599</v>
      </c>
      <c r="BK27" s="11">
        <f t="shared" si="18"/>
        <v>3527</v>
      </c>
      <c r="BL27" s="11">
        <f t="shared" si="18"/>
        <v>3725</v>
      </c>
      <c r="BM27" s="11">
        <f t="shared" si="18"/>
        <v>3857</v>
      </c>
      <c r="BN27" s="11">
        <f t="shared" si="18"/>
        <v>4120</v>
      </c>
      <c r="BO27" s="11">
        <f t="shared" ref="BO27" si="19">SUM(BO23:BO26)</f>
        <v>4209</v>
      </c>
      <c r="BP27" s="11">
        <f>SUM(BP23:BP26)</f>
        <v>4561</v>
      </c>
      <c r="CF27" s="11">
        <f t="shared" si="17"/>
        <v>0</v>
      </c>
      <c r="CG27" s="11">
        <f t="shared" si="17"/>
        <v>3389</v>
      </c>
      <c r="CH27" s="11">
        <f t="shared" si="17"/>
        <v>6988</v>
      </c>
      <c r="CI27" s="11">
        <f t="shared" si="17"/>
        <v>10515</v>
      </c>
      <c r="CJ27" s="11">
        <f t="shared" si="17"/>
        <v>14240</v>
      </c>
      <c r="CK27" s="11">
        <f t="shared" si="17"/>
        <v>14708</v>
      </c>
    </row>
    <row r="28" spans="2:89" s="10" customFormat="1"/>
    <row r="29" spans="2:89" s="10" customFormat="1">
      <c r="B29" s="10" t="s">
        <v>198</v>
      </c>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t="e">
        <f>AW23/AW27</f>
        <v>#DIV/0!</v>
      </c>
      <c r="AX29" s="14" t="e">
        <f>AX23/AX27</f>
        <v>#DIV/0!</v>
      </c>
      <c r="AY29" s="14" t="e">
        <f>AY23/AY27</f>
        <v>#DIV/0!</v>
      </c>
      <c r="AZ29" s="14" t="e">
        <f>AZ23/AZ27</f>
        <v>#DIV/0!</v>
      </c>
      <c r="BA29" s="14" t="e">
        <f>BA23/BA27</f>
        <v>#DIV/0!</v>
      </c>
      <c r="BB29" s="14" t="e">
        <f>BB23/BB27</f>
        <v>#DIV/0!</v>
      </c>
      <c r="BC29" s="14" t="e">
        <f>BC23/BC27</f>
        <v>#DIV/0!</v>
      </c>
      <c r="BD29" s="14" t="e">
        <f>BD23/BD27</f>
        <v>#DIV/0!</v>
      </c>
      <c r="BE29" s="14" t="e">
        <f>BE23/BE27</f>
        <v>#DIV/0!</v>
      </c>
      <c r="BF29" s="14" t="e">
        <f>BF23/BF27</f>
        <v>#DIV/0!</v>
      </c>
      <c r="BG29" s="14" t="e">
        <f>BG23/BG27</f>
        <v>#DIV/0!</v>
      </c>
      <c r="BH29" s="14" t="e">
        <f>BH23/BH27</f>
        <v>#DIV/0!</v>
      </c>
      <c r="BI29" s="14">
        <f>BI23/BI27</f>
        <v>0.59102980230156388</v>
      </c>
      <c r="BJ29" s="14">
        <f>BJ23/BJ27</f>
        <v>0.58627396499027506</v>
      </c>
      <c r="BK29" s="14">
        <f>BK23/BK27</f>
        <v>0.59512333427842357</v>
      </c>
      <c r="BL29" s="14">
        <f>BL23/BL27</f>
        <v>0.59409395973154366</v>
      </c>
      <c r="BM29" s="14">
        <f>BM23/BM27</f>
        <v>0.58542908996629506</v>
      </c>
      <c r="BN29" s="14">
        <f>BN23/BN27</f>
        <v>0.59854368932038837</v>
      </c>
      <c r="BO29" s="14">
        <f>BO23/BO27</f>
        <v>0.6160608220479924</v>
      </c>
      <c r="BP29" s="14">
        <f>BP23/BP27</f>
        <v>0.63429072571804423</v>
      </c>
      <c r="CF29" s="14" t="e">
        <f>CF23/CF27</f>
        <v>#DIV/0!</v>
      </c>
      <c r="CG29" s="14">
        <f>CG23/CG27</f>
        <v>0.59102980230156388</v>
      </c>
      <c r="CH29" s="14">
        <f>CH23/CH27</f>
        <v>0.58858042358328566</v>
      </c>
      <c r="CI29" s="14">
        <f>CI23/CI27</f>
        <v>0.59077508321445549</v>
      </c>
      <c r="CJ29" s="14">
        <f>CJ23/CJ27</f>
        <v>0.5916432584269663</v>
      </c>
      <c r="CK29" s="14">
        <f>CK23/CK27</f>
        <v>0.59015501767745449</v>
      </c>
    </row>
    <row r="30" spans="2:89" s="10" customFormat="1">
      <c r="B30" s="10" t="s">
        <v>199</v>
      </c>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t="e">
        <f>AW24/AW27</f>
        <v>#DIV/0!</v>
      </c>
      <c r="AX30" s="14" t="e">
        <f>AX24/AX27</f>
        <v>#DIV/0!</v>
      </c>
      <c r="AY30" s="14" t="e">
        <f>AY24/AY27</f>
        <v>#DIV/0!</v>
      </c>
      <c r="AZ30" s="14" t="e">
        <f>AZ24/AZ27</f>
        <v>#DIV/0!</v>
      </c>
      <c r="BA30" s="14" t="e">
        <f>BA24/BA27</f>
        <v>#DIV/0!</v>
      </c>
      <c r="BB30" s="14" t="e">
        <f>BB24/BB27</f>
        <v>#DIV/0!</v>
      </c>
      <c r="BC30" s="14" t="e">
        <f>BC24/BC27</f>
        <v>#DIV/0!</v>
      </c>
      <c r="BD30" s="14" t="e">
        <f>BD24/BD27</f>
        <v>#DIV/0!</v>
      </c>
      <c r="BE30" s="14" t="e">
        <f>BE24/BE27</f>
        <v>#DIV/0!</v>
      </c>
      <c r="BF30" s="14" t="e">
        <f>BF24/BF27</f>
        <v>#DIV/0!</v>
      </c>
      <c r="BG30" s="14" t="e">
        <f>BG24/BG27</f>
        <v>#DIV/0!</v>
      </c>
      <c r="BH30" s="14" t="e">
        <f>BH24/BH27</f>
        <v>#DIV/0!</v>
      </c>
      <c r="BI30" s="14">
        <f>BI24/BI27</f>
        <v>0.21009147241074064</v>
      </c>
      <c r="BJ30" s="14">
        <f>BJ24/BJ27</f>
        <v>0.20088913587107529</v>
      </c>
      <c r="BK30" s="14">
        <f>BK24/BK27</f>
        <v>0.19024666855684719</v>
      </c>
      <c r="BL30" s="14">
        <f>BL24/BL27</f>
        <v>0.20134228187919462</v>
      </c>
      <c r="BM30" s="14">
        <f>BM24/BM27</f>
        <v>0.20819289603318641</v>
      </c>
      <c r="BN30" s="14">
        <f>BN24/BN27</f>
        <v>0.19951456310679611</v>
      </c>
      <c r="BO30" s="14">
        <f>BO24/BO27</f>
        <v>0.18365407460204325</v>
      </c>
      <c r="BP30" s="14">
        <f>BP24/BP27</f>
        <v>0.18197763648322737</v>
      </c>
      <c r="CF30" s="14" t="e">
        <f>CF24/CF27</f>
        <v>#DIV/0!</v>
      </c>
      <c r="CG30" s="14">
        <f>CG24/CG27</f>
        <v>0.21009147241074064</v>
      </c>
      <c r="CH30" s="14">
        <f>CH24/CH27</f>
        <v>0.20535203205495134</v>
      </c>
      <c r="CI30" s="14">
        <f>CI24/CI27</f>
        <v>0.20028530670470757</v>
      </c>
      <c r="CJ30" s="14">
        <f>CJ24/CJ27</f>
        <v>0.200561797752809</v>
      </c>
      <c r="CK30" s="14">
        <f>CK24/CK27</f>
        <v>0.20036714713081316</v>
      </c>
    </row>
    <row r="31" spans="2:89" s="10" customFormat="1">
      <c r="B31" s="10" t="s">
        <v>200</v>
      </c>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t="e">
        <f>AW25/AW27</f>
        <v>#DIV/0!</v>
      </c>
      <c r="AX31" s="14" t="e">
        <f>AX25/AX27</f>
        <v>#DIV/0!</v>
      </c>
      <c r="AY31" s="14" t="e">
        <f>AY25/AY27</f>
        <v>#DIV/0!</v>
      </c>
      <c r="AZ31" s="14" t="e">
        <f>AZ25/AZ27</f>
        <v>#DIV/0!</v>
      </c>
      <c r="BA31" s="14" t="e">
        <f>BA25/BA27</f>
        <v>#DIV/0!</v>
      </c>
      <c r="BB31" s="14" t="e">
        <f>BB25/BB27</f>
        <v>#DIV/0!</v>
      </c>
      <c r="BC31" s="14" t="e">
        <f>BC25/BC27</f>
        <v>#DIV/0!</v>
      </c>
      <c r="BD31" s="14" t="e">
        <f>BD25/BD27</f>
        <v>#DIV/0!</v>
      </c>
      <c r="BE31" s="14" t="e">
        <f>BE25/BE27</f>
        <v>#DIV/0!</v>
      </c>
      <c r="BF31" s="14" t="e">
        <f>BF25/BF27</f>
        <v>#DIV/0!</v>
      </c>
      <c r="BG31" s="14" t="e">
        <f>BG25/BG27</f>
        <v>#DIV/0!</v>
      </c>
      <c r="BH31" s="14" t="e">
        <f>BH25/BH27</f>
        <v>#DIV/0!</v>
      </c>
      <c r="BI31" s="14">
        <f>BI25/BI27</f>
        <v>0.16169961640601949</v>
      </c>
      <c r="BJ31" s="14">
        <f>BJ25/BJ27</f>
        <v>0.17393720477910532</v>
      </c>
      <c r="BK31" s="14">
        <f>BK25/BK27</f>
        <v>0.17323504394669692</v>
      </c>
      <c r="BL31" s="14">
        <f>BL25/BL27</f>
        <v>0.1651006711409396</v>
      </c>
      <c r="BM31" s="14">
        <f>BM25/BM27</f>
        <v>0.16774695359087374</v>
      </c>
      <c r="BN31" s="14">
        <f>BN25/BN27</f>
        <v>0.16262135922330098</v>
      </c>
      <c r="BO31" s="14">
        <f>BO25/BO27</f>
        <v>0.16250890947968638</v>
      </c>
      <c r="BP31" s="14">
        <f>BP25/BP27</f>
        <v>0.15018636263977198</v>
      </c>
      <c r="CF31" s="14" t="e">
        <f>CF25/CF27</f>
        <v>#DIV/0!</v>
      </c>
      <c r="CG31" s="14">
        <f>CG25/CG27</f>
        <v>0.16169961640601949</v>
      </c>
      <c r="CH31" s="14">
        <f>CH25/CH27</f>
        <v>0.1680022896393818</v>
      </c>
      <c r="CI31" s="14">
        <f>CI25/CI27</f>
        <v>0.16975748930099857</v>
      </c>
      <c r="CJ31" s="14">
        <f>CJ25/CJ27</f>
        <v>0.16853932584269662</v>
      </c>
      <c r="CK31" s="14">
        <f>CK25/CK27</f>
        <v>0.16990753331520261</v>
      </c>
    </row>
    <row r="32" spans="2:89" s="10" customFormat="1">
      <c r="B32" s="10" t="s">
        <v>201</v>
      </c>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t="e">
        <f>AW26/AW27</f>
        <v>#DIV/0!</v>
      </c>
      <c r="AX32" s="14" t="e">
        <f>AX26/AX27</f>
        <v>#DIV/0!</v>
      </c>
      <c r="AY32" s="14" t="e">
        <f>AY26/AY27</f>
        <v>#DIV/0!</v>
      </c>
      <c r="AZ32" s="14" t="e">
        <f>AZ26/AZ27</f>
        <v>#DIV/0!</v>
      </c>
      <c r="BA32" s="14" t="e">
        <f>BA26/BA27</f>
        <v>#DIV/0!</v>
      </c>
      <c r="BB32" s="14" t="e">
        <f>BB26/BB27</f>
        <v>#DIV/0!</v>
      </c>
      <c r="BC32" s="14" t="e">
        <f>BC26/BC27</f>
        <v>#DIV/0!</v>
      </c>
      <c r="BD32" s="14" t="e">
        <f>BD26/BD27</f>
        <v>#DIV/0!</v>
      </c>
      <c r="BE32" s="14" t="e">
        <f>BE26/BE27</f>
        <v>#DIV/0!</v>
      </c>
      <c r="BF32" s="14" t="e">
        <f>BF26/BF27</f>
        <v>#DIV/0!</v>
      </c>
      <c r="BG32" s="14" t="e">
        <f>BG26/BG27</f>
        <v>#DIV/0!</v>
      </c>
      <c r="BH32" s="14" t="e">
        <f>BH26/BH27</f>
        <v>#DIV/0!</v>
      </c>
      <c r="BI32" s="14">
        <f>BI26/BI27</f>
        <v>3.7179108881676012E-2</v>
      </c>
      <c r="BJ32" s="14">
        <f>BJ26/BJ27</f>
        <v>3.8899694359544316E-2</v>
      </c>
      <c r="BK32" s="14">
        <f>BK26/BK27</f>
        <v>4.139495321803232E-2</v>
      </c>
      <c r="BL32" s="14">
        <f>BL26/BL27</f>
        <v>3.9463087248322148E-2</v>
      </c>
      <c r="BM32" s="14">
        <f>BM26/BM27</f>
        <v>3.8631060409644799E-2</v>
      </c>
      <c r="BN32" s="14">
        <f>BN26/BN27</f>
        <v>3.9320388349514561E-2</v>
      </c>
      <c r="BO32" s="14">
        <f>BO26/BO27</f>
        <v>3.7776193870277974E-2</v>
      </c>
      <c r="BP32" s="14">
        <f>BP26/BP27</f>
        <v>3.3545275158956368E-2</v>
      </c>
      <c r="CF32" s="14" t="e">
        <f>CF26/CF27</f>
        <v>#DIV/0!</v>
      </c>
      <c r="CG32" s="14">
        <f>CG26/CG27</f>
        <v>3.7179108881676012E-2</v>
      </c>
      <c r="CH32" s="14">
        <f>CH26/CH27</f>
        <v>3.8065254722381224E-2</v>
      </c>
      <c r="CI32" s="14">
        <f>CI26/CI27</f>
        <v>3.9182120779838327E-2</v>
      </c>
      <c r="CJ32" s="14">
        <f>CJ26/CJ27</f>
        <v>3.9255617977528093E-2</v>
      </c>
      <c r="CK32" s="14">
        <f>CK26/CK27</f>
        <v>3.9570301876529781E-2</v>
      </c>
    </row>
    <row r="33" spans="2:89" s="10" customFormat="1">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row>
    <row r="34" spans="2:89" s="10" customFormat="1">
      <c r="B34" s="10" t="s">
        <v>202</v>
      </c>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9" t="e">
        <f>BA23/AW23-1</f>
        <v>#DIV/0!</v>
      </c>
      <c r="BB34" s="19" t="e">
        <f>BB23/AX23-1</f>
        <v>#DIV/0!</v>
      </c>
      <c r="BC34" s="19" t="e">
        <f>BC23/AY23-1</f>
        <v>#DIV/0!</v>
      </c>
      <c r="BD34" s="19" t="e">
        <f>BD23/AZ23-1</f>
        <v>#DIV/0!</v>
      </c>
      <c r="BE34" s="19" t="e">
        <f>BE23/BA23-1</f>
        <v>#DIV/0!</v>
      </c>
      <c r="BF34" s="19" t="e">
        <f>BF23/BB23-1</f>
        <v>#DIV/0!</v>
      </c>
      <c r="BG34" s="19" t="e">
        <f>BG23/BC23-1</f>
        <v>#DIV/0!</v>
      </c>
      <c r="BH34" s="19" t="e">
        <f>BH23/BD23-1</f>
        <v>#DIV/0!</v>
      </c>
      <c r="BI34" s="19" t="e">
        <f>BI23/BE23-1</f>
        <v>#DIV/0!</v>
      </c>
      <c r="BJ34" s="19" t="e">
        <f>BJ23/BF23-1</f>
        <v>#DIV/0!</v>
      </c>
      <c r="BK34" s="19" t="e">
        <f>BK23/BG23-1</f>
        <v>#DIV/0!</v>
      </c>
      <c r="BL34" s="19" t="e">
        <f>BL23/BH23-1</f>
        <v>#DIV/0!</v>
      </c>
      <c r="BM34" s="19">
        <f>BM23/BI23-1</f>
        <v>0.12730903644533198</v>
      </c>
      <c r="BN34" s="19">
        <f>BN23/BJ23-1</f>
        <v>0.1687203791469194</v>
      </c>
      <c r="BO34" s="19">
        <f>BO23/BK23-1</f>
        <v>0.23535016674606957</v>
      </c>
      <c r="BP34" s="19">
        <f>BP23/BL23-1</f>
        <v>0.30727519204699494</v>
      </c>
      <c r="CG34" s="19" t="e">
        <f>CG23/CF23-1</f>
        <v>#DIV/0!</v>
      </c>
      <c r="CH34" s="19">
        <f>CH23/CG23-1</f>
        <v>1.0534198701947077</v>
      </c>
      <c r="CI34" s="19">
        <f>CI23/CH23-1</f>
        <v>0.51033309020179907</v>
      </c>
      <c r="CJ34" s="19">
        <f>CJ23/CI23-1</f>
        <v>0.35624597553122994</v>
      </c>
      <c r="CK34" s="19">
        <f>CK23/CJ23-1</f>
        <v>3.0267062314540016E-2</v>
      </c>
    </row>
    <row r="35" spans="2:89" s="10" customFormat="1">
      <c r="B35" s="10" t="s">
        <v>203</v>
      </c>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9" t="e">
        <f>BA24/AW24-1</f>
        <v>#DIV/0!</v>
      </c>
      <c r="BB35" s="19" t="e">
        <f>BB24/AX24-1</f>
        <v>#DIV/0!</v>
      </c>
      <c r="BC35" s="19" t="e">
        <f>BC24/AY24-1</f>
        <v>#DIV/0!</v>
      </c>
      <c r="BD35" s="19" t="e">
        <f>BD24/AZ24-1</f>
        <v>#DIV/0!</v>
      </c>
      <c r="BE35" s="19" t="e">
        <f>BE24/BA24-1</f>
        <v>#DIV/0!</v>
      </c>
      <c r="BF35" s="19" t="e">
        <f>BF24/BB24-1</f>
        <v>#DIV/0!</v>
      </c>
      <c r="BG35" s="19" t="e">
        <f>BG24/BC24-1</f>
        <v>#DIV/0!</v>
      </c>
      <c r="BH35" s="19" t="e">
        <f>BH24/BD24-1</f>
        <v>#DIV/0!</v>
      </c>
      <c r="BI35" s="19" t="e">
        <f>BI24/BE24-1</f>
        <v>#DIV/0!</v>
      </c>
      <c r="BJ35" s="19" t="e">
        <f>BJ24/BF24-1</f>
        <v>#DIV/0!</v>
      </c>
      <c r="BK35" s="19" t="e">
        <f>BK24/BG24-1</f>
        <v>#DIV/0!</v>
      </c>
      <c r="BL35" s="19" t="e">
        <f>BL24/BH24-1</f>
        <v>#DIV/0!</v>
      </c>
      <c r="BM35" s="19">
        <f>BM24/BI24-1</f>
        <v>0.12780898876404501</v>
      </c>
      <c r="BN35" s="19">
        <f>BN24/BJ24-1</f>
        <v>0.13692946058091282</v>
      </c>
      <c r="BO35" s="19">
        <f>BO24/BK24-1</f>
        <v>0.15201192250372575</v>
      </c>
      <c r="BP35" s="19">
        <f>BP24/BL24-1</f>
        <v>0.10666666666666669</v>
      </c>
      <c r="CG35" s="19" t="e">
        <f>CG24/CF24-1</f>
        <v>#DIV/0!</v>
      </c>
      <c r="CH35" s="19">
        <f>CH24/CG24-1</f>
        <v>1.0154494382022472</v>
      </c>
      <c r="CI35" s="19">
        <f>CI24/CH24-1</f>
        <v>0.46759581881533108</v>
      </c>
      <c r="CJ35" s="19">
        <f>CJ24/CI24-1</f>
        <v>0.35612535612535612</v>
      </c>
      <c r="CK35" s="19">
        <f>CK24/CJ24-1</f>
        <v>3.1862745098039325E-2</v>
      </c>
    </row>
    <row r="36" spans="2:89" s="10" customFormat="1">
      <c r="B36" s="10" t="s">
        <v>204</v>
      </c>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9" t="e">
        <f>BA25/AW25-1</f>
        <v>#DIV/0!</v>
      </c>
      <c r="BB36" s="19" t="e">
        <f>BB25/AX25-1</f>
        <v>#DIV/0!</v>
      </c>
      <c r="BC36" s="19" t="e">
        <f>BC25/AY25-1</f>
        <v>#DIV/0!</v>
      </c>
      <c r="BD36" s="19" t="e">
        <f>BD25/AZ25-1</f>
        <v>#DIV/0!</v>
      </c>
      <c r="BE36" s="19" t="e">
        <f>BE25/BA25-1</f>
        <v>#DIV/0!</v>
      </c>
      <c r="BF36" s="19" t="e">
        <f>BF25/BB25-1</f>
        <v>#DIV/0!</v>
      </c>
      <c r="BG36" s="19" t="e">
        <f>BG25/BC25-1</f>
        <v>#DIV/0!</v>
      </c>
      <c r="BH36" s="19" t="e">
        <f>BH25/BD25-1</f>
        <v>#DIV/0!</v>
      </c>
      <c r="BI36" s="19" t="e">
        <f>BI25/BE25-1</f>
        <v>#DIV/0!</v>
      </c>
      <c r="BJ36" s="19" t="e">
        <f>BJ25/BF25-1</f>
        <v>#DIV/0!</v>
      </c>
      <c r="BK36" s="19" t="e">
        <f>BK25/BG25-1</f>
        <v>#DIV/0!</v>
      </c>
      <c r="BL36" s="19" t="e">
        <f>BL25/BH25-1</f>
        <v>#DIV/0!</v>
      </c>
      <c r="BM36" s="19">
        <f>BM25/BI25-1</f>
        <v>0.18065693430656937</v>
      </c>
      <c r="BN36" s="19">
        <f>BN25/BJ25-1</f>
        <v>7.0287539936102261E-2</v>
      </c>
      <c r="BO36" s="19">
        <f>BO25/BK25-1</f>
        <v>0.11947626841243864</v>
      </c>
      <c r="BP36" s="19">
        <f>BP25/BL25-1</f>
        <v>0.11382113821138207</v>
      </c>
      <c r="CG36" s="19" t="e">
        <f>CG25/CF25-1</f>
        <v>#DIV/0!</v>
      </c>
      <c r="CH36" s="19">
        <f>CH25/CG25-1</f>
        <v>1.1423357664233578</v>
      </c>
      <c r="CI36" s="19">
        <f>CI25/CH25-1</f>
        <v>0.52044293015332199</v>
      </c>
      <c r="CJ36" s="19">
        <f>CJ25/CI25-1</f>
        <v>0.34453781512605053</v>
      </c>
      <c r="CK36" s="19">
        <f>CK25/CJ25-1</f>
        <v>4.1250000000000009E-2</v>
      </c>
    </row>
    <row r="37" spans="2:89" s="10" customFormat="1">
      <c r="B37" s="10" t="s">
        <v>205</v>
      </c>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9" t="e">
        <f>BA26/AW26-1</f>
        <v>#DIV/0!</v>
      </c>
      <c r="BB37" s="19" t="e">
        <f>BB26/AX26-1</f>
        <v>#DIV/0!</v>
      </c>
      <c r="BC37" s="19" t="e">
        <f>BC26/AY26-1</f>
        <v>#DIV/0!</v>
      </c>
      <c r="BD37" s="19" t="e">
        <f>BD26/AZ26-1</f>
        <v>#DIV/0!</v>
      </c>
      <c r="BE37" s="19" t="e">
        <f>BE26/BA26-1</f>
        <v>#DIV/0!</v>
      </c>
      <c r="BF37" s="19" t="e">
        <f>BF26/BB26-1</f>
        <v>#DIV/0!</v>
      </c>
      <c r="BG37" s="19" t="e">
        <f>BG26/BC26-1</f>
        <v>#DIV/0!</v>
      </c>
      <c r="BH37" s="19" t="e">
        <f>BH26/BD26-1</f>
        <v>#DIV/0!</v>
      </c>
      <c r="BI37" s="19" t="e">
        <f>BI26/BE26-1</f>
        <v>#DIV/0!</v>
      </c>
      <c r="BJ37" s="19" t="e">
        <f>BJ26/BF26-1</f>
        <v>#DIV/0!</v>
      </c>
      <c r="BK37" s="19" t="e">
        <f>BK26/BG26-1</f>
        <v>#DIV/0!</v>
      </c>
      <c r="BL37" s="19" t="e">
        <f>BL26/BH26-1</f>
        <v>#DIV/0!</v>
      </c>
      <c r="BM37" s="19">
        <f>BM26/BI26-1</f>
        <v>0.18253968253968256</v>
      </c>
      <c r="BN37" s="19">
        <f>BN26/BJ26-1</f>
        <v>0.15714285714285725</v>
      </c>
      <c r="BO37" s="19">
        <f>BO26/BK26-1</f>
        <v>8.9041095890410871E-2</v>
      </c>
      <c r="BP37" s="19">
        <f>BP26/BL26-1</f>
        <v>4.081632653061229E-2</v>
      </c>
      <c r="CG37" s="19" t="e">
        <f>CG26/CF26-1</f>
        <v>#DIV/0!</v>
      </c>
      <c r="CH37" s="19">
        <f>CH26/CG26-1</f>
        <v>1.1111111111111112</v>
      </c>
      <c r="CI37" s="19">
        <f>CI26/CH26-1</f>
        <v>0.54887218045112784</v>
      </c>
      <c r="CJ37" s="19">
        <f>CJ26/CI26-1</f>
        <v>0.35679611650485432</v>
      </c>
      <c r="CK37" s="19">
        <f>CK26/CJ26-1</f>
        <v>4.1144901610017826E-2</v>
      </c>
    </row>
    <row r="38" spans="2:89" s="10" customFormat="1">
      <c r="B38" s="10" t="s">
        <v>206</v>
      </c>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9" t="e">
        <f>BA27/AW27-1</f>
        <v>#DIV/0!</v>
      </c>
      <c r="BB38" s="19" t="e">
        <f>BB27/AX27-1</f>
        <v>#DIV/0!</v>
      </c>
      <c r="BC38" s="19" t="e">
        <f>BC27/AY27-1</f>
        <v>#DIV/0!</v>
      </c>
      <c r="BD38" s="19" t="e">
        <f>BD27/AZ27-1</f>
        <v>#DIV/0!</v>
      </c>
      <c r="BE38" s="19" t="e">
        <f>BE27/BA27-1</f>
        <v>#DIV/0!</v>
      </c>
      <c r="BF38" s="19" t="e">
        <f>BF27/BB27-1</f>
        <v>#DIV/0!</v>
      </c>
      <c r="BG38" s="19" t="e">
        <f>BG27/BC27-1</f>
        <v>#DIV/0!</v>
      </c>
      <c r="BH38" s="19" t="e">
        <f>BH27/BD27-1</f>
        <v>#DIV/0!</v>
      </c>
      <c r="BI38" s="19" t="e">
        <f>BI27/BE27-1</f>
        <v>#DIV/0!</v>
      </c>
      <c r="BJ38" s="19" t="e">
        <f>BJ27/BF27-1</f>
        <v>#DIV/0!</v>
      </c>
      <c r="BK38" s="19" t="e">
        <f>BK27/BG27-1</f>
        <v>#DIV/0!</v>
      </c>
      <c r="BL38" s="19" t="e">
        <f>BL27/BH27-1</f>
        <v>#DIV/0!</v>
      </c>
      <c r="BM38" s="19">
        <f>BM27/BI27-1</f>
        <v>0.1380938329890824</v>
      </c>
      <c r="BN38" s="19">
        <f>BN27/BJ27-1</f>
        <v>0.14476243400944711</v>
      </c>
      <c r="BO38" s="19">
        <f>BO27/BK27-1</f>
        <v>0.19336546640204144</v>
      </c>
      <c r="BP38" s="19">
        <f>BP27/BL27-1</f>
        <v>0.22442953020134238</v>
      </c>
      <c r="CG38" s="19" t="e">
        <f>CG27/CF27-1</f>
        <v>#DIV/0!</v>
      </c>
      <c r="CH38" s="19">
        <f>CH27/CG27-1</f>
        <v>1.0619651814694602</v>
      </c>
      <c r="CI38" s="19">
        <f>CI27/CH27-1</f>
        <v>0.50472238122495705</v>
      </c>
      <c r="CJ38" s="19">
        <f>CJ27/CI27-1</f>
        <v>0.35425582501188768</v>
      </c>
      <c r="CK38" s="19">
        <f>CK27/CJ27-1</f>
        <v>3.2865168539325751E-2</v>
      </c>
    </row>
    <row r="39" spans="2:89" s="10" customFormat="1">
      <c r="B39" s="10" t="s">
        <v>7</v>
      </c>
    </row>
    <row r="40" spans="2:89" s="11" customFormat="1" ht="15">
      <c r="B40" s="11" t="s">
        <v>161</v>
      </c>
      <c r="C40" s="11">
        <v>2024</v>
      </c>
      <c r="D40" s="11">
        <v>1978</v>
      </c>
      <c r="E40" s="11">
        <v>2010</v>
      </c>
      <c r="F40" s="11">
        <v>2074</v>
      </c>
      <c r="G40" s="11">
        <v>2025</v>
      </c>
      <c r="H40" s="11">
        <v>2079</v>
      </c>
      <c r="I40" s="11">
        <v>1960</v>
      </c>
      <c r="J40" s="11">
        <v>1928</v>
      </c>
      <c r="K40" s="11">
        <v>1916</v>
      </c>
      <c r="L40" s="11">
        <v>2002</v>
      </c>
      <c r="M40" s="11">
        <v>1925</v>
      </c>
      <c r="N40" s="11">
        <v>1975</v>
      </c>
      <c r="O40" s="11">
        <v>1874</v>
      </c>
      <c r="P40" s="11">
        <v>1848</v>
      </c>
      <c r="Q40" s="11">
        <v>1866</v>
      </c>
      <c r="R40" s="11">
        <v>1828</v>
      </c>
      <c r="S40" s="11">
        <v>1735</v>
      </c>
      <c r="T40" s="11">
        <v>1820</v>
      </c>
      <c r="U40" s="11">
        <v>1761</v>
      </c>
      <c r="V40" s="11">
        <v>1809</v>
      </c>
      <c r="W40" s="11">
        <v>1735</v>
      </c>
      <c r="X40" s="11">
        <v>1838</v>
      </c>
      <c r="Y40" s="11">
        <v>1774</v>
      </c>
      <c r="Z40" s="11">
        <v>1873</v>
      </c>
      <c r="AA40" s="11">
        <v>1846</v>
      </c>
      <c r="AB40" s="11">
        <v>1887</v>
      </c>
      <c r="AC40" s="11">
        <v>1768</v>
      </c>
      <c r="AD40" s="11">
        <v>1843</v>
      </c>
      <c r="AE40" s="11">
        <v>1888</v>
      </c>
      <c r="AF40" s="11">
        <v>1978</v>
      </c>
      <c r="AG40" s="11">
        <v>1964</v>
      </c>
      <c r="AH40" s="11">
        <v>2126</v>
      </c>
      <c r="AI40" s="11">
        <v>2105</v>
      </c>
      <c r="AJ40" s="11">
        <v>2191</v>
      </c>
      <c r="AK40" s="11">
        <v>2160</v>
      </c>
      <c r="AL40" s="11">
        <v>2257</v>
      </c>
      <c r="AM40" s="11">
        <v>2222</v>
      </c>
      <c r="AN40" s="11">
        <v>2409</v>
      </c>
      <c r="AO40" s="11">
        <v>2379</v>
      </c>
      <c r="AP40" s="11">
        <v>2490</v>
      </c>
      <c r="AQ40" s="11">
        <v>2393</v>
      </c>
      <c r="AR40" s="11">
        <v>2561</v>
      </c>
      <c r="AS40" s="11">
        <v>2493</v>
      </c>
      <c r="AT40" s="11">
        <v>2631</v>
      </c>
      <c r="AU40" s="11">
        <v>2707</v>
      </c>
      <c r="AV40" s="11">
        <v>2904</v>
      </c>
      <c r="AW40" s="11">
        <f>AW27</f>
        <v>0</v>
      </c>
      <c r="AX40" s="11">
        <f>AX27</f>
        <v>0</v>
      </c>
      <c r="AY40" s="11">
        <f>AY27</f>
        <v>0</v>
      </c>
      <c r="AZ40" s="11">
        <f>AZ27</f>
        <v>0</v>
      </c>
      <c r="BA40" s="11">
        <f>BA27</f>
        <v>0</v>
      </c>
      <c r="BB40" s="11">
        <f>BB27</f>
        <v>0</v>
      </c>
      <c r="BC40" s="11">
        <f>BC27</f>
        <v>0</v>
      </c>
      <c r="BD40" s="11">
        <f>BD27</f>
        <v>0</v>
      </c>
      <c r="BE40" s="11">
        <f>BE27</f>
        <v>0</v>
      </c>
      <c r="BF40" s="11">
        <f>BF27</f>
        <v>0</v>
      </c>
      <c r="BG40" s="11">
        <f>BG27</f>
        <v>0</v>
      </c>
      <c r="BH40" s="11">
        <f>BH27</f>
        <v>0</v>
      </c>
      <c r="BI40" s="11">
        <f>BI27</f>
        <v>3389</v>
      </c>
      <c r="BJ40" s="11">
        <f>BJ27</f>
        <v>3599</v>
      </c>
      <c r="BK40" s="11">
        <f>BK27</f>
        <v>3527</v>
      </c>
      <c r="BL40" s="11">
        <f>BL27</f>
        <v>3725</v>
      </c>
      <c r="BM40" s="11">
        <f>BM27</f>
        <v>3857</v>
      </c>
      <c r="BN40" s="11">
        <f>BN27</f>
        <v>4120</v>
      </c>
      <c r="BO40" s="11">
        <f>BO27</f>
        <v>4209</v>
      </c>
      <c r="BP40" s="11">
        <f>BP27</f>
        <v>4561</v>
      </c>
      <c r="BV40" s="11">
        <f>SUM(E40:H40)</f>
        <v>8188</v>
      </c>
      <c r="BW40" s="11">
        <f>SUM(I40:L40)</f>
        <v>7806</v>
      </c>
      <c r="BX40" s="11">
        <f>SUM(M40:P40)</f>
        <v>7622</v>
      </c>
      <c r="BY40" s="11">
        <f>SUM(Q40:T40)</f>
        <v>7249</v>
      </c>
      <c r="BZ40" s="11">
        <f>SUM(U40:X40)</f>
        <v>7143</v>
      </c>
      <c r="CA40" s="11">
        <f>SUM(Y40:AB40)</f>
        <v>7380</v>
      </c>
      <c r="CB40" s="11">
        <f>SUM(AC40:AF40)</f>
        <v>7477</v>
      </c>
      <c r="CC40" s="11">
        <f>SUM(AG40:AJ40)</f>
        <v>8386</v>
      </c>
      <c r="CD40" s="11">
        <f>SUM(AK40:AN40)</f>
        <v>9048</v>
      </c>
      <c r="CE40" s="11">
        <f>SUM(AO40:AR40)</f>
        <v>9823</v>
      </c>
      <c r="CF40" s="11">
        <f>SUM(AS40:AV40)</f>
        <v>10735</v>
      </c>
      <c r="CG40" s="11">
        <f>SUM(AW40:AZ40)</f>
        <v>0</v>
      </c>
      <c r="CH40" s="11">
        <f>SUM(BA40:BD40)</f>
        <v>0</v>
      </c>
      <c r="CI40" s="11">
        <f>SUM(BE40:BH40)</f>
        <v>0</v>
      </c>
      <c r="CJ40" s="11">
        <f>SUM(BI40:BL40)</f>
        <v>14240</v>
      </c>
      <c r="CK40" s="11">
        <f>SUM(BM40:BP40)</f>
        <v>16747</v>
      </c>
    </row>
    <row r="41" spans="2:89" s="10" customFormat="1">
      <c r="B41" s="10" t="s">
        <v>64</v>
      </c>
      <c r="C41" s="10">
        <v>604</v>
      </c>
      <c r="D41" s="10">
        <v>655</v>
      </c>
      <c r="E41" s="10">
        <v>607</v>
      </c>
      <c r="F41" s="10">
        <v>630</v>
      </c>
      <c r="G41" s="10">
        <v>629</v>
      </c>
      <c r="H41" s="10">
        <v>710</v>
      </c>
      <c r="I41" s="10">
        <v>663</v>
      </c>
      <c r="J41" s="10">
        <v>654</v>
      </c>
      <c r="K41" s="10">
        <v>623</v>
      </c>
      <c r="L41" s="10">
        <v>659</v>
      </c>
      <c r="M41" s="10">
        <v>631</v>
      </c>
      <c r="N41" s="10">
        <v>688</v>
      </c>
      <c r="O41" s="10">
        <v>680</v>
      </c>
      <c r="P41" s="10">
        <v>660</v>
      </c>
      <c r="Q41" s="10">
        <v>631</v>
      </c>
      <c r="R41" s="10">
        <v>578</v>
      </c>
      <c r="S41" s="10">
        <v>558</v>
      </c>
      <c r="T41" s="10">
        <v>582</v>
      </c>
      <c r="U41" s="10">
        <v>578</v>
      </c>
      <c r="V41" s="10">
        <v>530</v>
      </c>
      <c r="W41" s="10">
        <v>510</v>
      </c>
      <c r="X41" s="10">
        <v>556</v>
      </c>
      <c r="Y41" s="10">
        <v>537</v>
      </c>
      <c r="Z41" s="10">
        <v>563</v>
      </c>
      <c r="AA41" s="10">
        <v>550</v>
      </c>
      <c r="AB41" s="10">
        <v>560</v>
      </c>
      <c r="AC41" s="10">
        <v>520</v>
      </c>
      <c r="AD41" s="10">
        <v>540</v>
      </c>
      <c r="AE41" s="10">
        <v>539</v>
      </c>
      <c r="AF41" s="10">
        <v>574</v>
      </c>
      <c r="AG41" s="10">
        <v>573</v>
      </c>
      <c r="AH41" s="10">
        <v>639</v>
      </c>
      <c r="AI41" s="10">
        <v>594</v>
      </c>
      <c r="AJ41" s="10">
        <v>618</v>
      </c>
      <c r="AK41" s="10">
        <v>650</v>
      </c>
      <c r="AL41" s="10">
        <v>632</v>
      </c>
      <c r="AM41" s="10">
        <v>637</v>
      </c>
      <c r="AN41" s="10">
        <v>674</v>
      </c>
      <c r="AO41" s="10">
        <v>672</v>
      </c>
      <c r="AP41" s="10">
        <v>739</v>
      </c>
      <c r="AQ41" s="10">
        <v>672</v>
      </c>
      <c r="AR41" s="10">
        <v>730</v>
      </c>
      <c r="AS41" s="10">
        <v>730</v>
      </c>
      <c r="AT41" s="10">
        <v>758</v>
      </c>
      <c r="AU41" s="10">
        <v>777</v>
      </c>
      <c r="AV41" s="10">
        <v>851</v>
      </c>
      <c r="AW41" s="10">
        <v>806</v>
      </c>
      <c r="AX41" s="10">
        <v>791</v>
      </c>
      <c r="AY41" s="10">
        <v>869</v>
      </c>
      <c r="AZ41" s="10">
        <v>999</v>
      </c>
      <c r="BA41" s="10">
        <v>894</v>
      </c>
      <c r="BB41" s="10">
        <v>945</v>
      </c>
      <c r="BC41" s="10">
        <v>900</v>
      </c>
      <c r="BD41" s="10">
        <v>972</v>
      </c>
      <c r="BE41" s="10">
        <v>955</v>
      </c>
      <c r="BF41" s="10">
        <v>1011</v>
      </c>
      <c r="BG41" s="10">
        <v>979</v>
      </c>
      <c r="BH41" s="10">
        <v>1011</v>
      </c>
      <c r="BI41" s="10">
        <v>1040</v>
      </c>
      <c r="BJ41" s="10">
        <v>1058</v>
      </c>
      <c r="BK41" s="10">
        <v>1101</v>
      </c>
      <c r="BL41" s="1">
        <f>4345-SUM(BI41:BK41)</f>
        <v>1146</v>
      </c>
      <c r="BM41" s="10">
        <v>1209</v>
      </c>
      <c r="BN41" s="10">
        <v>1270</v>
      </c>
      <c r="BO41" s="10">
        <v>1312</v>
      </c>
      <c r="BP41" s="1">
        <f>5257-SUM(BM41:BO41)</f>
        <v>1466</v>
      </c>
      <c r="BV41" s="10">
        <f t="shared" ref="BV41:BV56" si="20">SUM(E41:H41)</f>
        <v>2576</v>
      </c>
      <c r="BW41" s="10">
        <f t="shared" ref="BW41:BW57" si="21">SUM(I41:L41)</f>
        <v>2599</v>
      </c>
      <c r="BX41" s="10">
        <f t="shared" ref="BX41:BX57" si="22">SUM(M41:P41)</f>
        <v>2659</v>
      </c>
      <c r="BY41" s="10">
        <f t="shared" ref="BY41:BY57" si="23">SUM(Q41:T41)</f>
        <v>2349</v>
      </c>
      <c r="BZ41" s="10">
        <f t="shared" ref="BZ41:BZ57" si="24">SUM(U41:X41)</f>
        <v>2174</v>
      </c>
      <c r="CA41" s="10">
        <f t="shared" ref="CA41:CA57" si="25">SUM(Y41:AB41)</f>
        <v>2210</v>
      </c>
      <c r="CB41" s="10">
        <f t="shared" ref="CB41:CB57" si="26">SUM(AC41:AF41)</f>
        <v>2173</v>
      </c>
      <c r="CC41" s="10">
        <f t="shared" ref="CC41:CC57" si="27">SUM(AG41:AJ41)</f>
        <v>2424</v>
      </c>
      <c r="CD41" s="10">
        <f t="shared" ref="CD41:CD57" si="28">SUM(AK41:AN41)</f>
        <v>2593</v>
      </c>
      <c r="CE41" s="10">
        <f t="shared" ref="CE41:CE57" si="29">SUM(AO41:AR41)</f>
        <v>2813</v>
      </c>
      <c r="CF41" s="10">
        <f t="shared" ref="CF41:CF57" si="30">SUM(AS41:AV41)</f>
        <v>3116</v>
      </c>
      <c r="CG41" s="10">
        <f t="shared" ref="CG41:CG57" si="31">SUM(AW41:AZ41)</f>
        <v>3465</v>
      </c>
      <c r="CH41" s="10">
        <f t="shared" ref="CH41:CH57" si="32">SUM(BA41:BD41)</f>
        <v>3711</v>
      </c>
      <c r="CI41" s="10">
        <f t="shared" ref="CI41:CI57" si="33">SUM(BE41:BH41)</f>
        <v>3956</v>
      </c>
      <c r="CJ41" s="10">
        <f t="shared" ref="CJ41:CK57" si="34">SUM(BI41:BL41)</f>
        <v>4345</v>
      </c>
      <c r="CK41" s="10">
        <f t="shared" ref="CK41:CK62" si="35">SUM(BM41:BP41)</f>
        <v>5257</v>
      </c>
    </row>
    <row r="42" spans="2:89" s="10" customFormat="1">
      <c r="B42" s="10" t="s">
        <v>176</v>
      </c>
      <c r="C42" s="10">
        <v>1420</v>
      </c>
      <c r="D42" s="10">
        <v>1323</v>
      </c>
      <c r="E42" s="10">
        <v>1403</v>
      </c>
      <c r="F42" s="10">
        <v>1444</v>
      </c>
      <c r="G42" s="10">
        <v>1396</v>
      </c>
      <c r="H42" s="10">
        <v>1369</v>
      </c>
      <c r="I42" s="10">
        <v>1297</v>
      </c>
      <c r="J42" s="10">
        <v>1274</v>
      </c>
      <c r="K42" s="10">
        <v>1293</v>
      </c>
      <c r="L42" s="10">
        <v>1343</v>
      </c>
      <c r="M42" s="10">
        <v>1294</v>
      </c>
      <c r="N42" s="10">
        <v>1287</v>
      </c>
      <c r="O42" s="10">
        <v>1194</v>
      </c>
      <c r="P42" s="10">
        <v>1188</v>
      </c>
      <c r="Q42" s="10">
        <v>1235</v>
      </c>
      <c r="R42" s="10">
        <v>1250</v>
      </c>
      <c r="S42" s="10">
        <v>1177</v>
      </c>
      <c r="T42" s="10">
        <v>1238</v>
      </c>
      <c r="U42" s="10">
        <v>1183</v>
      </c>
      <c r="V42" s="10">
        <v>1279</v>
      </c>
      <c r="W42" s="10">
        <v>1225</v>
      </c>
      <c r="X42" s="10">
        <v>1282</v>
      </c>
      <c r="Y42" s="10">
        <v>1237</v>
      </c>
      <c r="Z42" s="10">
        <v>1310</v>
      </c>
      <c r="AA42" s="10">
        <v>1296</v>
      </c>
      <c r="AB42" s="10">
        <v>1327</v>
      </c>
      <c r="AC42" s="10">
        <v>1248</v>
      </c>
      <c r="AD42" s="10">
        <v>1303</v>
      </c>
      <c r="AE42" s="10">
        <v>1349</v>
      </c>
      <c r="AF42" s="10">
        <v>1404</v>
      </c>
      <c r="AG42" s="10">
        <v>1391</v>
      </c>
      <c r="AH42" s="10">
        <v>1487</v>
      </c>
      <c r="AI42" s="10">
        <v>1511</v>
      </c>
      <c r="AJ42" s="10">
        <v>1573</v>
      </c>
      <c r="AK42" s="10">
        <v>1510</v>
      </c>
      <c r="AL42" s="10">
        <v>1625</v>
      </c>
      <c r="AM42" s="10">
        <v>1585</v>
      </c>
      <c r="AN42" s="10">
        <v>1735</v>
      </c>
      <c r="AO42" s="10">
        <v>1707</v>
      </c>
      <c r="AP42" s="10">
        <v>1751</v>
      </c>
      <c r="AQ42" s="10">
        <v>1720</v>
      </c>
      <c r="AR42" s="10">
        <v>1833</v>
      </c>
      <c r="AS42" s="10">
        <v>1763</v>
      </c>
      <c r="AT42" s="10">
        <v>1873</v>
      </c>
      <c r="AU42" s="10">
        <v>1930</v>
      </c>
      <c r="AV42" s="10">
        <v>2054</v>
      </c>
      <c r="AW42" s="10">
        <v>1737</v>
      </c>
      <c r="AX42" s="10">
        <v>1212</v>
      </c>
      <c r="AY42" s="10">
        <v>1790</v>
      </c>
      <c r="AZ42" s="10">
        <v>1709</v>
      </c>
      <c r="BA42" s="10">
        <v>1858</v>
      </c>
      <c r="BB42" s="10">
        <v>2132</v>
      </c>
      <c r="BC42" s="10">
        <v>2032</v>
      </c>
      <c r="BD42" s="10">
        <v>2155</v>
      </c>
      <c r="BE42" s="10">
        <v>2071</v>
      </c>
      <c r="BF42" s="10">
        <v>2233</v>
      </c>
      <c r="BG42" s="10">
        <v>2191</v>
      </c>
      <c r="BH42" s="10">
        <v>2232</v>
      </c>
      <c r="BI42" s="10">
        <v>2349</v>
      </c>
      <c r="BJ42" s="10">
        <f>BJ40-BJ41</f>
        <v>2541</v>
      </c>
      <c r="BK42" s="10">
        <f>BK40-BK41</f>
        <v>2426</v>
      </c>
      <c r="BL42" s="10">
        <f>BL40-BL41</f>
        <v>2579</v>
      </c>
      <c r="BM42" s="10">
        <f>BM40-BM41</f>
        <v>2648</v>
      </c>
      <c r="BN42" s="10">
        <f>BN40-BN41</f>
        <v>2850</v>
      </c>
      <c r="BO42" s="10">
        <f>BO40-BO41</f>
        <v>2897</v>
      </c>
      <c r="BP42" s="10">
        <f>BP40-BP41</f>
        <v>3095</v>
      </c>
      <c r="BV42" s="10">
        <f t="shared" si="20"/>
        <v>5612</v>
      </c>
      <c r="BW42" s="10">
        <f t="shared" si="21"/>
        <v>5207</v>
      </c>
      <c r="BX42" s="10">
        <f t="shared" si="22"/>
        <v>4963</v>
      </c>
      <c r="BY42" s="10">
        <f t="shared" si="23"/>
        <v>4900</v>
      </c>
      <c r="BZ42" s="10">
        <f t="shared" si="24"/>
        <v>4969</v>
      </c>
      <c r="CA42" s="10">
        <f t="shared" si="25"/>
        <v>5170</v>
      </c>
      <c r="CB42" s="10">
        <f t="shared" si="26"/>
        <v>5304</v>
      </c>
      <c r="CC42" s="10">
        <f t="shared" si="27"/>
        <v>5962</v>
      </c>
      <c r="CD42" s="10">
        <f t="shared" si="28"/>
        <v>6455</v>
      </c>
      <c r="CE42" s="10">
        <f t="shared" si="29"/>
        <v>7011</v>
      </c>
      <c r="CF42" s="10">
        <f t="shared" si="30"/>
        <v>7620</v>
      </c>
      <c r="CG42" s="10">
        <f t="shared" si="31"/>
        <v>6448</v>
      </c>
      <c r="CH42" s="10">
        <f t="shared" si="32"/>
        <v>8177</v>
      </c>
      <c r="CI42" s="10">
        <f t="shared" si="33"/>
        <v>8727</v>
      </c>
      <c r="CJ42" s="10">
        <f t="shared" si="34"/>
        <v>9895</v>
      </c>
      <c r="CK42" s="10">
        <f t="shared" si="35"/>
        <v>11490</v>
      </c>
    </row>
    <row r="43" spans="2:89" s="10" customFormat="1">
      <c r="B43" s="10" t="s">
        <v>175</v>
      </c>
      <c r="C43" s="10">
        <v>655</v>
      </c>
      <c r="D43" s="10">
        <v>610</v>
      </c>
      <c r="E43" s="10">
        <v>651</v>
      </c>
      <c r="F43" s="10">
        <v>671</v>
      </c>
      <c r="G43" s="10">
        <v>665</v>
      </c>
      <c r="H43" s="10">
        <v>648</v>
      </c>
      <c r="I43" s="10">
        <v>628</v>
      </c>
      <c r="J43" s="10">
        <v>634</v>
      </c>
      <c r="K43" s="10">
        <v>634</v>
      </c>
      <c r="L43" s="10">
        <v>686</v>
      </c>
      <c r="M43" s="10">
        <v>602</v>
      </c>
      <c r="N43" s="10">
        <v>649</v>
      </c>
      <c r="O43" s="10">
        <v>635</v>
      </c>
      <c r="P43" s="10">
        <v>608</v>
      </c>
      <c r="Q43" s="10">
        <v>669</v>
      </c>
      <c r="R43" s="10">
        <v>649</v>
      </c>
      <c r="S43" s="10">
        <v>569</v>
      </c>
      <c r="T43" s="10">
        <v>642</v>
      </c>
      <c r="U43" s="10">
        <v>608</v>
      </c>
      <c r="V43" s="10">
        <v>661</v>
      </c>
      <c r="W43" s="10">
        <v>658</v>
      </c>
      <c r="X43" s="10">
        <v>751</v>
      </c>
      <c r="Y43" s="10">
        <v>666</v>
      </c>
      <c r="Z43" s="10">
        <v>743</v>
      </c>
      <c r="AA43" s="10">
        <v>741</v>
      </c>
      <c r="AB43" s="10">
        <v>752</v>
      </c>
      <c r="AC43" s="10">
        <v>668</v>
      </c>
      <c r="AD43" s="10">
        <v>700</v>
      </c>
      <c r="AE43" s="10">
        <v>729</v>
      </c>
      <c r="AF43" s="10">
        <v>776</v>
      </c>
      <c r="AG43" s="10">
        <v>716</v>
      </c>
      <c r="AH43" s="10">
        <v>779</v>
      </c>
      <c r="AI43" s="10">
        <v>772</v>
      </c>
      <c r="AJ43" s="10">
        <v>832</v>
      </c>
      <c r="AK43" s="10">
        <v>794</v>
      </c>
      <c r="AL43" s="10">
        <v>815</v>
      </c>
      <c r="AM43" s="10">
        <v>800</v>
      </c>
      <c r="AN43" s="10">
        <v>885</v>
      </c>
      <c r="AO43" s="10">
        <v>860</v>
      </c>
      <c r="AP43" s="10">
        <v>886</v>
      </c>
      <c r="AQ43" s="10">
        <v>870</v>
      </c>
      <c r="AR43" s="10">
        <v>953</v>
      </c>
      <c r="AS43" s="10">
        <v>869</v>
      </c>
      <c r="AT43" s="10">
        <v>968</v>
      </c>
      <c r="AU43" s="10">
        <v>1012</v>
      </c>
      <c r="AV43" s="10">
        <v>1092</v>
      </c>
      <c r="AW43" s="10">
        <v>978</v>
      </c>
      <c r="AX43" s="10">
        <v>798</v>
      </c>
      <c r="AY43" s="10">
        <v>984</v>
      </c>
      <c r="AZ43" s="10">
        <v>1027</v>
      </c>
      <c r="BA43" s="10">
        <v>1019</v>
      </c>
      <c r="BB43" s="10">
        <v>1121</v>
      </c>
      <c r="BC43" s="10">
        <v>1066</v>
      </c>
      <c r="BD43" s="10">
        <v>1153</v>
      </c>
      <c r="BE43" s="10">
        <v>1060</v>
      </c>
      <c r="BF43" s="10">
        <v>1165</v>
      </c>
      <c r="BG43" s="10">
        <v>1132</v>
      </c>
      <c r="BH43" s="10">
        <v>1163</v>
      </c>
      <c r="BI43" s="10">
        <v>1215</v>
      </c>
      <c r="BJ43" s="10">
        <v>1354</v>
      </c>
      <c r="BK43" s="10">
        <v>1242</v>
      </c>
      <c r="BL43" s="1">
        <f>5190-SUM(BI43:BK43)</f>
        <v>1379</v>
      </c>
      <c r="BM43" s="10">
        <v>1364</v>
      </c>
      <c r="BN43" s="10">
        <v>1446</v>
      </c>
      <c r="BO43" s="10">
        <v>1562</v>
      </c>
      <c r="BP43" s="1">
        <f>5984-SUM(BM43:BO43)</f>
        <v>1612</v>
      </c>
      <c r="BV43" s="10">
        <f t="shared" si="20"/>
        <v>2635</v>
      </c>
      <c r="BW43" s="10">
        <f t="shared" si="21"/>
        <v>2582</v>
      </c>
      <c r="BX43" s="10">
        <f t="shared" si="22"/>
        <v>2494</v>
      </c>
      <c r="BY43" s="10">
        <f t="shared" si="23"/>
        <v>2529</v>
      </c>
      <c r="BZ43" s="10">
        <f t="shared" si="24"/>
        <v>2678</v>
      </c>
      <c r="CA43" s="10">
        <f t="shared" si="25"/>
        <v>2902</v>
      </c>
      <c r="CB43" s="10">
        <f t="shared" si="26"/>
        <v>2873</v>
      </c>
      <c r="CC43" s="10">
        <f t="shared" si="27"/>
        <v>3099</v>
      </c>
      <c r="CD43" s="10">
        <f t="shared" si="28"/>
        <v>3294</v>
      </c>
      <c r="CE43" s="10">
        <f t="shared" si="29"/>
        <v>3569</v>
      </c>
      <c r="CF43" s="10">
        <f t="shared" si="30"/>
        <v>3941</v>
      </c>
      <c r="CG43" s="10">
        <f t="shared" si="31"/>
        <v>3787</v>
      </c>
      <c r="CH43" s="10">
        <f t="shared" si="32"/>
        <v>4359</v>
      </c>
      <c r="CI43" s="10">
        <f t="shared" si="33"/>
        <v>4520</v>
      </c>
      <c r="CJ43" s="10">
        <f t="shared" si="34"/>
        <v>5190</v>
      </c>
      <c r="CK43" s="10">
        <f t="shared" si="35"/>
        <v>5984</v>
      </c>
    </row>
    <row r="44" spans="2:89" s="10" customFormat="1">
      <c r="B44" s="10" t="s">
        <v>172</v>
      </c>
      <c r="C44" s="10">
        <v>269</v>
      </c>
      <c r="D44" s="10">
        <v>244</v>
      </c>
      <c r="E44" s="10">
        <v>257</v>
      </c>
      <c r="F44" s="10">
        <v>280</v>
      </c>
      <c r="G44" s="10">
        <v>258</v>
      </c>
      <c r="H44" s="10">
        <v>261</v>
      </c>
      <c r="I44" s="10">
        <v>253</v>
      </c>
      <c r="J44" s="10">
        <v>232</v>
      </c>
      <c r="K44" s="10">
        <v>230</v>
      </c>
      <c r="L44" s="10">
        <v>224</v>
      </c>
      <c r="M44" s="10">
        <v>212</v>
      </c>
      <c r="N44" s="10">
        <v>223</v>
      </c>
      <c r="O44" s="10">
        <v>229</v>
      </c>
      <c r="P44" s="10">
        <v>231</v>
      </c>
      <c r="Q44" s="10">
        <v>215</v>
      </c>
      <c r="R44" s="10">
        <v>213</v>
      </c>
      <c r="S44" s="10">
        <v>220</v>
      </c>
      <c r="T44" s="10">
        <v>238</v>
      </c>
      <c r="U44" s="10">
        <v>204</v>
      </c>
      <c r="V44" s="10">
        <v>223</v>
      </c>
      <c r="W44" s="10">
        <v>217</v>
      </c>
      <c r="X44" s="10">
        <v>217</v>
      </c>
      <c r="Y44" s="10">
        <v>191</v>
      </c>
      <c r="Z44" s="10">
        <v>206</v>
      </c>
      <c r="AA44" s="10">
        <v>212</v>
      </c>
      <c r="AB44" s="10">
        <v>208</v>
      </c>
      <c r="AC44" s="10">
        <v>192</v>
      </c>
      <c r="AD44" s="10">
        <v>220</v>
      </c>
      <c r="AE44" s="10">
        <v>221</v>
      </c>
      <c r="AF44" s="10">
        <v>243</v>
      </c>
      <c r="AG44" s="10">
        <v>210</v>
      </c>
      <c r="AH44" s="10">
        <v>222</v>
      </c>
      <c r="AI44" s="10">
        <v>232</v>
      </c>
      <c r="AJ44" s="10">
        <v>256</v>
      </c>
      <c r="AK44" s="10">
        <v>235</v>
      </c>
      <c r="AL44" s="10">
        <v>244</v>
      </c>
      <c r="AM44" s="10">
        <v>254</v>
      </c>
      <c r="AN44" s="10">
        <v>264</v>
      </c>
      <c r="AO44" s="10">
        <v>261</v>
      </c>
      <c r="AP44" s="10">
        <v>275</v>
      </c>
      <c r="AQ44" s="10">
        <v>289</v>
      </c>
      <c r="AR44" s="10">
        <v>288</v>
      </c>
      <c r="AS44" s="10">
        <v>280</v>
      </c>
      <c r="AT44" s="10">
        <v>280</v>
      </c>
      <c r="AU44" s="10">
        <v>306</v>
      </c>
      <c r="AV44" s="10">
        <v>308</v>
      </c>
      <c r="AW44" s="10">
        <v>300</v>
      </c>
      <c r="AX44" s="10">
        <v>242</v>
      </c>
      <c r="AY44" s="10">
        <v>315</v>
      </c>
      <c r="AZ44" s="10">
        <v>286</v>
      </c>
      <c r="BA44" s="10">
        <v>276</v>
      </c>
      <c r="BB44" s="10">
        <v>298</v>
      </c>
      <c r="BC44" s="10">
        <v>310</v>
      </c>
      <c r="BD44" s="10">
        <v>320</v>
      </c>
      <c r="BE44" s="10">
        <v>319</v>
      </c>
      <c r="BF44" s="10">
        <v>335</v>
      </c>
      <c r="BG44" s="10">
        <v>339</v>
      </c>
      <c r="BH44" s="10">
        <v>330</v>
      </c>
      <c r="BI44" s="10">
        <v>337</v>
      </c>
      <c r="BJ44" s="10">
        <v>359</v>
      </c>
      <c r="BK44" s="10">
        <v>356</v>
      </c>
      <c r="BL44" s="1">
        <f>1414-SUM(BI44:BK44)</f>
        <v>362</v>
      </c>
      <c r="BM44" s="10">
        <v>366</v>
      </c>
      <c r="BN44" s="10">
        <v>383</v>
      </c>
      <c r="BO44" s="10">
        <v>407</v>
      </c>
      <c r="BP44" s="1">
        <f>1615-SUM(BM44:BO44)</f>
        <v>459</v>
      </c>
      <c r="BV44" s="10">
        <f t="shared" si="20"/>
        <v>1056</v>
      </c>
      <c r="BW44" s="10">
        <f t="shared" si="21"/>
        <v>939</v>
      </c>
      <c r="BX44" s="10">
        <f t="shared" si="22"/>
        <v>895</v>
      </c>
      <c r="BY44" s="10">
        <f t="shared" si="23"/>
        <v>886</v>
      </c>
      <c r="BZ44" s="10">
        <f t="shared" si="24"/>
        <v>861</v>
      </c>
      <c r="CA44" s="10">
        <f t="shared" si="25"/>
        <v>817</v>
      </c>
      <c r="CB44" s="10">
        <f t="shared" si="26"/>
        <v>876</v>
      </c>
      <c r="CC44" s="10">
        <f t="shared" si="27"/>
        <v>920</v>
      </c>
      <c r="CD44" s="10">
        <f t="shared" si="28"/>
        <v>997</v>
      </c>
      <c r="CE44" s="10">
        <f t="shared" si="29"/>
        <v>1113</v>
      </c>
      <c r="CF44" s="10">
        <f t="shared" si="30"/>
        <v>1174</v>
      </c>
      <c r="CG44" s="10">
        <f t="shared" si="31"/>
        <v>1143</v>
      </c>
      <c r="CH44" s="10">
        <f t="shared" si="32"/>
        <v>1204</v>
      </c>
      <c r="CI44" s="10">
        <f t="shared" si="33"/>
        <v>1323</v>
      </c>
      <c r="CJ44" s="10">
        <f t="shared" si="34"/>
        <v>1414</v>
      </c>
      <c r="CK44" s="10">
        <f t="shared" si="35"/>
        <v>1615</v>
      </c>
    </row>
    <row r="45" spans="2:89" s="10" customFormat="1">
      <c r="B45" s="10" t="s">
        <v>173</v>
      </c>
      <c r="BI45" s="10">
        <v>11</v>
      </c>
      <c r="BJ45" s="10">
        <v>12</v>
      </c>
      <c r="BK45" s="10">
        <v>11</v>
      </c>
      <c r="BL45" s="1">
        <f>46-SUM(BI45:BK45)</f>
        <v>12</v>
      </c>
      <c r="BM45" s="10">
        <v>10</v>
      </c>
      <c r="BN45" s="10">
        <v>9</v>
      </c>
      <c r="BO45" s="10">
        <v>5</v>
      </c>
      <c r="BP45" s="1">
        <f>33-SUM(BM45:BO45)</f>
        <v>9</v>
      </c>
      <c r="BV45" s="10">
        <f t="shared" ref="BV45:BV51" si="36">SUM(E45:H45)</f>
        <v>0</v>
      </c>
      <c r="BW45" s="10">
        <f t="shared" ref="BW45:BW51" si="37">SUM(I45:L45)</f>
        <v>0</v>
      </c>
      <c r="BX45" s="10">
        <f t="shared" ref="BX45:BX51" si="38">SUM(M45:P45)</f>
        <v>0</v>
      </c>
      <c r="BY45" s="10">
        <f t="shared" ref="BY45:BY51" si="39">SUM(Q45:T45)</f>
        <v>0</v>
      </c>
      <c r="BZ45" s="10">
        <f t="shared" ref="BZ45:BZ51" si="40">SUM(U45:X45)</f>
        <v>0</v>
      </c>
      <c r="CA45" s="10">
        <f t="shared" ref="CA45:CA51" si="41">SUM(Y45:AB45)</f>
        <v>0</v>
      </c>
      <c r="CB45" s="10">
        <f t="shared" ref="CB45:CB51" si="42">SUM(AC45:AF45)</f>
        <v>0</v>
      </c>
      <c r="CC45" s="10">
        <f t="shared" ref="CC45:CC51" si="43">SUM(AG45:AJ45)</f>
        <v>0</v>
      </c>
      <c r="CD45" s="10">
        <f t="shared" ref="CD45:CD51" si="44">SUM(AK45:AN45)</f>
        <v>0</v>
      </c>
      <c r="CE45" s="10">
        <f t="shared" ref="CE45:CE51" si="45">SUM(AO45:AR45)</f>
        <v>0</v>
      </c>
      <c r="CF45" s="10">
        <f t="shared" ref="CF45:CF51" si="46">SUM(AS45:AV45)</f>
        <v>0</v>
      </c>
      <c r="CG45" s="10">
        <f t="shared" ref="CG45:CG51" si="47">SUM(AW45:AZ45)</f>
        <v>0</v>
      </c>
      <c r="CH45" s="10">
        <f t="shared" ref="CH45:CH51" si="48">SUM(BA45:BD45)</f>
        <v>0</v>
      </c>
      <c r="CI45" s="10">
        <f t="shared" ref="CI45:CI51" si="49">SUM(BE45:BH45)</f>
        <v>0</v>
      </c>
      <c r="CJ45" s="10">
        <f t="shared" ref="CJ45:CK51" si="50">SUM(BI45:BL45)</f>
        <v>46</v>
      </c>
      <c r="CK45" s="10">
        <f t="shared" si="35"/>
        <v>33</v>
      </c>
    </row>
    <row r="46" spans="2:89" s="10" customFormat="1">
      <c r="B46" s="10" t="s">
        <v>174</v>
      </c>
      <c r="BI46" s="10">
        <v>203</v>
      </c>
      <c r="BJ46" s="10">
        <v>210</v>
      </c>
      <c r="BK46" s="10">
        <v>208</v>
      </c>
      <c r="BL46" s="1">
        <f>828-SUM(BI46:BK46)</f>
        <v>207</v>
      </c>
      <c r="BM46" s="10">
        <v>214</v>
      </c>
      <c r="BN46" s="10">
        <v>213</v>
      </c>
      <c r="BO46" s="10">
        <v>205</v>
      </c>
      <c r="BP46" s="1">
        <f>856-SUM(BM46:BO46)</f>
        <v>224</v>
      </c>
      <c r="BV46" s="10">
        <f t="shared" si="36"/>
        <v>0</v>
      </c>
      <c r="BW46" s="10">
        <f t="shared" si="37"/>
        <v>0</v>
      </c>
      <c r="BX46" s="10">
        <f t="shared" si="38"/>
        <v>0</v>
      </c>
      <c r="BY46" s="10">
        <f t="shared" si="39"/>
        <v>0</v>
      </c>
      <c r="BZ46" s="10">
        <f t="shared" si="40"/>
        <v>0</v>
      </c>
      <c r="CA46" s="10">
        <f t="shared" si="41"/>
        <v>0</v>
      </c>
      <c r="CB46" s="10">
        <f t="shared" si="42"/>
        <v>0</v>
      </c>
      <c r="CC46" s="10">
        <f t="shared" si="43"/>
        <v>0</v>
      </c>
      <c r="CD46" s="10">
        <f t="shared" si="44"/>
        <v>0</v>
      </c>
      <c r="CE46" s="10">
        <f t="shared" si="45"/>
        <v>0</v>
      </c>
      <c r="CF46" s="10">
        <f t="shared" si="46"/>
        <v>0</v>
      </c>
      <c r="CG46" s="10">
        <f t="shared" si="47"/>
        <v>0</v>
      </c>
      <c r="CH46" s="10">
        <f t="shared" si="48"/>
        <v>0</v>
      </c>
      <c r="CI46" s="10">
        <f t="shared" si="49"/>
        <v>0</v>
      </c>
      <c r="CJ46" s="10">
        <f t="shared" si="50"/>
        <v>828</v>
      </c>
      <c r="CK46" s="10">
        <f t="shared" si="35"/>
        <v>856</v>
      </c>
    </row>
    <row r="47" spans="2:89" s="10" customFormat="1">
      <c r="B47" s="10" t="s">
        <v>162</v>
      </c>
      <c r="BI47" s="10">
        <v>0</v>
      </c>
      <c r="BJ47" s="10">
        <v>57</v>
      </c>
      <c r="BK47" s="10">
        <v>1</v>
      </c>
      <c r="BL47" s="1">
        <f>58-SUM(BI47:BK47)</f>
        <v>0</v>
      </c>
      <c r="BM47" s="10">
        <v>17</v>
      </c>
      <c r="BN47" s="10">
        <v>276</v>
      </c>
      <c r="BO47" s="10">
        <v>0</v>
      </c>
      <c r="BP47" s="1">
        <f>386-SUM(BM47:BO47)</f>
        <v>93</v>
      </c>
      <c r="BV47" s="10">
        <f t="shared" si="36"/>
        <v>0</v>
      </c>
      <c r="BW47" s="10">
        <f t="shared" si="37"/>
        <v>0</v>
      </c>
      <c r="BX47" s="10">
        <f t="shared" si="38"/>
        <v>0</v>
      </c>
      <c r="BY47" s="10">
        <f t="shared" si="39"/>
        <v>0</v>
      </c>
      <c r="BZ47" s="10">
        <f t="shared" si="40"/>
        <v>0</v>
      </c>
      <c r="CA47" s="10">
        <f t="shared" si="41"/>
        <v>0</v>
      </c>
      <c r="CB47" s="10">
        <f t="shared" si="42"/>
        <v>0</v>
      </c>
      <c r="CC47" s="10">
        <f t="shared" si="43"/>
        <v>0</v>
      </c>
      <c r="CD47" s="10">
        <f t="shared" si="44"/>
        <v>0</v>
      </c>
      <c r="CE47" s="10">
        <f t="shared" si="45"/>
        <v>0</v>
      </c>
      <c r="CF47" s="10">
        <f t="shared" si="46"/>
        <v>0</v>
      </c>
      <c r="CG47" s="10">
        <f t="shared" si="47"/>
        <v>0</v>
      </c>
      <c r="CH47" s="10">
        <f t="shared" si="48"/>
        <v>0</v>
      </c>
      <c r="CI47" s="10">
        <f t="shared" si="49"/>
        <v>0</v>
      </c>
      <c r="CJ47" s="10">
        <f t="shared" si="50"/>
        <v>58</v>
      </c>
      <c r="CK47" s="10">
        <f t="shared" si="35"/>
        <v>386</v>
      </c>
    </row>
    <row r="48" spans="2:89" s="10" customFormat="1">
      <c r="B48" s="10" t="s">
        <v>163</v>
      </c>
      <c r="BI48" s="10">
        <v>0</v>
      </c>
      <c r="BJ48" s="10">
        <v>19</v>
      </c>
      <c r="BK48" s="10">
        <v>11</v>
      </c>
      <c r="BL48" s="1">
        <f>58-SUM(BI48:BK48)</f>
        <v>28</v>
      </c>
      <c r="BM48" s="10">
        <v>0</v>
      </c>
      <c r="BN48" s="10">
        <v>2</v>
      </c>
      <c r="BO48" s="10">
        <v>-23</v>
      </c>
      <c r="BP48" s="1">
        <f>-5-SUM(BM48:BO48)</f>
        <v>16</v>
      </c>
      <c r="BV48" s="10">
        <f t="shared" si="36"/>
        <v>0</v>
      </c>
      <c r="BW48" s="10">
        <f t="shared" si="37"/>
        <v>0</v>
      </c>
      <c r="BX48" s="10">
        <f t="shared" si="38"/>
        <v>0</v>
      </c>
      <c r="BY48" s="10">
        <f t="shared" si="39"/>
        <v>0</v>
      </c>
      <c r="BZ48" s="10">
        <f t="shared" si="40"/>
        <v>0</v>
      </c>
      <c r="CA48" s="10">
        <f t="shared" si="41"/>
        <v>0</v>
      </c>
      <c r="CB48" s="10">
        <f t="shared" si="42"/>
        <v>0</v>
      </c>
      <c r="CC48" s="10">
        <f t="shared" si="43"/>
        <v>0</v>
      </c>
      <c r="CD48" s="10">
        <f t="shared" si="44"/>
        <v>0</v>
      </c>
      <c r="CE48" s="10">
        <f t="shared" si="45"/>
        <v>0</v>
      </c>
      <c r="CF48" s="10">
        <f t="shared" si="46"/>
        <v>0</v>
      </c>
      <c r="CG48" s="10">
        <f t="shared" si="47"/>
        <v>0</v>
      </c>
      <c r="CH48" s="10">
        <f t="shared" si="48"/>
        <v>0</v>
      </c>
      <c r="CI48" s="10">
        <f t="shared" si="49"/>
        <v>0</v>
      </c>
      <c r="CJ48" s="10">
        <f t="shared" si="50"/>
        <v>58</v>
      </c>
      <c r="CK48" s="10">
        <f t="shared" si="35"/>
        <v>-5</v>
      </c>
    </row>
    <row r="49" spans="2:89" s="10" customFormat="1">
      <c r="B49" s="10" t="s">
        <v>164</v>
      </c>
      <c r="BI49" s="10">
        <v>12</v>
      </c>
      <c r="BJ49" s="10">
        <v>16</v>
      </c>
      <c r="BK49" s="10">
        <v>15</v>
      </c>
      <c r="BL49" s="1">
        <f>69-SUM(BI49:BK49)</f>
        <v>26</v>
      </c>
      <c r="BM49" s="10">
        <v>3</v>
      </c>
      <c r="BN49" s="10">
        <v>1</v>
      </c>
      <c r="BO49" s="10">
        <v>8</v>
      </c>
      <c r="BP49" s="1">
        <f>16-SUM(BM49:BO49)</f>
        <v>4</v>
      </c>
      <c r="BV49" s="10">
        <f t="shared" si="36"/>
        <v>0</v>
      </c>
      <c r="BW49" s="10">
        <f t="shared" si="37"/>
        <v>0</v>
      </c>
      <c r="BX49" s="10">
        <f t="shared" si="38"/>
        <v>0</v>
      </c>
      <c r="BY49" s="10">
        <f t="shared" si="39"/>
        <v>0</v>
      </c>
      <c r="BZ49" s="10">
        <f t="shared" si="40"/>
        <v>0</v>
      </c>
      <c r="CA49" s="10">
        <f t="shared" si="41"/>
        <v>0</v>
      </c>
      <c r="CB49" s="10">
        <f t="shared" si="42"/>
        <v>0</v>
      </c>
      <c r="CC49" s="10">
        <f t="shared" si="43"/>
        <v>0</v>
      </c>
      <c r="CD49" s="10">
        <f t="shared" si="44"/>
        <v>0</v>
      </c>
      <c r="CE49" s="10">
        <f t="shared" si="45"/>
        <v>0</v>
      </c>
      <c r="CF49" s="10">
        <f t="shared" si="46"/>
        <v>0</v>
      </c>
      <c r="CG49" s="10">
        <f t="shared" si="47"/>
        <v>0</v>
      </c>
      <c r="CH49" s="10">
        <f t="shared" si="48"/>
        <v>0</v>
      </c>
      <c r="CI49" s="10">
        <f t="shared" si="49"/>
        <v>0</v>
      </c>
      <c r="CJ49" s="10">
        <f t="shared" si="50"/>
        <v>69</v>
      </c>
      <c r="CK49" s="10">
        <f>SUM(BM49:BP49)</f>
        <v>16</v>
      </c>
    </row>
    <row r="50" spans="2:89" s="10" customFormat="1">
      <c r="B50" s="10" t="s">
        <v>190</v>
      </c>
      <c r="BI50" s="10">
        <v>20</v>
      </c>
      <c r="BJ50" s="10">
        <v>0</v>
      </c>
      <c r="BK50" s="10">
        <v>-111</v>
      </c>
      <c r="BL50" s="1">
        <f>-111-SUM(BI50:BK50)</f>
        <v>-20</v>
      </c>
      <c r="BM50" s="10">
        <v>0</v>
      </c>
      <c r="BN50" s="10">
        <v>0</v>
      </c>
      <c r="BO50" s="10">
        <v>0</v>
      </c>
      <c r="BP50" s="1">
        <f>0-SUM(BM50:BO50)</f>
        <v>0</v>
      </c>
      <c r="BV50" s="10">
        <f t="shared" si="36"/>
        <v>0</v>
      </c>
      <c r="BW50" s="10">
        <f t="shared" si="37"/>
        <v>0</v>
      </c>
      <c r="BX50" s="10">
        <f t="shared" si="38"/>
        <v>0</v>
      </c>
      <c r="BY50" s="10">
        <f t="shared" si="39"/>
        <v>0</v>
      </c>
      <c r="BZ50" s="10">
        <f t="shared" si="40"/>
        <v>0</v>
      </c>
      <c r="CA50" s="10">
        <f t="shared" si="41"/>
        <v>0</v>
      </c>
      <c r="CB50" s="10">
        <f t="shared" si="42"/>
        <v>0</v>
      </c>
      <c r="CC50" s="10">
        <f t="shared" si="43"/>
        <v>0</v>
      </c>
      <c r="CD50" s="10">
        <f t="shared" si="44"/>
        <v>0</v>
      </c>
      <c r="CE50" s="10">
        <f t="shared" si="45"/>
        <v>0</v>
      </c>
      <c r="CF50" s="10">
        <f t="shared" si="46"/>
        <v>0</v>
      </c>
      <c r="CG50" s="10">
        <f t="shared" si="47"/>
        <v>0</v>
      </c>
      <c r="CH50" s="10">
        <f t="shared" si="48"/>
        <v>0</v>
      </c>
      <c r="CI50" s="10">
        <f t="shared" si="49"/>
        <v>0</v>
      </c>
      <c r="CJ50" s="10">
        <f t="shared" si="50"/>
        <v>-111</v>
      </c>
      <c r="CK50" s="10">
        <f t="shared" si="35"/>
        <v>0</v>
      </c>
    </row>
    <row r="51" spans="2:89" s="10" customFormat="1">
      <c r="B51" s="10" t="s">
        <v>165</v>
      </c>
      <c r="BI51" s="10">
        <v>0</v>
      </c>
      <c r="BJ51" s="10">
        <v>0</v>
      </c>
      <c r="BK51" s="10">
        <v>0</v>
      </c>
      <c r="BL51" s="1">
        <f>0-SUM(BI51:BK51)</f>
        <v>0</v>
      </c>
      <c r="BM51" s="10">
        <v>0</v>
      </c>
      <c r="BN51" s="10">
        <v>0</v>
      </c>
      <c r="BO51" s="10">
        <v>0</v>
      </c>
      <c r="BP51" s="1">
        <f>0-SUM(BM51:BO51)</f>
        <v>0</v>
      </c>
      <c r="BV51" s="10">
        <f t="shared" si="36"/>
        <v>0</v>
      </c>
      <c r="BW51" s="10">
        <f t="shared" si="37"/>
        <v>0</v>
      </c>
      <c r="BX51" s="10">
        <f t="shared" si="38"/>
        <v>0</v>
      </c>
      <c r="BY51" s="10">
        <f t="shared" si="39"/>
        <v>0</v>
      </c>
      <c r="BZ51" s="10">
        <f t="shared" si="40"/>
        <v>0</v>
      </c>
      <c r="CA51" s="10">
        <f t="shared" si="41"/>
        <v>0</v>
      </c>
      <c r="CB51" s="10">
        <f t="shared" si="42"/>
        <v>0</v>
      </c>
      <c r="CC51" s="10">
        <f t="shared" si="43"/>
        <v>0</v>
      </c>
      <c r="CD51" s="10">
        <f t="shared" si="44"/>
        <v>0</v>
      </c>
      <c r="CE51" s="10">
        <f t="shared" si="45"/>
        <v>0</v>
      </c>
      <c r="CF51" s="10">
        <f t="shared" si="46"/>
        <v>0</v>
      </c>
      <c r="CG51" s="10">
        <f t="shared" si="47"/>
        <v>0</v>
      </c>
      <c r="CH51" s="10">
        <f t="shared" si="48"/>
        <v>0</v>
      </c>
      <c r="CI51" s="10">
        <f t="shared" si="49"/>
        <v>0</v>
      </c>
      <c r="CJ51" s="10">
        <f t="shared" si="50"/>
        <v>0</v>
      </c>
      <c r="CK51" s="10">
        <f t="shared" si="35"/>
        <v>0</v>
      </c>
    </row>
    <row r="52" spans="2:89" s="10" customFormat="1">
      <c r="B52" s="10" t="s">
        <v>63</v>
      </c>
      <c r="C52" s="10">
        <v>303</v>
      </c>
      <c r="D52" s="10">
        <v>28</v>
      </c>
      <c r="E52" s="10">
        <v>11</v>
      </c>
      <c r="F52" s="10">
        <v>275</v>
      </c>
      <c r="G52" s="10">
        <v>51</v>
      </c>
      <c r="H52" s="10">
        <v>-1231</v>
      </c>
      <c r="I52" s="10">
        <v>-1486</v>
      </c>
      <c r="J52" s="10">
        <v>231</v>
      </c>
      <c r="K52" s="10">
        <v>251</v>
      </c>
      <c r="L52" s="10">
        <v>348</v>
      </c>
      <c r="M52" s="10">
        <v>322</v>
      </c>
      <c r="N52" s="10">
        <v>237</v>
      </c>
      <c r="O52" s="10">
        <v>174</v>
      </c>
      <c r="P52" s="10">
        <v>171</v>
      </c>
      <c r="Q52" s="10">
        <v>196</v>
      </c>
      <c r="R52" s="10">
        <v>-3587</v>
      </c>
      <c r="S52" s="10">
        <v>-594</v>
      </c>
      <c r="T52" s="10">
        <v>117</v>
      </c>
      <c r="U52" s="10">
        <v>-330</v>
      </c>
      <c r="V52" s="10">
        <v>220</v>
      </c>
      <c r="W52" s="10">
        <v>103</v>
      </c>
      <c r="X52" s="10">
        <v>127</v>
      </c>
      <c r="Y52" s="10">
        <v>197</v>
      </c>
      <c r="Z52" s="10">
        <v>-69</v>
      </c>
      <c r="AA52" s="10">
        <v>64</v>
      </c>
      <c r="AB52" s="10">
        <v>-493</v>
      </c>
      <c r="AC52" s="10">
        <v>24</v>
      </c>
      <c r="AD52" s="10">
        <v>219</v>
      </c>
      <c r="AE52" s="10">
        <v>-299</v>
      </c>
      <c r="AF52" s="10">
        <v>-227</v>
      </c>
      <c r="AG52" s="10">
        <v>293</v>
      </c>
      <c r="AH52" s="10">
        <v>-334</v>
      </c>
      <c r="AI52" s="10">
        <v>348</v>
      </c>
      <c r="AJ52" s="10">
        <v>140</v>
      </c>
      <c r="AK52" s="10">
        <v>364</v>
      </c>
      <c r="AL52" s="10">
        <v>225</v>
      </c>
      <c r="AM52" s="10">
        <v>377</v>
      </c>
      <c r="AN52" s="10">
        <v>319</v>
      </c>
      <c r="AO52" s="10">
        <v>407</v>
      </c>
      <c r="AP52" s="10">
        <v>392</v>
      </c>
      <c r="AQ52" s="10">
        <v>388</v>
      </c>
      <c r="AR52" s="10">
        <v>319</v>
      </c>
      <c r="AS52" s="10">
        <v>541</v>
      </c>
      <c r="AT52" s="10">
        <v>384</v>
      </c>
      <c r="AU52" s="10">
        <v>383</v>
      </c>
      <c r="AV52" s="10">
        <v>210</v>
      </c>
      <c r="AW52" s="10">
        <v>146</v>
      </c>
      <c r="AX52" s="10">
        <v>-71</v>
      </c>
      <c r="AY52" s="10">
        <v>-205</v>
      </c>
      <c r="AZ52" s="10">
        <v>50</v>
      </c>
      <c r="BA52" s="10">
        <v>370</v>
      </c>
      <c r="BB52" s="10">
        <v>262</v>
      </c>
      <c r="BC52" s="10">
        <v>387</v>
      </c>
      <c r="BD52" s="10">
        <v>180</v>
      </c>
      <c r="BE52" s="10">
        <v>466</v>
      </c>
      <c r="BF52" s="10">
        <v>423</v>
      </c>
      <c r="BG52" s="10">
        <v>358</v>
      </c>
      <c r="BH52" s="10">
        <v>402</v>
      </c>
      <c r="BI52" s="10">
        <v>552</v>
      </c>
      <c r="BJ52" s="10">
        <f>BJ42-SUM(BJ43:BJ51)</f>
        <v>514</v>
      </c>
      <c r="BK52" s="10">
        <f>BK42-SUM(BK43:BK51)</f>
        <v>693</v>
      </c>
      <c r="BL52" s="10">
        <f>BL42-SUM(BL43:BL51)</f>
        <v>585</v>
      </c>
      <c r="BM52" s="10">
        <v>675</v>
      </c>
      <c r="BN52" s="10">
        <f>BN42-SUM(BN43:BN51)</f>
        <v>520</v>
      </c>
      <c r="BO52" s="10">
        <f>BO42-SUM(BO43:BO51)</f>
        <v>733</v>
      </c>
      <c r="BP52" s="10">
        <f>BP42-SUM(BP43:BP51)</f>
        <v>678</v>
      </c>
      <c r="BV52" s="10">
        <f t="shared" si="20"/>
        <v>-894</v>
      </c>
      <c r="BW52" s="10">
        <f t="shared" si="21"/>
        <v>-656</v>
      </c>
      <c r="BX52" s="10">
        <f t="shared" si="22"/>
        <v>904</v>
      </c>
      <c r="BY52" s="10">
        <f t="shared" si="23"/>
        <v>-3868</v>
      </c>
      <c r="BZ52" s="10">
        <f t="shared" si="24"/>
        <v>120</v>
      </c>
      <c r="CA52" s="10">
        <f t="shared" si="25"/>
        <v>-301</v>
      </c>
      <c r="CB52" s="10">
        <f t="shared" si="26"/>
        <v>-283</v>
      </c>
      <c r="CC52" s="10">
        <f t="shared" si="27"/>
        <v>447</v>
      </c>
      <c r="CD52" s="10">
        <f t="shared" si="28"/>
        <v>1285</v>
      </c>
      <c r="CE52" s="10">
        <f t="shared" si="29"/>
        <v>1506</v>
      </c>
      <c r="CF52" s="10">
        <f t="shared" si="30"/>
        <v>1518</v>
      </c>
      <c r="CG52" s="10">
        <f t="shared" si="31"/>
        <v>-80</v>
      </c>
      <c r="CH52" s="10">
        <f t="shared" si="32"/>
        <v>1199</v>
      </c>
      <c r="CI52" s="10">
        <f t="shared" si="33"/>
        <v>1649</v>
      </c>
      <c r="CJ52" s="10">
        <f>SUM(BI52:BL52)</f>
        <v>2344</v>
      </c>
      <c r="CK52" s="10">
        <f t="shared" si="35"/>
        <v>2606</v>
      </c>
    </row>
    <row r="53" spans="2:89" s="10" customFormat="1">
      <c r="B53" s="10" t="s">
        <v>166</v>
      </c>
      <c r="BI53" s="10">
        <v>-65</v>
      </c>
      <c r="BJ53" s="10">
        <v>-70</v>
      </c>
      <c r="BK53" s="10">
        <v>-66</v>
      </c>
      <c r="BL53" s="1">
        <f>-265-SUM(BI53:BK53)</f>
        <v>-64</v>
      </c>
      <c r="BM53" s="10">
        <v>-69</v>
      </c>
      <c r="BN53" s="10">
        <v>-77</v>
      </c>
      <c r="BO53" s="10">
        <v>-79</v>
      </c>
      <c r="BP53" s="1">
        <f>-305-SUM(BM53:BO53)</f>
        <v>-80</v>
      </c>
      <c r="CK53" s="10">
        <f t="shared" si="35"/>
        <v>-305</v>
      </c>
    </row>
    <row r="54" spans="2:89" s="10" customFormat="1">
      <c r="B54" s="10" t="s">
        <v>62</v>
      </c>
      <c r="C54" s="10">
        <v>-203</v>
      </c>
      <c r="D54" s="10">
        <v>-96</v>
      </c>
      <c r="E54" s="10">
        <v>-108</v>
      </c>
      <c r="F54" s="10">
        <v>-95</v>
      </c>
      <c r="G54" s="10">
        <v>-95</v>
      </c>
      <c r="H54" s="10">
        <v>-116</v>
      </c>
      <c r="I54" s="10">
        <v>-89</v>
      </c>
      <c r="J54" s="10">
        <v>-112</v>
      </c>
      <c r="K54" s="10">
        <v>-88</v>
      </c>
      <c r="L54" s="10">
        <v>-118</v>
      </c>
      <c r="M54" s="10">
        <v>-49</v>
      </c>
      <c r="N54" s="10">
        <v>-79</v>
      </c>
      <c r="O54" s="10">
        <v>-63</v>
      </c>
      <c r="P54" s="10">
        <v>-71</v>
      </c>
      <c r="Q54" s="10">
        <v>-73</v>
      </c>
      <c r="R54" s="10">
        <v>-31</v>
      </c>
      <c r="S54" s="10">
        <v>-69</v>
      </c>
      <c r="T54" s="10">
        <v>-66</v>
      </c>
      <c r="U54" s="10">
        <v>-64</v>
      </c>
      <c r="V54" s="10">
        <v>-68</v>
      </c>
      <c r="W54" s="10">
        <v>-143</v>
      </c>
      <c r="X54" s="10">
        <v>-68</v>
      </c>
      <c r="Y54" s="10">
        <v>-51</v>
      </c>
      <c r="Z54" s="10">
        <v>-35</v>
      </c>
      <c r="AA54" s="10">
        <v>-61</v>
      </c>
      <c r="AB54" s="10">
        <v>-61</v>
      </c>
      <c r="AC54" s="10">
        <v>-75</v>
      </c>
      <c r="AD54" s="10">
        <v>-114</v>
      </c>
      <c r="AE54" s="10">
        <v>-68</v>
      </c>
      <c r="AF54" s="10">
        <v>-110</v>
      </c>
      <c r="AG54" s="10">
        <v>-65</v>
      </c>
      <c r="AH54" s="10">
        <v>-63</v>
      </c>
      <c r="AI54" s="10">
        <v>-91</v>
      </c>
      <c r="AJ54" s="10">
        <v>-51</v>
      </c>
      <c r="AK54" s="10">
        <v>-59</v>
      </c>
      <c r="AL54" s="10">
        <v>-134</v>
      </c>
      <c r="AM54" s="10">
        <v>-68</v>
      </c>
      <c r="AN54" s="10">
        <v>-92</v>
      </c>
      <c r="AO54" s="10">
        <v>-84</v>
      </c>
      <c r="AP54" s="10">
        <v>-45</v>
      </c>
      <c r="AQ54" s="10">
        <v>68</v>
      </c>
      <c r="AR54" s="10">
        <v>-24</v>
      </c>
      <c r="AS54" s="10">
        <v>-84</v>
      </c>
      <c r="AT54" s="10">
        <v>-239</v>
      </c>
      <c r="AU54" s="10">
        <v>-292</v>
      </c>
      <c r="AV54" s="10">
        <v>-216</v>
      </c>
      <c r="AW54" s="10">
        <v>-124</v>
      </c>
      <c r="AX54" s="10">
        <v>-109</v>
      </c>
      <c r="AY54" s="10">
        <v>-22</v>
      </c>
      <c r="AZ54" s="10">
        <v>256</v>
      </c>
      <c r="BA54" s="10">
        <v>-45</v>
      </c>
      <c r="BB54" s="10">
        <v>-112</v>
      </c>
      <c r="BC54" s="10">
        <v>95</v>
      </c>
      <c r="BD54" s="10">
        <v>-61</v>
      </c>
      <c r="BE54" s="10">
        <v>-310</v>
      </c>
      <c r="BF54" s="10">
        <v>-78</v>
      </c>
      <c r="BG54" s="10">
        <v>-114</v>
      </c>
      <c r="BH54" s="10">
        <v>-6</v>
      </c>
      <c r="BI54" s="10">
        <v>-43</v>
      </c>
      <c r="BJ54" s="10">
        <v>-18</v>
      </c>
      <c r="BK54" s="10">
        <v>-17</v>
      </c>
      <c r="BL54" s="1">
        <f>-93-SUM(BI54:BK54)</f>
        <v>-15</v>
      </c>
      <c r="BM54" s="10">
        <v>2</v>
      </c>
      <c r="BN54" s="10">
        <v>-23</v>
      </c>
      <c r="BO54" s="10">
        <v>14</v>
      </c>
      <c r="BP54" s="1">
        <f>-16-SUM(BM54:BO54)</f>
        <v>-9</v>
      </c>
      <c r="BV54" s="10">
        <f t="shared" si="20"/>
        <v>-414</v>
      </c>
      <c r="BW54" s="10">
        <f t="shared" si="21"/>
        <v>-407</v>
      </c>
      <c r="BX54" s="10">
        <f t="shared" si="22"/>
        <v>-262</v>
      </c>
      <c r="BY54" s="10">
        <f t="shared" si="23"/>
        <v>-239</v>
      </c>
      <c r="BZ54" s="10">
        <f t="shared" si="24"/>
        <v>-343</v>
      </c>
      <c r="CA54" s="10">
        <f t="shared" si="25"/>
        <v>-208</v>
      </c>
      <c r="CB54" s="10">
        <f t="shared" si="26"/>
        <v>-367</v>
      </c>
      <c r="CC54" s="10">
        <f t="shared" si="27"/>
        <v>-270</v>
      </c>
      <c r="CD54" s="10">
        <f t="shared" si="28"/>
        <v>-353</v>
      </c>
      <c r="CE54" s="10">
        <f t="shared" si="29"/>
        <v>-85</v>
      </c>
      <c r="CF54" s="10">
        <f t="shared" si="30"/>
        <v>-831</v>
      </c>
      <c r="CG54" s="10">
        <f t="shared" si="31"/>
        <v>1</v>
      </c>
      <c r="CH54" s="10">
        <f t="shared" si="32"/>
        <v>-123</v>
      </c>
      <c r="CI54" s="10">
        <f t="shared" si="33"/>
        <v>-508</v>
      </c>
      <c r="CJ54" s="10">
        <f t="shared" si="34"/>
        <v>-93</v>
      </c>
      <c r="CK54" s="10">
        <f t="shared" si="35"/>
        <v>-16</v>
      </c>
    </row>
    <row r="55" spans="2:89" s="10" customFormat="1">
      <c r="B55" s="10" t="s">
        <v>61</v>
      </c>
      <c r="C55" s="10">
        <v>100</v>
      </c>
      <c r="D55" s="10">
        <v>-68</v>
      </c>
      <c r="E55" s="10">
        <v>-97</v>
      </c>
      <c r="F55" s="10">
        <v>180</v>
      </c>
      <c r="G55" s="10">
        <v>-44</v>
      </c>
      <c r="H55" s="10">
        <v>-1347</v>
      </c>
      <c r="I55" s="10">
        <v>-1575</v>
      </c>
      <c r="J55" s="10">
        <v>119</v>
      </c>
      <c r="K55" s="10">
        <v>163</v>
      </c>
      <c r="L55" s="10">
        <v>230</v>
      </c>
      <c r="M55" s="10">
        <v>273</v>
      </c>
      <c r="N55" s="10">
        <v>158</v>
      </c>
      <c r="O55" s="10">
        <v>111</v>
      </c>
      <c r="P55" s="10">
        <v>100</v>
      </c>
      <c r="Q55" s="10">
        <v>123</v>
      </c>
      <c r="R55" s="10">
        <v>-3618</v>
      </c>
      <c r="S55" s="10">
        <v>-663</v>
      </c>
      <c r="T55" s="10">
        <v>51</v>
      </c>
      <c r="U55" s="10">
        <v>-394</v>
      </c>
      <c r="V55" s="10">
        <v>152</v>
      </c>
      <c r="W55" s="10">
        <v>-40</v>
      </c>
      <c r="X55" s="10">
        <v>59</v>
      </c>
      <c r="Y55" s="10">
        <v>146</v>
      </c>
      <c r="Z55" s="10">
        <v>-104</v>
      </c>
      <c r="AA55" s="10">
        <v>3</v>
      </c>
      <c r="AB55" s="10">
        <v>-554</v>
      </c>
      <c r="AC55" s="10">
        <v>-51</v>
      </c>
      <c r="AD55" s="10">
        <v>105</v>
      </c>
      <c r="AE55" s="10">
        <v>-367</v>
      </c>
      <c r="AF55" s="10">
        <v>-337</v>
      </c>
      <c r="AG55" s="10">
        <v>228</v>
      </c>
      <c r="AH55" s="10">
        <v>-397</v>
      </c>
      <c r="AI55" s="10">
        <v>257</v>
      </c>
      <c r="AJ55" s="10">
        <v>89</v>
      </c>
      <c r="AK55" s="10">
        <v>305</v>
      </c>
      <c r="AL55" s="10">
        <v>91</v>
      </c>
      <c r="AM55" s="10">
        <v>309</v>
      </c>
      <c r="AN55" s="10">
        <v>228</v>
      </c>
      <c r="AO55" s="10">
        <v>323</v>
      </c>
      <c r="AP55" s="10">
        <v>347</v>
      </c>
      <c r="AQ55" s="10">
        <v>456</v>
      </c>
      <c r="AR55" s="10">
        <v>296</v>
      </c>
      <c r="AS55" s="10">
        <v>457</v>
      </c>
      <c r="AT55" s="10">
        <v>145</v>
      </c>
      <c r="AU55" s="10">
        <v>91</v>
      </c>
      <c r="AV55" s="10">
        <v>-6</v>
      </c>
      <c r="AW55" s="10">
        <v>22</v>
      </c>
      <c r="AX55" s="10">
        <v>-181</v>
      </c>
      <c r="AY55" s="10">
        <v>-227</v>
      </c>
      <c r="AZ55" s="10">
        <v>307</v>
      </c>
      <c r="BA55" s="10">
        <v>325</v>
      </c>
      <c r="BB55" s="10">
        <v>149</v>
      </c>
      <c r="BC55" s="10">
        <v>483</v>
      </c>
      <c r="BD55" s="10">
        <v>119</v>
      </c>
      <c r="BE55" s="10">
        <v>156</v>
      </c>
      <c r="BF55" s="10">
        <v>345</v>
      </c>
      <c r="BG55" s="10">
        <v>245</v>
      </c>
      <c r="BH55" s="10">
        <v>395</v>
      </c>
      <c r="BI55" s="10">
        <f>BI52+BI53+BI54</f>
        <v>444</v>
      </c>
      <c r="BJ55" s="10">
        <f>BJ52+BJ53+BJ54</f>
        <v>426</v>
      </c>
      <c r="BK55" s="10">
        <f>BK52+BK53+BK54</f>
        <v>610</v>
      </c>
      <c r="BL55" s="10">
        <f>BL52+BL53+BL54</f>
        <v>506</v>
      </c>
      <c r="BM55" s="10">
        <f>BM52+BM53+BM54</f>
        <v>608</v>
      </c>
      <c r="BN55" s="10">
        <f>BN52+BN53+BN54</f>
        <v>420</v>
      </c>
      <c r="BO55" s="10">
        <f>BO52+BO53+BO54</f>
        <v>668</v>
      </c>
      <c r="BP55" s="10">
        <f>BP52+BP53+BP54</f>
        <v>589</v>
      </c>
      <c r="BV55" s="10">
        <f t="shared" si="20"/>
        <v>-1308</v>
      </c>
      <c r="BW55" s="10">
        <f t="shared" si="21"/>
        <v>-1063</v>
      </c>
      <c r="BX55" s="10">
        <f t="shared" si="22"/>
        <v>642</v>
      </c>
      <c r="BY55" s="10">
        <f t="shared" si="23"/>
        <v>-4107</v>
      </c>
      <c r="BZ55" s="10">
        <f t="shared" si="24"/>
        <v>-223</v>
      </c>
      <c r="CA55" s="10">
        <f t="shared" si="25"/>
        <v>-509</v>
      </c>
      <c r="CB55" s="10">
        <f t="shared" si="26"/>
        <v>-650</v>
      </c>
      <c r="CC55" s="10">
        <f t="shared" si="27"/>
        <v>177</v>
      </c>
      <c r="CD55" s="10">
        <f t="shared" si="28"/>
        <v>933</v>
      </c>
      <c r="CE55" s="10">
        <f t="shared" si="29"/>
        <v>1422</v>
      </c>
      <c r="CF55" s="10">
        <f t="shared" si="30"/>
        <v>687</v>
      </c>
      <c r="CG55" s="10">
        <f t="shared" si="31"/>
        <v>-79</v>
      </c>
      <c r="CH55" s="10">
        <f t="shared" si="32"/>
        <v>1076</v>
      </c>
      <c r="CI55" s="10">
        <f t="shared" si="33"/>
        <v>1141</v>
      </c>
      <c r="CJ55" s="10">
        <f t="shared" si="34"/>
        <v>1986</v>
      </c>
      <c r="CK55" s="10">
        <f t="shared" si="35"/>
        <v>2285</v>
      </c>
    </row>
    <row r="56" spans="2:89" s="10" customFormat="1">
      <c r="B56" s="10" t="s">
        <v>171</v>
      </c>
      <c r="C56" s="10">
        <v>2</v>
      </c>
      <c r="D56" s="10">
        <v>-6</v>
      </c>
      <c r="E56" s="10">
        <v>-84</v>
      </c>
      <c r="F56" s="10">
        <v>22</v>
      </c>
      <c r="G56" s="10">
        <v>50</v>
      </c>
      <c r="H56" s="10">
        <v>-271</v>
      </c>
      <c r="I56" s="10">
        <v>14</v>
      </c>
      <c r="J56" s="10">
        <v>21</v>
      </c>
      <c r="K56" s="10">
        <v>-27</v>
      </c>
      <c r="L56" s="10">
        <v>-6</v>
      </c>
      <c r="M56" s="10">
        <v>227</v>
      </c>
      <c r="N56" s="10">
        <v>12</v>
      </c>
      <c r="O56" s="10">
        <v>-31</v>
      </c>
      <c r="P56" s="10">
        <v>-7</v>
      </c>
      <c r="Q56" s="10">
        <v>10</v>
      </c>
      <c r="R56" s="10">
        <v>-40</v>
      </c>
      <c r="S56" s="10">
        <v>1</v>
      </c>
      <c r="T56" s="10">
        <v>-10</v>
      </c>
      <c r="U56" s="10">
        <v>-40</v>
      </c>
      <c r="V56" s="10">
        <v>22</v>
      </c>
      <c r="W56" s="10">
        <v>-35</v>
      </c>
      <c r="X56" s="10">
        <v>-49</v>
      </c>
      <c r="Y56" s="10">
        <v>13</v>
      </c>
      <c r="Z56" s="10">
        <v>-108</v>
      </c>
      <c r="AA56" s="10">
        <v>-40</v>
      </c>
      <c r="AB56" s="10">
        <v>-255</v>
      </c>
      <c r="AC56" s="10">
        <v>-50</v>
      </c>
      <c r="AD56" s="10">
        <v>3</v>
      </c>
      <c r="AE56" s="10">
        <v>-169</v>
      </c>
      <c r="AF56" s="10">
        <v>-195</v>
      </c>
      <c r="AG56" s="10">
        <v>26</v>
      </c>
      <c r="AH56" s="10">
        <v>-190</v>
      </c>
      <c r="AI56" s="10">
        <v>29</v>
      </c>
      <c r="AJ56" s="10">
        <v>-35</v>
      </c>
      <c r="AK56" s="10">
        <v>15</v>
      </c>
      <c r="AL56" s="10">
        <v>-55</v>
      </c>
      <c r="AM56" s="10">
        <v>26</v>
      </c>
      <c r="AN56" s="10">
        <v>842</v>
      </c>
      <c r="AO56" s="10">
        <v>26</v>
      </c>
      <c r="AP56" s="10">
        <v>-209</v>
      </c>
      <c r="AQ56" s="10">
        <v>24</v>
      </c>
      <c r="AR56" s="10">
        <v>-90</v>
      </c>
      <c r="AS56" s="10">
        <v>33</v>
      </c>
      <c r="AT56" s="10">
        <v>-9</v>
      </c>
      <c r="AU56" s="10">
        <v>-35</v>
      </c>
      <c r="AV56" s="10">
        <v>-4002</v>
      </c>
      <c r="AW56" s="10">
        <v>12</v>
      </c>
      <c r="AX56" s="10">
        <v>-33</v>
      </c>
      <c r="AY56" s="10">
        <v>-72</v>
      </c>
      <c r="AZ56" s="10">
        <v>95</v>
      </c>
      <c r="BA56" s="10">
        <v>-16</v>
      </c>
      <c r="BB56" s="10">
        <v>-37</v>
      </c>
      <c r="BC56" s="10">
        <v>64</v>
      </c>
      <c r="BD56" s="10">
        <v>25</v>
      </c>
      <c r="BE56" s="10">
        <v>45</v>
      </c>
      <c r="BF56" s="10">
        <v>85</v>
      </c>
      <c r="BG56" s="10">
        <v>57</v>
      </c>
      <c r="BH56" s="10">
        <v>256</v>
      </c>
      <c r="BI56" s="10">
        <v>130</v>
      </c>
      <c r="BJ56" s="10">
        <v>156</v>
      </c>
      <c r="BK56" s="10">
        <v>106</v>
      </c>
      <c r="BL56" s="1">
        <f>393-SUM(BI56:BK56)</f>
        <v>1</v>
      </c>
      <c r="BM56" s="10">
        <v>115</v>
      </c>
      <c r="BN56" s="10">
        <v>98</v>
      </c>
      <c r="BO56" s="10">
        <v>200</v>
      </c>
      <c r="BP56" s="1">
        <f>436-SUM(BM56:BO56)</f>
        <v>23</v>
      </c>
      <c r="BV56" s="10">
        <f t="shared" si="20"/>
        <v>-283</v>
      </c>
      <c r="BW56" s="10">
        <f t="shared" si="21"/>
        <v>2</v>
      </c>
      <c r="BX56" s="10">
        <f t="shared" si="22"/>
        <v>201</v>
      </c>
      <c r="BY56" s="10">
        <f t="shared" si="23"/>
        <v>-39</v>
      </c>
      <c r="BZ56" s="10">
        <f t="shared" si="24"/>
        <v>-102</v>
      </c>
      <c r="CA56" s="10">
        <f t="shared" si="25"/>
        <v>-390</v>
      </c>
      <c r="CB56" s="10">
        <f t="shared" si="26"/>
        <v>-411</v>
      </c>
      <c r="CC56" s="10">
        <f t="shared" si="27"/>
        <v>-170</v>
      </c>
      <c r="CD56" s="10">
        <f t="shared" si="28"/>
        <v>828</v>
      </c>
      <c r="CE56" s="10">
        <f t="shared" si="29"/>
        <v>-249</v>
      </c>
      <c r="CF56" s="10">
        <f t="shared" si="30"/>
        <v>-4013</v>
      </c>
      <c r="CG56" s="10">
        <f t="shared" si="31"/>
        <v>2</v>
      </c>
      <c r="CH56" s="10">
        <f t="shared" si="32"/>
        <v>36</v>
      </c>
      <c r="CI56" s="10">
        <f t="shared" si="33"/>
        <v>443</v>
      </c>
      <c r="CJ56" s="10">
        <f t="shared" si="34"/>
        <v>393</v>
      </c>
      <c r="CK56" s="10">
        <f t="shared" si="35"/>
        <v>436</v>
      </c>
    </row>
    <row r="57" spans="2:89" s="10" customFormat="1">
      <c r="B57" s="10" t="s">
        <v>60</v>
      </c>
      <c r="C57" s="10">
        <v>98</v>
      </c>
      <c r="D57" s="10">
        <v>-62</v>
      </c>
      <c r="E57" s="10">
        <v>-13</v>
      </c>
      <c r="F57" s="10">
        <v>158</v>
      </c>
      <c r="G57" s="10">
        <v>-94</v>
      </c>
      <c r="H57" s="10">
        <v>-1076</v>
      </c>
      <c r="I57" s="10">
        <v>-1589</v>
      </c>
      <c r="J57" s="10">
        <v>98</v>
      </c>
      <c r="K57" s="10">
        <v>190</v>
      </c>
      <c r="L57" s="10">
        <v>236</v>
      </c>
      <c r="M57" s="10">
        <v>46</v>
      </c>
      <c r="N57" s="10">
        <v>146</v>
      </c>
      <c r="O57" s="10">
        <v>142</v>
      </c>
      <c r="P57" s="10">
        <v>107</v>
      </c>
      <c r="Q57" s="10">
        <v>113</v>
      </c>
      <c r="R57" s="10">
        <v>-3578</v>
      </c>
      <c r="S57" s="10">
        <v>-664</v>
      </c>
      <c r="T57" s="10">
        <v>61</v>
      </c>
      <c r="U57" s="10">
        <v>-354</v>
      </c>
      <c r="V57" s="10">
        <v>130</v>
      </c>
      <c r="W57" s="10">
        <v>-5</v>
      </c>
      <c r="X57" s="10">
        <v>108</v>
      </c>
      <c r="Y57" s="10">
        <v>133</v>
      </c>
      <c r="Z57" s="10">
        <v>4</v>
      </c>
      <c r="AA57" s="10">
        <v>43</v>
      </c>
      <c r="AB57" s="10">
        <v>-299</v>
      </c>
      <c r="AC57" s="10">
        <v>-1</v>
      </c>
      <c r="AD57" s="10">
        <v>102</v>
      </c>
      <c r="AE57" s="10">
        <v>-198</v>
      </c>
      <c r="AF57" s="10">
        <v>-142</v>
      </c>
      <c r="AG57" s="10">
        <v>202</v>
      </c>
      <c r="AH57" s="10">
        <v>-207</v>
      </c>
      <c r="AI57" s="10">
        <v>228</v>
      </c>
      <c r="AJ57" s="10">
        <v>124</v>
      </c>
      <c r="AK57" s="10">
        <v>290</v>
      </c>
      <c r="AL57" s="10">
        <v>146</v>
      </c>
      <c r="AM57" s="10">
        <v>283</v>
      </c>
      <c r="AN57" s="10">
        <v>-615</v>
      </c>
      <c r="AO57" s="10">
        <v>298</v>
      </c>
      <c r="AP57" s="10">
        <v>555</v>
      </c>
      <c r="AQ57" s="10">
        <v>432</v>
      </c>
      <c r="AR57" s="10">
        <v>386</v>
      </c>
      <c r="AS57" s="10">
        <v>424</v>
      </c>
      <c r="AT57" s="10">
        <v>154</v>
      </c>
      <c r="AU57" s="10">
        <v>126</v>
      </c>
      <c r="AV57" s="10">
        <v>3996</v>
      </c>
      <c r="AW57" s="10">
        <v>11</v>
      </c>
      <c r="AX57" s="10">
        <v>-147</v>
      </c>
      <c r="AY57" s="10">
        <v>-155</v>
      </c>
      <c r="AZ57" s="10">
        <v>209</v>
      </c>
      <c r="BA57" s="10">
        <v>341</v>
      </c>
      <c r="BB57" s="10">
        <v>186</v>
      </c>
      <c r="BC57" s="10">
        <v>419</v>
      </c>
      <c r="BD57" s="10">
        <v>95</v>
      </c>
      <c r="BE57" s="10">
        <v>110</v>
      </c>
      <c r="BF57" s="10">
        <v>260</v>
      </c>
      <c r="BG57" s="10">
        <v>188</v>
      </c>
      <c r="BH57" s="10">
        <v>140</v>
      </c>
      <c r="BI57" s="10">
        <f>BI55-BI56</f>
        <v>314</v>
      </c>
      <c r="BJ57" s="10">
        <f>BJ55-BJ56</f>
        <v>270</v>
      </c>
      <c r="BK57" s="10">
        <f>BK55-BK56</f>
        <v>504</v>
      </c>
      <c r="BL57" s="10">
        <f>BL55-BL56</f>
        <v>505</v>
      </c>
      <c r="BM57" s="10">
        <f>BM55-BM56</f>
        <v>493</v>
      </c>
      <c r="BN57" s="10">
        <f>BN55-BN56</f>
        <v>322</v>
      </c>
      <c r="BO57" s="10">
        <f>BO55-BO56</f>
        <v>468</v>
      </c>
      <c r="BP57" s="10">
        <f>BP55-BP56</f>
        <v>566</v>
      </c>
      <c r="BV57" s="10">
        <f>SUM(E57:H57)</f>
        <v>-1025</v>
      </c>
      <c r="BW57" s="10">
        <f t="shared" si="21"/>
        <v>-1065</v>
      </c>
      <c r="BX57" s="10">
        <f t="shared" si="22"/>
        <v>441</v>
      </c>
      <c r="BY57" s="10">
        <f t="shared" si="23"/>
        <v>-4068</v>
      </c>
      <c r="BZ57" s="10">
        <f t="shared" si="24"/>
        <v>-121</v>
      </c>
      <c r="CA57" s="10">
        <f t="shared" si="25"/>
        <v>-119</v>
      </c>
      <c r="CB57" s="10">
        <f t="shared" si="26"/>
        <v>-239</v>
      </c>
      <c r="CC57" s="10">
        <f t="shared" si="27"/>
        <v>347</v>
      </c>
      <c r="CD57" s="10">
        <f t="shared" si="28"/>
        <v>104</v>
      </c>
      <c r="CE57" s="10">
        <f t="shared" si="29"/>
        <v>1671</v>
      </c>
      <c r="CF57" s="10">
        <f t="shared" si="30"/>
        <v>4700</v>
      </c>
      <c r="CG57" s="10">
        <f t="shared" si="31"/>
        <v>-82</v>
      </c>
      <c r="CH57" s="10">
        <f t="shared" si="32"/>
        <v>1041</v>
      </c>
      <c r="CI57" s="10">
        <f t="shared" si="33"/>
        <v>698</v>
      </c>
      <c r="CJ57" s="10">
        <f t="shared" si="34"/>
        <v>1593</v>
      </c>
      <c r="CK57" s="10">
        <f t="shared" si="35"/>
        <v>1849</v>
      </c>
    </row>
    <row r="58" spans="2:89" s="10" customFormat="1">
      <c r="B58" s="10" t="s">
        <v>167</v>
      </c>
      <c r="BI58" s="10">
        <v>-14</v>
      </c>
      <c r="BJ58" s="10">
        <v>-9</v>
      </c>
      <c r="BK58" s="10">
        <v>0</v>
      </c>
      <c r="BL58" s="1">
        <f>-23-SUM(BI58:BK58)</f>
        <v>0</v>
      </c>
      <c r="BM58" s="10">
        <v>0</v>
      </c>
      <c r="BN58" s="10">
        <v>0</v>
      </c>
      <c r="BO58" s="10">
        <v>0</v>
      </c>
      <c r="BP58" s="1">
        <f>0-SUM(BM58:BO58)</f>
        <v>0</v>
      </c>
      <c r="CF58" s="10">
        <f t="shared" ref="CF58:CG62" si="51">SUM(AV58:AY58)</f>
        <v>0</v>
      </c>
      <c r="CG58" s="10">
        <f t="shared" si="51"/>
        <v>0</v>
      </c>
      <c r="CH58" s="10">
        <f t="shared" ref="CH58:CH62" si="52">SUM(BA58:BD58)</f>
        <v>0</v>
      </c>
      <c r="CI58" s="10">
        <f t="shared" ref="CI58:CI62" si="53">SUM(BE58:BH58)</f>
        <v>0</v>
      </c>
      <c r="CJ58" s="10">
        <f t="shared" ref="CJ58:CK62" si="54">SUM(BI58:BL58)</f>
        <v>-23</v>
      </c>
      <c r="CK58" s="10">
        <f t="shared" si="35"/>
        <v>0</v>
      </c>
    </row>
    <row r="59" spans="2:89" s="10" customFormat="1">
      <c r="B59" s="10" t="s">
        <v>169</v>
      </c>
      <c r="BI59" s="10">
        <v>0</v>
      </c>
      <c r="BJ59" s="10">
        <v>0</v>
      </c>
      <c r="BK59" s="10">
        <v>0</v>
      </c>
      <c r="BL59" s="1">
        <v>0</v>
      </c>
      <c r="BM59" s="10">
        <v>-2</v>
      </c>
      <c r="BN59" s="10">
        <v>-2</v>
      </c>
      <c r="BO59" s="10">
        <v>0</v>
      </c>
      <c r="BP59" s="1">
        <f>-4-SUM(BM59:BO59)</f>
        <v>0</v>
      </c>
      <c r="CF59" s="10">
        <f t="shared" si="51"/>
        <v>0</v>
      </c>
      <c r="CG59" s="10">
        <f t="shared" si="51"/>
        <v>0</v>
      </c>
      <c r="CH59" s="10">
        <f t="shared" si="52"/>
        <v>0</v>
      </c>
      <c r="CI59" s="10">
        <f t="shared" si="53"/>
        <v>0</v>
      </c>
      <c r="CJ59" s="10">
        <f t="shared" si="54"/>
        <v>0</v>
      </c>
      <c r="CK59" s="10">
        <f t="shared" si="35"/>
        <v>-4</v>
      </c>
    </row>
    <row r="60" spans="2:89" s="11" customFormat="1" ht="15">
      <c r="B60" s="11" t="s">
        <v>168</v>
      </c>
      <c r="BI60" s="11">
        <f t="shared" ref="BI60:BM60" si="55">BI57+BI58-BI59</f>
        <v>300</v>
      </c>
      <c r="BJ60" s="11">
        <f t="shared" si="55"/>
        <v>261</v>
      </c>
      <c r="BK60" s="11">
        <f t="shared" si="55"/>
        <v>504</v>
      </c>
      <c r="BL60" s="11">
        <f t="shared" si="55"/>
        <v>505</v>
      </c>
      <c r="BM60" s="11">
        <f t="shared" si="55"/>
        <v>495</v>
      </c>
      <c r="BN60" s="11">
        <f>BN57+BN58-BN59</f>
        <v>324</v>
      </c>
      <c r="BO60" s="11">
        <f t="shared" ref="BO60:BP60" si="56">BO57+BO58-BO59</f>
        <v>468</v>
      </c>
      <c r="BP60" s="11">
        <f t="shared" si="56"/>
        <v>566</v>
      </c>
      <c r="CF60" s="11">
        <f t="shared" si="51"/>
        <v>0</v>
      </c>
      <c r="CG60" s="11">
        <f t="shared" si="51"/>
        <v>0</v>
      </c>
      <c r="CH60" s="11">
        <f t="shared" si="52"/>
        <v>0</v>
      </c>
      <c r="CI60" s="11">
        <f t="shared" si="53"/>
        <v>0</v>
      </c>
      <c r="CJ60" s="11">
        <f t="shared" si="54"/>
        <v>1570</v>
      </c>
      <c r="CK60" s="11">
        <f t="shared" si="35"/>
        <v>1853</v>
      </c>
    </row>
    <row r="61" spans="2:89" s="10" customFormat="1">
      <c r="B61" s="10" t="s">
        <v>1</v>
      </c>
      <c r="BI61" s="10">
        <v>1435.8</v>
      </c>
      <c r="BJ61" s="10">
        <v>1446.2</v>
      </c>
      <c r="BK61" s="10">
        <v>1464.5</v>
      </c>
      <c r="BL61" s="10">
        <v>1453</v>
      </c>
      <c r="BM61" s="10">
        <v>1468.4</v>
      </c>
      <c r="BN61" s="10">
        <v>1470.6</v>
      </c>
      <c r="BO61" s="10">
        <v>1472.7</v>
      </c>
      <c r="BP61" s="10">
        <v>1471.5</v>
      </c>
      <c r="CF61" s="10">
        <f t="shared" si="51"/>
        <v>0</v>
      </c>
      <c r="CG61" s="10">
        <f t="shared" si="51"/>
        <v>0</v>
      </c>
      <c r="CH61" s="10">
        <f t="shared" si="52"/>
        <v>0</v>
      </c>
      <c r="CI61" s="10">
        <f t="shared" si="53"/>
        <v>0</v>
      </c>
      <c r="CJ61" s="10">
        <f t="shared" si="54"/>
        <v>5799.5</v>
      </c>
      <c r="CK61" s="10">
        <f t="shared" si="35"/>
        <v>5883.2</v>
      </c>
    </row>
    <row r="62" spans="2:89" s="10" customFormat="1">
      <c r="B62" s="10" t="s">
        <v>170</v>
      </c>
      <c r="BI62" s="13">
        <f>BI60/BI61</f>
        <v>0.20894274968658588</v>
      </c>
      <c r="BJ62" s="13">
        <f>BJ60/BJ61</f>
        <v>0.18047296362882034</v>
      </c>
      <c r="BK62" s="13">
        <f>BK60/BK61</f>
        <v>0.34414475930351657</v>
      </c>
      <c r="BL62" s="13">
        <f>BL60/BL61</f>
        <v>0.34755677907777011</v>
      </c>
      <c r="BM62" s="13">
        <f>BM60/BM61</f>
        <v>0.33710160719150095</v>
      </c>
      <c r="BN62" s="13">
        <f>BN60/BN61</f>
        <v>0.22031823745410037</v>
      </c>
      <c r="BO62" s="13">
        <f>BO60/BO61</f>
        <v>0.31778366266041963</v>
      </c>
      <c r="BP62" s="13">
        <f>BP60/BP61</f>
        <v>0.38464152225620113</v>
      </c>
      <c r="BV62" s="13"/>
      <c r="BW62" s="13"/>
      <c r="BX62" s="13"/>
      <c r="BY62" s="13"/>
      <c r="BZ62" s="13"/>
      <c r="CA62" s="13"/>
      <c r="CB62" s="13"/>
      <c r="CC62" s="13"/>
      <c r="CD62" s="13"/>
      <c r="CE62" s="13"/>
      <c r="CF62" s="13">
        <f t="shared" si="51"/>
        <v>0</v>
      </c>
      <c r="CG62" s="13">
        <f t="shared" si="51"/>
        <v>0</v>
      </c>
      <c r="CH62" s="13">
        <f t="shared" si="52"/>
        <v>0</v>
      </c>
      <c r="CI62" s="13">
        <f t="shared" si="53"/>
        <v>0</v>
      </c>
      <c r="CJ62" s="13">
        <f t="shared" si="54"/>
        <v>1.0811172516966929</v>
      </c>
      <c r="CK62" s="13">
        <f t="shared" si="35"/>
        <v>1.2598450295622221</v>
      </c>
    </row>
    <row r="63" spans="2:89" s="10" customFormat="1" ht="15">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2:89" s="10" customFormat="1">
      <c r="B64" s="10" t="s">
        <v>59</v>
      </c>
      <c r="C64" s="14">
        <f t="shared" ref="C64:BN64" si="57">C42/C40</f>
        <v>0.70158102766798414</v>
      </c>
      <c r="D64" s="14">
        <f t="shared" si="57"/>
        <v>0.66885743174924162</v>
      </c>
      <c r="E64" s="14">
        <f t="shared" si="57"/>
        <v>0.69800995024875623</v>
      </c>
      <c r="F64" s="14">
        <f t="shared" si="57"/>
        <v>0.6962391513982642</v>
      </c>
      <c r="G64" s="14">
        <f t="shared" si="57"/>
        <v>0.68938271604938273</v>
      </c>
      <c r="H64" s="14">
        <f t="shared" si="57"/>
        <v>0.65848965848965846</v>
      </c>
      <c r="I64" s="14">
        <f t="shared" si="57"/>
        <v>0.66173469387755102</v>
      </c>
      <c r="J64" s="14">
        <f t="shared" si="57"/>
        <v>0.66078838174273857</v>
      </c>
      <c r="K64" s="14">
        <f t="shared" si="57"/>
        <v>0.67484342379958251</v>
      </c>
      <c r="L64" s="14">
        <f t="shared" si="57"/>
        <v>0.67082917082917082</v>
      </c>
      <c r="M64" s="14">
        <f t="shared" si="57"/>
        <v>0.67220779220779225</v>
      </c>
      <c r="N64" s="14">
        <f t="shared" si="57"/>
        <v>0.65164556962025322</v>
      </c>
      <c r="O64" s="14">
        <f t="shared" si="57"/>
        <v>0.63713980789754532</v>
      </c>
      <c r="P64" s="14">
        <f t="shared" si="57"/>
        <v>0.6428571428571429</v>
      </c>
      <c r="Q64" s="14">
        <f t="shared" si="57"/>
        <v>0.66184351554126475</v>
      </c>
      <c r="R64" s="14">
        <f t="shared" si="57"/>
        <v>0.6838074398249453</v>
      </c>
      <c r="S64" s="14">
        <f t="shared" si="57"/>
        <v>0.67838616714697408</v>
      </c>
      <c r="T64" s="14">
        <f t="shared" si="57"/>
        <v>0.68021978021978025</v>
      </c>
      <c r="U64" s="14">
        <f t="shared" si="57"/>
        <v>0.67177739920499713</v>
      </c>
      <c r="V64" s="14">
        <f t="shared" si="57"/>
        <v>0.70702045328911001</v>
      </c>
      <c r="W64" s="14">
        <f t="shared" si="57"/>
        <v>0.70605187319884721</v>
      </c>
      <c r="X64" s="14">
        <f t="shared" si="57"/>
        <v>0.69749727965179542</v>
      </c>
      <c r="Y64" s="14">
        <f t="shared" si="57"/>
        <v>0.69729425028184888</v>
      </c>
      <c r="Z64" s="14">
        <f t="shared" si="57"/>
        <v>0.69941270688734647</v>
      </c>
      <c r="AA64" s="14">
        <f t="shared" si="57"/>
        <v>0.70205850487540633</v>
      </c>
      <c r="AB64" s="14">
        <f t="shared" si="57"/>
        <v>0.70323264440911504</v>
      </c>
      <c r="AC64" s="14">
        <f t="shared" si="57"/>
        <v>0.70588235294117652</v>
      </c>
      <c r="AD64" s="14">
        <f t="shared" si="57"/>
        <v>0.70699945740640258</v>
      </c>
      <c r="AE64" s="14">
        <f t="shared" si="57"/>
        <v>0.71451271186440679</v>
      </c>
      <c r="AF64" s="14">
        <f t="shared" si="57"/>
        <v>0.70980788675429729</v>
      </c>
      <c r="AG64" s="14">
        <f t="shared" si="57"/>
        <v>0.7082484725050916</v>
      </c>
      <c r="AH64" s="14">
        <f t="shared" si="57"/>
        <v>0.69943555973659455</v>
      </c>
      <c r="AI64" s="14">
        <f t="shared" si="57"/>
        <v>0.71781472684085512</v>
      </c>
      <c r="AJ64" s="14">
        <f t="shared" si="57"/>
        <v>0.71793701506161567</v>
      </c>
      <c r="AK64" s="14">
        <f t="shared" si="57"/>
        <v>0.69907407407407407</v>
      </c>
      <c r="AL64" s="14">
        <f t="shared" si="57"/>
        <v>0.71998227735932652</v>
      </c>
      <c r="AM64" s="14">
        <f t="shared" si="57"/>
        <v>0.71332133213321336</v>
      </c>
      <c r="AN64" s="14">
        <f t="shared" si="57"/>
        <v>0.72021585720215853</v>
      </c>
      <c r="AO64" s="14">
        <f t="shared" si="57"/>
        <v>0.71752837326607821</v>
      </c>
      <c r="AP64" s="14">
        <f t="shared" si="57"/>
        <v>0.70321285140562251</v>
      </c>
      <c r="AQ64" s="14">
        <f t="shared" si="57"/>
        <v>0.71876305892185544</v>
      </c>
      <c r="AR64" s="14">
        <f t="shared" si="57"/>
        <v>0.71573604060913709</v>
      </c>
      <c r="AS64" s="14">
        <f t="shared" si="57"/>
        <v>0.70718010429201761</v>
      </c>
      <c r="AT64" s="14">
        <f t="shared" si="57"/>
        <v>0.71189661725579623</v>
      </c>
      <c r="AU64" s="14">
        <f t="shared" si="57"/>
        <v>0.71296638345031405</v>
      </c>
      <c r="AV64" s="14">
        <f t="shared" si="57"/>
        <v>0.70730027548209362</v>
      </c>
      <c r="AW64" s="14" t="e">
        <f t="shared" si="57"/>
        <v>#DIV/0!</v>
      </c>
      <c r="AX64" s="14" t="e">
        <f t="shared" si="57"/>
        <v>#DIV/0!</v>
      </c>
      <c r="AY64" s="14" t="e">
        <f t="shared" si="57"/>
        <v>#DIV/0!</v>
      </c>
      <c r="AZ64" s="14" t="e">
        <f t="shared" si="57"/>
        <v>#DIV/0!</v>
      </c>
      <c r="BA64" s="14" t="e">
        <f t="shared" si="57"/>
        <v>#DIV/0!</v>
      </c>
      <c r="BB64" s="14" t="e">
        <f t="shared" si="57"/>
        <v>#DIV/0!</v>
      </c>
      <c r="BC64" s="14" t="e">
        <f t="shared" si="57"/>
        <v>#DIV/0!</v>
      </c>
      <c r="BD64" s="14" t="e">
        <f t="shared" si="57"/>
        <v>#DIV/0!</v>
      </c>
      <c r="BE64" s="14" t="e">
        <f t="shared" si="57"/>
        <v>#DIV/0!</v>
      </c>
      <c r="BF64" s="14" t="e">
        <f t="shared" si="57"/>
        <v>#DIV/0!</v>
      </c>
      <c r="BG64" s="14" t="e">
        <f t="shared" si="57"/>
        <v>#DIV/0!</v>
      </c>
      <c r="BH64" s="14" t="e">
        <f t="shared" si="57"/>
        <v>#DIV/0!</v>
      </c>
      <c r="BI64" s="14">
        <f t="shared" si="57"/>
        <v>0.69312481557981709</v>
      </c>
      <c r="BJ64" s="14">
        <f t="shared" si="57"/>
        <v>0.70602945262572936</v>
      </c>
      <c r="BK64" s="14">
        <f t="shared" si="57"/>
        <v>0.68783668840374257</v>
      </c>
      <c r="BL64" s="14">
        <f t="shared" si="57"/>
        <v>0.69234899328859056</v>
      </c>
      <c r="BM64" s="14">
        <f t="shared" si="57"/>
        <v>0.68654394607207669</v>
      </c>
      <c r="BN64" s="14">
        <f t="shared" si="57"/>
        <v>0.69174757281553401</v>
      </c>
      <c r="BO64" s="14">
        <f t="shared" ref="BO64" si="58">BO42/BO40</f>
        <v>0.68828700403896415</v>
      </c>
      <c r="BP64" s="14">
        <f>BP42/BP40</f>
        <v>0.67857925893444415</v>
      </c>
      <c r="BV64" s="14">
        <f>BV42/BV40</f>
        <v>0.6853932584269663</v>
      </c>
      <c r="BW64" s="14">
        <f>BW42/BW40</f>
        <v>0.66705098642070204</v>
      </c>
      <c r="BX64" s="14">
        <f>BX42/BX40</f>
        <v>0.65114143269483071</v>
      </c>
      <c r="BY64" s="14">
        <f>BY42/BY40</f>
        <v>0.67595530417988692</v>
      </c>
      <c r="BZ64" s="14">
        <f>BZ42/BZ40</f>
        <v>0.69564608707825848</v>
      </c>
      <c r="CA64" s="14">
        <f>CA42/CA40</f>
        <v>0.70054200542005418</v>
      </c>
      <c r="CB64" s="14">
        <f>CB42/CB40</f>
        <v>0.709375417948375</v>
      </c>
      <c r="CC64" s="14">
        <f>CC42/CC40</f>
        <v>0.7109468161221083</v>
      </c>
      <c r="CD64" s="14">
        <f>CD42/CD40</f>
        <v>0.71341732979664019</v>
      </c>
      <c r="CE64" s="14">
        <f>CE42/CE40</f>
        <v>0.71373307543520315</v>
      </c>
      <c r="CF64" s="14">
        <f>CF42/CF40</f>
        <v>0.70982766651141127</v>
      </c>
      <c r="CG64" s="14" t="e">
        <f>CG42/CG40</f>
        <v>#DIV/0!</v>
      </c>
      <c r="CH64" s="14" t="e">
        <f>CH42/CH40</f>
        <v>#DIV/0!</v>
      </c>
      <c r="CI64" s="14" t="e">
        <f>CI42/CI40</f>
        <v>#DIV/0!</v>
      </c>
      <c r="CJ64" s="14">
        <f>CJ42/CJ40</f>
        <v>0.694873595505618</v>
      </c>
      <c r="CK64" s="14">
        <f>CK42/CK40</f>
        <v>0.68609303158774704</v>
      </c>
    </row>
    <row r="65" spans="2:89" s="10" customFormat="1">
      <c r="B65" s="10" t="s">
        <v>55</v>
      </c>
      <c r="C65" s="14">
        <f>C43/C40</f>
        <v>0.32361660079051385</v>
      </c>
      <c r="D65" s="14">
        <f>D43/D40</f>
        <v>0.30839231547017187</v>
      </c>
      <c r="E65" s="14">
        <f>E43/E40</f>
        <v>0.32388059701492539</v>
      </c>
      <c r="F65" s="14">
        <f>F43/F40</f>
        <v>0.3235294117647059</v>
      </c>
      <c r="G65" s="14">
        <f>G43/G40</f>
        <v>0.32839506172839505</v>
      </c>
      <c r="H65" s="14">
        <f>H43/H40</f>
        <v>0.31168831168831168</v>
      </c>
      <c r="I65" s="14">
        <f>I43/I40</f>
        <v>0.32040816326530613</v>
      </c>
      <c r="J65" s="14">
        <f>J43/J40</f>
        <v>0.32883817427385892</v>
      </c>
      <c r="K65" s="14">
        <f>K43/K40</f>
        <v>0.33089770354906056</v>
      </c>
      <c r="L65" s="14">
        <f>L43/L40</f>
        <v>0.34265734265734266</v>
      </c>
      <c r="M65" s="14">
        <f>M43/M40</f>
        <v>0.31272727272727274</v>
      </c>
      <c r="N65" s="14">
        <f>N43/N40</f>
        <v>0.32860759493670888</v>
      </c>
      <c r="O65" s="14">
        <f>O43/O40</f>
        <v>0.33884738527214514</v>
      </c>
      <c r="P65" s="14">
        <f>P43/P40</f>
        <v>0.32900432900432902</v>
      </c>
      <c r="Q65" s="14">
        <f>Q43/Q40</f>
        <v>0.35852090032154343</v>
      </c>
      <c r="R65" s="14">
        <f>R43/R40</f>
        <v>0.35503282275711162</v>
      </c>
      <c r="S65" s="14">
        <f>S43/S40</f>
        <v>0.32795389048991352</v>
      </c>
      <c r="T65" s="14">
        <f>T43/T40</f>
        <v>0.35274725274725277</v>
      </c>
      <c r="U65" s="14">
        <f>U43/U40</f>
        <v>0.34525837592277114</v>
      </c>
      <c r="V65" s="14">
        <f>V43/V40</f>
        <v>0.36539524599226092</v>
      </c>
      <c r="W65" s="14">
        <f>W43/W40</f>
        <v>0.37925072046109509</v>
      </c>
      <c r="X65" s="14">
        <f>X43/X40</f>
        <v>0.40859630032644179</v>
      </c>
      <c r="Y65" s="14">
        <f>Y43/Y40</f>
        <v>0.37542277339346108</v>
      </c>
      <c r="Z65" s="14">
        <f>Z43/Z40</f>
        <v>0.39668980245595303</v>
      </c>
      <c r="AA65" s="14">
        <f>AA43/AA40</f>
        <v>0.40140845070422537</v>
      </c>
      <c r="AB65" s="14">
        <f>AB43/AB40</f>
        <v>0.39851616322204558</v>
      </c>
      <c r="AC65" s="14">
        <f>AC43/AC40</f>
        <v>0.37782805429864252</v>
      </c>
      <c r="AD65" s="14">
        <f>AD43/AD40</f>
        <v>0.37981551817688552</v>
      </c>
      <c r="AE65" s="14">
        <f>AE43/AE40</f>
        <v>0.3861228813559322</v>
      </c>
      <c r="AF65" s="14">
        <f>AF43/AF40</f>
        <v>0.39231547017189078</v>
      </c>
      <c r="AG65" s="14">
        <f>AG43/AG40</f>
        <v>0.36456211812627293</v>
      </c>
      <c r="AH65" s="14">
        <f>AH43/AH40</f>
        <v>0.36641580432737536</v>
      </c>
      <c r="AI65" s="14">
        <f>AI43/AI40</f>
        <v>0.36674584323040382</v>
      </c>
      <c r="AJ65" s="14">
        <f>AJ43/AJ40</f>
        <v>0.37973528069374712</v>
      </c>
      <c r="AK65" s="14">
        <f>AK43/AK40</f>
        <v>0.36759259259259258</v>
      </c>
      <c r="AL65" s="14">
        <f>AL43/AL40</f>
        <v>0.36109880372175457</v>
      </c>
      <c r="AM65" s="14">
        <f>AM43/AM40</f>
        <v>0.36003600360036003</v>
      </c>
      <c r="AN65" s="14">
        <f>AN43/AN40</f>
        <v>0.36737235367372356</v>
      </c>
      <c r="AO65" s="14">
        <f>AO43/AO40</f>
        <v>0.36149642707019758</v>
      </c>
      <c r="AP65" s="14">
        <f>AP43/AP40</f>
        <v>0.35582329317269074</v>
      </c>
      <c r="AQ65" s="14">
        <f>AQ43/AQ40</f>
        <v>0.36356038445465944</v>
      </c>
      <c r="AR65" s="14">
        <f>AR43/AR40</f>
        <v>0.37212026552128075</v>
      </c>
      <c r="AS65" s="14">
        <f>AS43/AS40</f>
        <v>0.34857601283594064</v>
      </c>
      <c r="AT65" s="14">
        <f>AT43/AT40</f>
        <v>0.36792094260737362</v>
      </c>
      <c r="AU65" s="14">
        <f>AU43/AU40</f>
        <v>0.37384558551902475</v>
      </c>
      <c r="AV65" s="14">
        <f>AV43/AV40</f>
        <v>0.37603305785123969</v>
      </c>
      <c r="AW65" s="14" t="e">
        <f>AW43/AW40</f>
        <v>#DIV/0!</v>
      </c>
      <c r="AX65" s="14" t="e">
        <f>AX43/AX40</f>
        <v>#DIV/0!</v>
      </c>
      <c r="AY65" s="14" t="e">
        <f>AY43/AY40</f>
        <v>#DIV/0!</v>
      </c>
      <c r="AZ65" s="14" t="e">
        <f>AZ43/AZ40</f>
        <v>#DIV/0!</v>
      </c>
      <c r="BA65" s="14" t="e">
        <f>BA43/BA40</f>
        <v>#DIV/0!</v>
      </c>
      <c r="BB65" s="14" t="e">
        <f>BB43/BB40</f>
        <v>#DIV/0!</v>
      </c>
      <c r="BC65" s="14" t="e">
        <f>BC43/BC40</f>
        <v>#DIV/0!</v>
      </c>
      <c r="BD65" s="14" t="e">
        <f>BD43/BD40</f>
        <v>#DIV/0!</v>
      </c>
      <c r="BE65" s="14" t="e">
        <f>BE43/BE40</f>
        <v>#DIV/0!</v>
      </c>
      <c r="BF65" s="14" t="e">
        <f>BF43/BF40</f>
        <v>#DIV/0!</v>
      </c>
      <c r="BG65" s="14" t="e">
        <f>BG43/BG40</f>
        <v>#DIV/0!</v>
      </c>
      <c r="BH65" s="14" t="e">
        <f>BH43/BH40</f>
        <v>#DIV/0!</v>
      </c>
      <c r="BI65" s="14">
        <f>BI43/BI40</f>
        <v>0.35851283564473296</v>
      </c>
      <c r="BJ65" s="14">
        <f>BJ43/BJ40</f>
        <v>0.37621561544873577</v>
      </c>
      <c r="BK65" s="14">
        <f>BK43/BK40</f>
        <v>0.3521406294301106</v>
      </c>
      <c r="BL65" s="14">
        <f>BL43/BL40</f>
        <v>0.37020134228187918</v>
      </c>
      <c r="BM65" s="14">
        <f>BM43/BM40</f>
        <v>0.35364272750842624</v>
      </c>
      <c r="BN65" s="14">
        <f>BN43/BN40</f>
        <v>0.35097087378640779</v>
      </c>
      <c r="BO65" s="14">
        <f>BO43/BO40</f>
        <v>0.37110952720361129</v>
      </c>
      <c r="BP65" s="14">
        <f>BP43/BP40</f>
        <v>0.3534312650734488</v>
      </c>
      <c r="BV65" s="14">
        <f>BV43/BV40</f>
        <v>0.32181240840254033</v>
      </c>
      <c r="BW65" s="14">
        <f>BW43/BW40</f>
        <v>0.33077120163976426</v>
      </c>
      <c r="BX65" s="14">
        <f>BX43/BX40</f>
        <v>0.32721070585148254</v>
      </c>
      <c r="BY65" s="14">
        <f>BY43/BY40</f>
        <v>0.34887570699406817</v>
      </c>
      <c r="BZ65" s="14">
        <f>BZ43/BZ40</f>
        <v>0.37491250174996499</v>
      </c>
      <c r="CA65" s="14">
        <f>CA43/CA40</f>
        <v>0.39322493224932248</v>
      </c>
      <c r="CB65" s="14">
        <f>CB43/CB40</f>
        <v>0.38424501805536981</v>
      </c>
      <c r="CC65" s="14">
        <f>CC43/CC40</f>
        <v>0.36954447889339376</v>
      </c>
      <c r="CD65" s="14">
        <f>CD43/CD40</f>
        <v>0.36405835543766579</v>
      </c>
      <c r="CE65" s="14">
        <f>CE43/CE40</f>
        <v>0.36333095795581799</v>
      </c>
      <c r="CF65" s="14">
        <f>CF43/CF40</f>
        <v>0.36711690731252911</v>
      </c>
      <c r="CG65" s="14" t="e">
        <f>CG43/CG40</f>
        <v>#DIV/0!</v>
      </c>
      <c r="CH65" s="14" t="e">
        <f>CH43/CH40</f>
        <v>#DIV/0!</v>
      </c>
      <c r="CI65" s="14" t="e">
        <f>CI43/CI40</f>
        <v>#DIV/0!</v>
      </c>
      <c r="CJ65" s="14">
        <f>CJ43/CJ40</f>
        <v>0.36446629213483145</v>
      </c>
      <c r="CK65" s="14">
        <f>CK43/CK40</f>
        <v>0.35731772854839672</v>
      </c>
    </row>
    <row r="66" spans="2:89" s="10" customFormat="1">
      <c r="B66" s="10" t="s">
        <v>56</v>
      </c>
      <c r="C66" s="14">
        <f t="shared" ref="C66:BN66" si="59">C44/C40</f>
        <v>0.13290513833992096</v>
      </c>
      <c r="D66" s="14">
        <f t="shared" si="59"/>
        <v>0.12335692618806876</v>
      </c>
      <c r="E66" s="14">
        <f t="shared" si="59"/>
        <v>0.12786069651741294</v>
      </c>
      <c r="F66" s="14">
        <f t="shared" si="59"/>
        <v>0.13500482160077146</v>
      </c>
      <c r="G66" s="14">
        <f t="shared" si="59"/>
        <v>0.12740740740740741</v>
      </c>
      <c r="H66" s="14">
        <f t="shared" si="59"/>
        <v>0.12554112554112554</v>
      </c>
      <c r="I66" s="14">
        <f t="shared" si="59"/>
        <v>0.12908163265306122</v>
      </c>
      <c r="J66" s="14">
        <f t="shared" si="59"/>
        <v>0.12033195020746888</v>
      </c>
      <c r="K66" s="14">
        <f t="shared" si="59"/>
        <v>0.12004175365344467</v>
      </c>
      <c r="L66" s="14">
        <f t="shared" si="59"/>
        <v>0.11188811188811189</v>
      </c>
      <c r="M66" s="14">
        <f t="shared" si="59"/>
        <v>0.11012987012987013</v>
      </c>
      <c r="N66" s="14">
        <f t="shared" si="59"/>
        <v>0.11291139240506329</v>
      </c>
      <c r="O66" s="14">
        <f t="shared" si="59"/>
        <v>0.12219850586979722</v>
      </c>
      <c r="P66" s="14">
        <f t="shared" si="59"/>
        <v>0.125</v>
      </c>
      <c r="Q66" s="14">
        <f t="shared" si="59"/>
        <v>0.11521972132904609</v>
      </c>
      <c r="R66" s="14">
        <f t="shared" si="59"/>
        <v>0.11652078774617068</v>
      </c>
      <c r="S66" s="14">
        <f t="shared" si="59"/>
        <v>0.12680115273775217</v>
      </c>
      <c r="T66" s="14">
        <f t="shared" si="59"/>
        <v>0.13076923076923078</v>
      </c>
      <c r="U66" s="14">
        <f t="shared" si="59"/>
        <v>0.11584327086882454</v>
      </c>
      <c r="V66" s="14">
        <f t="shared" si="59"/>
        <v>0.12327252625760088</v>
      </c>
      <c r="W66" s="14">
        <f t="shared" si="59"/>
        <v>0.12507204610951009</v>
      </c>
      <c r="X66" s="14">
        <f t="shared" si="59"/>
        <v>0.11806311207834602</v>
      </c>
      <c r="Y66" s="14">
        <f t="shared" si="59"/>
        <v>0.10766629086809471</v>
      </c>
      <c r="Z66" s="14">
        <f t="shared" si="59"/>
        <v>0.10998398291510945</v>
      </c>
      <c r="AA66" s="14">
        <f t="shared" si="59"/>
        <v>0.11484290357529794</v>
      </c>
      <c r="AB66" s="14">
        <f t="shared" si="59"/>
        <v>0.11022787493375728</v>
      </c>
      <c r="AC66" s="14">
        <f t="shared" si="59"/>
        <v>0.10859728506787331</v>
      </c>
      <c r="AD66" s="14">
        <f t="shared" si="59"/>
        <v>0.11937059142702117</v>
      </c>
      <c r="AE66" s="14">
        <f t="shared" si="59"/>
        <v>0.11705508474576271</v>
      </c>
      <c r="AF66" s="14">
        <f t="shared" si="59"/>
        <v>0.12285136501516683</v>
      </c>
      <c r="AG66" s="14">
        <f t="shared" si="59"/>
        <v>0.10692464358452139</v>
      </c>
      <c r="AH66" s="14">
        <f t="shared" si="59"/>
        <v>0.10442144873000941</v>
      </c>
      <c r="AI66" s="14">
        <f t="shared" si="59"/>
        <v>0.11021377672209026</v>
      </c>
      <c r="AJ66" s="14">
        <f t="shared" si="59"/>
        <v>0.11684162482884528</v>
      </c>
      <c r="AK66" s="14">
        <f t="shared" si="59"/>
        <v>0.10879629629629629</v>
      </c>
      <c r="AL66" s="14">
        <f t="shared" si="59"/>
        <v>0.10810810810810811</v>
      </c>
      <c r="AM66" s="14">
        <f t="shared" si="59"/>
        <v>0.11431143114311432</v>
      </c>
      <c r="AN66" s="14">
        <f t="shared" si="59"/>
        <v>0.1095890410958904</v>
      </c>
      <c r="AO66" s="14">
        <f t="shared" si="59"/>
        <v>0.10970996216897856</v>
      </c>
      <c r="AP66" s="14">
        <f t="shared" si="59"/>
        <v>0.11044176706827309</v>
      </c>
      <c r="AQ66" s="14">
        <f t="shared" si="59"/>
        <v>0.12076890931884664</v>
      </c>
      <c r="AR66" s="14">
        <f t="shared" si="59"/>
        <v>0.11245607184693479</v>
      </c>
      <c r="AS66" s="14">
        <f t="shared" si="59"/>
        <v>0.11231448054552748</v>
      </c>
      <c r="AT66" s="14">
        <f t="shared" si="59"/>
        <v>0.1064234131508932</v>
      </c>
      <c r="AU66" s="14">
        <f t="shared" si="59"/>
        <v>0.11304026597709642</v>
      </c>
      <c r="AV66" s="14">
        <f t="shared" si="59"/>
        <v>0.10606060606060606</v>
      </c>
      <c r="AW66" s="14" t="e">
        <f t="shared" si="59"/>
        <v>#DIV/0!</v>
      </c>
      <c r="AX66" s="14" t="e">
        <f t="shared" si="59"/>
        <v>#DIV/0!</v>
      </c>
      <c r="AY66" s="14" t="e">
        <f t="shared" si="59"/>
        <v>#DIV/0!</v>
      </c>
      <c r="AZ66" s="14" t="e">
        <f t="shared" si="59"/>
        <v>#DIV/0!</v>
      </c>
      <c r="BA66" s="14" t="e">
        <f t="shared" si="59"/>
        <v>#DIV/0!</v>
      </c>
      <c r="BB66" s="14" t="e">
        <f t="shared" si="59"/>
        <v>#DIV/0!</v>
      </c>
      <c r="BC66" s="14" t="e">
        <f t="shared" si="59"/>
        <v>#DIV/0!</v>
      </c>
      <c r="BD66" s="14" t="e">
        <f t="shared" si="59"/>
        <v>#DIV/0!</v>
      </c>
      <c r="BE66" s="14" t="e">
        <f t="shared" si="59"/>
        <v>#DIV/0!</v>
      </c>
      <c r="BF66" s="14" t="e">
        <f t="shared" si="59"/>
        <v>#DIV/0!</v>
      </c>
      <c r="BG66" s="14" t="e">
        <f t="shared" si="59"/>
        <v>#DIV/0!</v>
      </c>
      <c r="BH66" s="14" t="e">
        <f t="shared" si="59"/>
        <v>#DIV/0!</v>
      </c>
      <c r="BI66" s="14">
        <f t="shared" si="59"/>
        <v>9.9439362643847742E-2</v>
      </c>
      <c r="BJ66" s="14">
        <f t="shared" si="59"/>
        <v>9.9749930536260079E-2</v>
      </c>
      <c r="BK66" s="14">
        <f t="shared" si="59"/>
        <v>0.10093563935355826</v>
      </c>
      <c r="BL66" s="14">
        <f t="shared" si="59"/>
        <v>9.7181208053691279E-2</v>
      </c>
      <c r="BM66" s="14">
        <f t="shared" si="59"/>
        <v>9.4892403422348975E-2</v>
      </c>
      <c r="BN66" s="14">
        <f t="shared" si="59"/>
        <v>9.2961165048543695E-2</v>
      </c>
      <c r="BO66" s="14">
        <f t="shared" ref="BO66" si="60">BO44/BO40</f>
        <v>9.6697552862912803E-2</v>
      </c>
      <c r="BP66" s="14">
        <f>BP44/BP40</f>
        <v>0.10063582547686911</v>
      </c>
      <c r="BV66" s="14">
        <f>BV44/BV40</f>
        <v>0.12896922325354176</v>
      </c>
      <c r="BW66" s="14">
        <f>BW44/BW40</f>
        <v>0.12029208301306688</v>
      </c>
      <c r="BX66" s="14">
        <f>BX44/BX40</f>
        <v>0.11742324849120965</v>
      </c>
      <c r="BY66" s="14">
        <f>BY44/BY40</f>
        <v>0.12222375500068976</v>
      </c>
      <c r="BZ66" s="14">
        <f>BZ44/BZ40</f>
        <v>0.12053758924821503</v>
      </c>
      <c r="CA66" s="14">
        <f>CA44/CA40</f>
        <v>0.11070460704607046</v>
      </c>
      <c r="CB66" s="14">
        <f>CB44/CB40</f>
        <v>0.11715928848468637</v>
      </c>
      <c r="CC66" s="14">
        <f>CC44/CC40</f>
        <v>0.10970665394705462</v>
      </c>
      <c r="CD66" s="14">
        <f>CD44/CD40</f>
        <v>0.11019009725906277</v>
      </c>
      <c r="CE66" s="14">
        <f>CE44/CE40</f>
        <v>0.11330550748243917</v>
      </c>
      <c r="CF66" s="14">
        <f>CF44/CF40</f>
        <v>0.10936190032603633</v>
      </c>
      <c r="CG66" s="14" t="e">
        <f>CG44/CG40</f>
        <v>#DIV/0!</v>
      </c>
      <c r="CH66" s="14" t="e">
        <f>CH44/CH40</f>
        <v>#DIV/0!</v>
      </c>
      <c r="CI66" s="14" t="e">
        <f>CI44/CI40</f>
        <v>#DIV/0!</v>
      </c>
      <c r="CJ66" s="14">
        <f>CJ44/CJ40</f>
        <v>9.9297752808988768E-2</v>
      </c>
      <c r="CK66" s="14">
        <f>CK44/CK40</f>
        <v>9.6435182420732068E-2</v>
      </c>
    </row>
    <row r="67" spans="2:89" s="10" customFormat="1">
      <c r="B67" s="10" t="s">
        <v>58</v>
      </c>
      <c r="C67" s="14">
        <f t="shared" ref="C67:BN67" si="61">C52/C40</f>
        <v>0.14970355731225296</v>
      </c>
      <c r="D67" s="14">
        <f t="shared" si="61"/>
        <v>1.4155712841253791E-2</v>
      </c>
      <c r="E67" s="14">
        <f t="shared" si="61"/>
        <v>5.4726368159203984E-3</v>
      </c>
      <c r="F67" s="14">
        <f t="shared" si="61"/>
        <v>0.13259402121504341</v>
      </c>
      <c r="G67" s="14">
        <f t="shared" si="61"/>
        <v>2.5185185185185185E-2</v>
      </c>
      <c r="H67" s="14">
        <f t="shared" si="61"/>
        <v>-0.59211159211159214</v>
      </c>
      <c r="I67" s="14">
        <f t="shared" si="61"/>
        <v>-0.75816326530612244</v>
      </c>
      <c r="J67" s="14">
        <f t="shared" si="61"/>
        <v>0.11981327800829876</v>
      </c>
      <c r="K67" s="14">
        <f t="shared" si="61"/>
        <v>0.13100208768267224</v>
      </c>
      <c r="L67" s="14">
        <f t="shared" si="61"/>
        <v>0.17382617382617382</v>
      </c>
      <c r="M67" s="14">
        <f t="shared" si="61"/>
        <v>0.16727272727272727</v>
      </c>
      <c r="N67" s="14">
        <f t="shared" si="61"/>
        <v>0.12</v>
      </c>
      <c r="O67" s="14">
        <f t="shared" si="61"/>
        <v>9.2849519743863393E-2</v>
      </c>
      <c r="P67" s="14">
        <f t="shared" si="61"/>
        <v>9.2532467532467536E-2</v>
      </c>
      <c r="Q67" s="14">
        <f t="shared" si="61"/>
        <v>0.10503751339764202</v>
      </c>
      <c r="R67" s="14">
        <f t="shared" si="61"/>
        <v>-1.9622538293216629</v>
      </c>
      <c r="S67" s="14">
        <f t="shared" si="61"/>
        <v>-0.34236311239193085</v>
      </c>
      <c r="T67" s="14">
        <f t="shared" si="61"/>
        <v>6.4285714285714279E-2</v>
      </c>
      <c r="U67" s="14">
        <f t="shared" si="61"/>
        <v>-0.18739352640545145</v>
      </c>
      <c r="V67" s="14">
        <f t="shared" si="61"/>
        <v>0.12161415146489774</v>
      </c>
      <c r="W67" s="14">
        <f t="shared" si="61"/>
        <v>5.936599423631124E-2</v>
      </c>
      <c r="X67" s="14">
        <f t="shared" si="61"/>
        <v>6.9096844396082699E-2</v>
      </c>
      <c r="Y67" s="14">
        <f t="shared" si="61"/>
        <v>0.11104847801578353</v>
      </c>
      <c r="Z67" s="14">
        <f t="shared" si="61"/>
        <v>-3.6839295248264813E-2</v>
      </c>
      <c r="AA67" s="14">
        <f t="shared" si="61"/>
        <v>3.4669555796316358E-2</v>
      </c>
      <c r="AB67" s="14">
        <f t="shared" si="61"/>
        <v>-0.26126126126126126</v>
      </c>
      <c r="AC67" s="14">
        <f t="shared" si="61"/>
        <v>1.3574660633484163E-2</v>
      </c>
      <c r="AD67" s="14">
        <f t="shared" si="61"/>
        <v>0.11882799782962561</v>
      </c>
      <c r="AE67" s="14">
        <f t="shared" si="61"/>
        <v>-0.1583686440677966</v>
      </c>
      <c r="AF67" s="14">
        <f t="shared" si="61"/>
        <v>-0.1147623862487361</v>
      </c>
      <c r="AG67" s="14">
        <f t="shared" si="61"/>
        <v>0.14918533604887985</v>
      </c>
      <c r="AH67" s="14">
        <f t="shared" si="61"/>
        <v>-0.15710253998118531</v>
      </c>
      <c r="AI67" s="14">
        <f t="shared" si="61"/>
        <v>0.16532066508313539</v>
      </c>
      <c r="AJ67" s="14">
        <f t="shared" si="61"/>
        <v>6.3897763578274758E-2</v>
      </c>
      <c r="AK67" s="14">
        <f t="shared" si="61"/>
        <v>0.16851851851851851</v>
      </c>
      <c r="AL67" s="14">
        <f t="shared" si="61"/>
        <v>9.9689853788214447E-2</v>
      </c>
      <c r="AM67" s="14">
        <f t="shared" si="61"/>
        <v>0.16966696669666967</v>
      </c>
      <c r="AN67" s="14">
        <f t="shared" si="61"/>
        <v>0.13242009132420091</v>
      </c>
      <c r="AO67" s="14">
        <f t="shared" si="61"/>
        <v>0.1710802858343842</v>
      </c>
      <c r="AP67" s="14">
        <f t="shared" si="61"/>
        <v>0.157429718875502</v>
      </c>
      <c r="AQ67" s="14">
        <f t="shared" si="61"/>
        <v>0.16213957375679064</v>
      </c>
      <c r="AR67" s="14">
        <f t="shared" si="61"/>
        <v>0.12456071846934791</v>
      </c>
      <c r="AS67" s="14">
        <f t="shared" si="61"/>
        <v>0.21700762133975129</v>
      </c>
      <c r="AT67" s="14">
        <f t="shared" si="61"/>
        <v>0.1459521094640821</v>
      </c>
      <c r="AU67" s="14">
        <f t="shared" si="61"/>
        <v>0.14148503878832655</v>
      </c>
      <c r="AV67" s="14">
        <f t="shared" si="61"/>
        <v>7.2314049586776855E-2</v>
      </c>
      <c r="AW67" s="14" t="e">
        <f t="shared" si="61"/>
        <v>#DIV/0!</v>
      </c>
      <c r="AX67" s="14" t="e">
        <f t="shared" si="61"/>
        <v>#DIV/0!</v>
      </c>
      <c r="AY67" s="14" t="e">
        <f t="shared" si="61"/>
        <v>#DIV/0!</v>
      </c>
      <c r="AZ67" s="14" t="e">
        <f t="shared" si="61"/>
        <v>#DIV/0!</v>
      </c>
      <c r="BA67" s="14" t="e">
        <f t="shared" si="61"/>
        <v>#DIV/0!</v>
      </c>
      <c r="BB67" s="14" t="e">
        <f t="shared" si="61"/>
        <v>#DIV/0!</v>
      </c>
      <c r="BC67" s="14" t="e">
        <f t="shared" si="61"/>
        <v>#DIV/0!</v>
      </c>
      <c r="BD67" s="14" t="e">
        <f t="shared" si="61"/>
        <v>#DIV/0!</v>
      </c>
      <c r="BE67" s="14" t="e">
        <f t="shared" si="61"/>
        <v>#DIV/0!</v>
      </c>
      <c r="BF67" s="14" t="e">
        <f t="shared" si="61"/>
        <v>#DIV/0!</v>
      </c>
      <c r="BG67" s="14" t="e">
        <f t="shared" si="61"/>
        <v>#DIV/0!</v>
      </c>
      <c r="BH67" s="14" t="e">
        <f t="shared" si="61"/>
        <v>#DIV/0!</v>
      </c>
      <c r="BI67" s="14">
        <f t="shared" si="61"/>
        <v>0.16287990557686632</v>
      </c>
      <c r="BJ67" s="14">
        <f t="shared" si="61"/>
        <v>0.14281744929146986</v>
      </c>
      <c r="BK67" s="14">
        <f t="shared" si="61"/>
        <v>0.19648426424723561</v>
      </c>
      <c r="BL67" s="14">
        <f t="shared" si="61"/>
        <v>0.15704697986577182</v>
      </c>
      <c r="BM67" s="14">
        <f t="shared" si="61"/>
        <v>0.17500648172154523</v>
      </c>
      <c r="BN67" s="14">
        <f t="shared" si="61"/>
        <v>0.12621359223300971</v>
      </c>
      <c r="BO67" s="14">
        <f t="shared" ref="BO67" si="62">BO52/BO40</f>
        <v>0.17415062960323116</v>
      </c>
      <c r="BP67" s="14">
        <f>BP52/BP40</f>
        <v>0.14865161148870862</v>
      </c>
      <c r="BV67" s="14">
        <f>BV52/BV40</f>
        <v>-0.10918417195896434</v>
      </c>
      <c r="BW67" s="14">
        <f>BW52/BW40</f>
        <v>-8.4037919549064824E-2</v>
      </c>
      <c r="BX67" s="14">
        <f>BX52/BX40</f>
        <v>0.11860404093413802</v>
      </c>
      <c r="BY67" s="14">
        <f>BY52/BY40</f>
        <v>-0.5335908401158781</v>
      </c>
      <c r="BZ67" s="14">
        <f>BZ52/BZ40</f>
        <v>1.6799664006719867E-2</v>
      </c>
      <c r="CA67" s="14">
        <f>CA52/CA40</f>
        <v>-4.0785907859078589E-2</v>
      </c>
      <c r="CB67" s="14">
        <f>CB52/CB40</f>
        <v>-3.7849404841513973E-2</v>
      </c>
      <c r="CC67" s="14">
        <f>CC52/CC40</f>
        <v>5.3303124254710232E-2</v>
      </c>
      <c r="CD67" s="14">
        <f>CD52/CD40</f>
        <v>0.14202033598585323</v>
      </c>
      <c r="CE67" s="14">
        <f>CE52/CE40</f>
        <v>0.15331365163392038</v>
      </c>
      <c r="CF67" s="14">
        <f>CF52/CF40</f>
        <v>0.14140661387983233</v>
      </c>
      <c r="CG67" s="14" t="e">
        <f>CG52/CG40</f>
        <v>#DIV/0!</v>
      </c>
      <c r="CH67" s="14" t="e">
        <f>CH52/CH40</f>
        <v>#DIV/0!</v>
      </c>
      <c r="CI67" s="14" t="e">
        <f>CI52/CI40</f>
        <v>#DIV/0!</v>
      </c>
      <c r="CJ67" s="14">
        <f>CJ52/CJ40</f>
        <v>0.1646067415730337</v>
      </c>
      <c r="CK67" s="14">
        <f>CK52/CK40</f>
        <v>0.15560995999283453</v>
      </c>
    </row>
    <row r="68" spans="2:89" s="10" customFormat="1">
      <c r="B68" s="10" t="s">
        <v>57</v>
      </c>
      <c r="C68" s="14">
        <f t="shared" ref="C68:BN68" si="63">C57/C40</f>
        <v>4.8418972332015808E-2</v>
      </c>
      <c r="D68" s="14">
        <f t="shared" si="63"/>
        <v>-3.1344792719919107E-2</v>
      </c>
      <c r="E68" s="14">
        <f t="shared" si="63"/>
        <v>-6.4676616915422883E-3</v>
      </c>
      <c r="F68" s="14">
        <f t="shared" si="63"/>
        <v>7.6181292189006752E-2</v>
      </c>
      <c r="G68" s="14">
        <f t="shared" si="63"/>
        <v>-4.6419753086419754E-2</v>
      </c>
      <c r="H68" s="14">
        <f t="shared" si="63"/>
        <v>-0.51755651755651755</v>
      </c>
      <c r="I68" s="14">
        <f t="shared" si="63"/>
        <v>-0.81071428571428572</v>
      </c>
      <c r="J68" s="14">
        <f t="shared" si="63"/>
        <v>5.0829875518672199E-2</v>
      </c>
      <c r="K68" s="14">
        <f t="shared" si="63"/>
        <v>9.916492693110647E-2</v>
      </c>
      <c r="L68" s="14">
        <f t="shared" si="63"/>
        <v>0.11788211788211789</v>
      </c>
      <c r="M68" s="14">
        <f t="shared" si="63"/>
        <v>2.3896103896103898E-2</v>
      </c>
      <c r="N68" s="14">
        <f t="shared" si="63"/>
        <v>7.3924050632911395E-2</v>
      </c>
      <c r="O68" s="14">
        <f t="shared" si="63"/>
        <v>7.577374599786553E-2</v>
      </c>
      <c r="P68" s="14">
        <f t="shared" si="63"/>
        <v>5.7900432900432904E-2</v>
      </c>
      <c r="Q68" s="14">
        <f t="shared" si="63"/>
        <v>6.0557341907824226E-2</v>
      </c>
      <c r="R68" s="14">
        <f t="shared" si="63"/>
        <v>-1.9573304157549234</v>
      </c>
      <c r="S68" s="14">
        <f t="shared" si="63"/>
        <v>-0.38270893371757925</v>
      </c>
      <c r="T68" s="14">
        <f t="shared" si="63"/>
        <v>3.3516483516483515E-2</v>
      </c>
      <c r="U68" s="14">
        <f t="shared" si="63"/>
        <v>-0.20102214650766609</v>
      </c>
      <c r="V68" s="14">
        <f t="shared" si="63"/>
        <v>7.1862907683803212E-2</v>
      </c>
      <c r="W68" s="14">
        <f t="shared" si="63"/>
        <v>-2.881844380403458E-3</v>
      </c>
      <c r="X68" s="14">
        <f t="shared" si="63"/>
        <v>5.8759521218715999E-2</v>
      </c>
      <c r="Y68" s="14">
        <f t="shared" si="63"/>
        <v>7.4971815107102588E-2</v>
      </c>
      <c r="Z68" s="14">
        <f t="shared" si="63"/>
        <v>2.1356113187399892E-3</v>
      </c>
      <c r="AA68" s="14">
        <f t="shared" si="63"/>
        <v>2.3293607800650054E-2</v>
      </c>
      <c r="AB68" s="14">
        <f t="shared" si="63"/>
        <v>-0.1584525702172761</v>
      </c>
      <c r="AC68" s="14">
        <f t="shared" si="63"/>
        <v>-5.6561085972850684E-4</v>
      </c>
      <c r="AD68" s="14">
        <f t="shared" si="63"/>
        <v>5.5344546934346171E-2</v>
      </c>
      <c r="AE68" s="14">
        <f t="shared" si="63"/>
        <v>-0.1048728813559322</v>
      </c>
      <c r="AF68" s="14">
        <f t="shared" si="63"/>
        <v>-7.1789686552072796E-2</v>
      </c>
      <c r="AG68" s="14">
        <f t="shared" si="63"/>
        <v>0.10285132382892057</v>
      </c>
      <c r="AH68" s="14">
        <f t="shared" si="63"/>
        <v>-9.7365945437441204E-2</v>
      </c>
      <c r="AI68" s="14">
        <f t="shared" si="63"/>
        <v>0.10831353919239906</v>
      </c>
      <c r="AJ68" s="14">
        <f t="shared" si="63"/>
        <v>5.6595162026471933E-2</v>
      </c>
      <c r="AK68" s="14">
        <f t="shared" si="63"/>
        <v>0.13425925925925927</v>
      </c>
      <c r="AL68" s="14">
        <f t="shared" si="63"/>
        <v>6.4687638458130262E-2</v>
      </c>
      <c r="AM68" s="14">
        <f t="shared" si="63"/>
        <v>0.12736273627362737</v>
      </c>
      <c r="AN68" s="14">
        <f t="shared" si="63"/>
        <v>-0.25529265255292655</v>
      </c>
      <c r="AO68" s="14">
        <f t="shared" si="63"/>
        <v>0.12526271542664985</v>
      </c>
      <c r="AP68" s="14">
        <f t="shared" si="63"/>
        <v>0.22289156626506024</v>
      </c>
      <c r="AQ68" s="14">
        <f t="shared" si="63"/>
        <v>0.18052653572921021</v>
      </c>
      <c r="AR68" s="14">
        <f t="shared" si="63"/>
        <v>0.15072237407262787</v>
      </c>
      <c r="AS68" s="14">
        <f t="shared" si="63"/>
        <v>0.17007621339751303</v>
      </c>
      <c r="AT68" s="14">
        <f t="shared" si="63"/>
        <v>5.8532877232991255E-2</v>
      </c>
      <c r="AU68" s="14">
        <f t="shared" si="63"/>
        <v>4.6545991872922056E-2</v>
      </c>
      <c r="AV68" s="14">
        <f t="shared" si="63"/>
        <v>1.3760330578512396</v>
      </c>
      <c r="AW68" s="14" t="e">
        <f t="shared" si="63"/>
        <v>#DIV/0!</v>
      </c>
      <c r="AX68" s="14" t="e">
        <f t="shared" si="63"/>
        <v>#DIV/0!</v>
      </c>
      <c r="AY68" s="14" t="e">
        <f t="shared" si="63"/>
        <v>#DIV/0!</v>
      </c>
      <c r="AZ68" s="14" t="e">
        <f t="shared" si="63"/>
        <v>#DIV/0!</v>
      </c>
      <c r="BA68" s="14" t="e">
        <f t="shared" si="63"/>
        <v>#DIV/0!</v>
      </c>
      <c r="BB68" s="14" t="e">
        <f t="shared" si="63"/>
        <v>#DIV/0!</v>
      </c>
      <c r="BC68" s="14" t="e">
        <f t="shared" si="63"/>
        <v>#DIV/0!</v>
      </c>
      <c r="BD68" s="14" t="e">
        <f t="shared" si="63"/>
        <v>#DIV/0!</v>
      </c>
      <c r="BE68" s="14" t="e">
        <f t="shared" si="63"/>
        <v>#DIV/0!</v>
      </c>
      <c r="BF68" s="14" t="e">
        <f t="shared" si="63"/>
        <v>#DIV/0!</v>
      </c>
      <c r="BG68" s="14" t="e">
        <f t="shared" si="63"/>
        <v>#DIV/0!</v>
      </c>
      <c r="BH68" s="14" t="e">
        <f t="shared" si="63"/>
        <v>#DIV/0!</v>
      </c>
      <c r="BI68" s="14">
        <f t="shared" si="63"/>
        <v>9.2652699911478315E-2</v>
      </c>
      <c r="BJ68" s="14">
        <f t="shared" si="63"/>
        <v>7.5020839121978322E-2</v>
      </c>
      <c r="BK68" s="14">
        <f t="shared" si="63"/>
        <v>0.14289764672526226</v>
      </c>
      <c r="BL68" s="14">
        <f t="shared" si="63"/>
        <v>0.13557046979865772</v>
      </c>
      <c r="BM68" s="14">
        <f t="shared" si="63"/>
        <v>0.12781954887218044</v>
      </c>
      <c r="BN68" s="14">
        <f t="shared" si="63"/>
        <v>7.8155339805825244E-2</v>
      </c>
      <c r="BO68" s="14">
        <f t="shared" ref="BO68" si="64">BO57/BO40</f>
        <v>0.11119030648610122</v>
      </c>
      <c r="BP68" s="14">
        <f>BP57/BP40</f>
        <v>0.12409559307169481</v>
      </c>
      <c r="BV68" s="14">
        <f>BV57/BV40</f>
        <v>-0.12518319491939423</v>
      </c>
      <c r="BW68" s="14">
        <f>BW57/BW40</f>
        <v>-0.13643351268255188</v>
      </c>
      <c r="BX68" s="14">
        <f>BX57/BX40</f>
        <v>5.7858829703489899E-2</v>
      </c>
      <c r="BY68" s="14">
        <f>BY57/BY40</f>
        <v>-0.56118085253138361</v>
      </c>
      <c r="BZ68" s="14">
        <f>BZ57/BZ40</f>
        <v>-1.6939661206775865E-2</v>
      </c>
      <c r="CA68" s="14">
        <f>CA57/CA40</f>
        <v>-1.6124661246612465E-2</v>
      </c>
      <c r="CB68" s="14">
        <f>CB57/CB40</f>
        <v>-3.1964691721278589E-2</v>
      </c>
      <c r="CC68" s="14">
        <f>CC57/CC40</f>
        <v>4.1378487956117337E-2</v>
      </c>
      <c r="CD68" s="14">
        <f>CD57/CD40</f>
        <v>1.1494252873563218E-2</v>
      </c>
      <c r="CE68" s="14">
        <f>CE57/CE40</f>
        <v>0.17011096406393159</v>
      </c>
      <c r="CF68" s="14">
        <f>CF57/CF40</f>
        <v>0.43782021425244527</v>
      </c>
      <c r="CG68" s="14" t="e">
        <f>CG57/CG40</f>
        <v>#DIV/0!</v>
      </c>
      <c r="CH68" s="14" t="e">
        <f>CH57/CH40</f>
        <v>#DIV/0!</v>
      </c>
      <c r="CI68" s="14" t="e">
        <f>CI57/CI40</f>
        <v>#DIV/0!</v>
      </c>
      <c r="CJ68" s="14">
        <f>CJ57/CJ40</f>
        <v>0.11186797752808988</v>
      </c>
      <c r="CK68" s="14">
        <f>CK57/CK40</f>
        <v>0.11040783423896817</v>
      </c>
    </row>
    <row r="70" spans="2:89">
      <c r="B70" s="1" t="s">
        <v>208</v>
      </c>
      <c r="BL70" s="1">
        <v>866</v>
      </c>
      <c r="BM70" s="1">
        <v>2329</v>
      </c>
      <c r="BN70" s="1">
        <v>2913</v>
      </c>
      <c r="BO70" s="1">
        <v>2502</v>
      </c>
      <c r="BP70" s="1">
        <v>414</v>
      </c>
      <c r="CF70" s="1">
        <f>AV70</f>
        <v>0</v>
      </c>
      <c r="CG70" s="1">
        <f>AZ70</f>
        <v>0</v>
      </c>
      <c r="CH70" s="1">
        <f>BD70</f>
        <v>0</v>
      </c>
      <c r="CI70" s="1">
        <f>BH70</f>
        <v>0</v>
      </c>
      <c r="CJ70" s="1">
        <f>BL70</f>
        <v>866</v>
      </c>
      <c r="CK70" s="1">
        <f>BP70</f>
        <v>414</v>
      </c>
    </row>
    <row r="71" spans="2:89">
      <c r="B71" s="1" t="s">
        <v>209</v>
      </c>
      <c r="BL71" s="1">
        <v>2229</v>
      </c>
      <c r="BM71" s="1">
        <v>2304</v>
      </c>
      <c r="BN71" s="1">
        <v>2400</v>
      </c>
      <c r="BO71" s="1">
        <v>2501</v>
      </c>
      <c r="BP71" s="1">
        <v>2558</v>
      </c>
      <c r="CF71" s="1">
        <f t="shared" ref="CF71:CF80" si="65">AV71</f>
        <v>0</v>
      </c>
      <c r="CG71" s="1">
        <f t="shared" ref="CG71:CG80" si="66">AZ71</f>
        <v>0</v>
      </c>
      <c r="CH71" s="1">
        <f t="shared" ref="CH71:CH80" si="67">BD71</f>
        <v>0</v>
      </c>
      <c r="CI71" s="1">
        <f t="shared" ref="CI71:CI80" si="68">BH71</f>
        <v>0</v>
      </c>
      <c r="CJ71" s="1">
        <f t="shared" ref="CJ71:CJ80" si="69">BL71</f>
        <v>2229</v>
      </c>
      <c r="CK71" s="1">
        <f t="shared" ref="CK71:CK80" si="70">BP71</f>
        <v>2558</v>
      </c>
    </row>
    <row r="72" spans="2:89">
      <c r="B72" s="1" t="s">
        <v>210</v>
      </c>
      <c r="BL72" s="1">
        <v>2484</v>
      </c>
      <c r="BM72" s="1">
        <v>2561</v>
      </c>
      <c r="BN72" s="1">
        <v>2608</v>
      </c>
      <c r="BO72" s="1">
        <v>2753</v>
      </c>
      <c r="BP72" s="1">
        <v>2810</v>
      </c>
      <c r="CF72" s="1">
        <f t="shared" si="65"/>
        <v>0</v>
      </c>
      <c r="CG72" s="1">
        <f t="shared" si="66"/>
        <v>0</v>
      </c>
      <c r="CH72" s="1">
        <f t="shared" si="67"/>
        <v>0</v>
      </c>
      <c r="CI72" s="1">
        <f t="shared" si="68"/>
        <v>0</v>
      </c>
      <c r="CJ72" s="1">
        <f t="shared" si="69"/>
        <v>2484</v>
      </c>
      <c r="CK72" s="1">
        <f t="shared" si="70"/>
        <v>2810</v>
      </c>
    </row>
    <row r="73" spans="2:89">
      <c r="B73" s="1" t="s">
        <v>211</v>
      </c>
      <c r="BL73" s="1">
        <v>315</v>
      </c>
      <c r="BM73" s="1">
        <v>319</v>
      </c>
      <c r="BN73" s="1">
        <v>315</v>
      </c>
      <c r="BO73" s="1">
        <v>332</v>
      </c>
      <c r="BP73" s="1">
        <v>307</v>
      </c>
      <c r="CF73" s="1">
        <f t="shared" si="65"/>
        <v>0</v>
      </c>
      <c r="CG73" s="1">
        <f t="shared" si="66"/>
        <v>0</v>
      </c>
      <c r="CH73" s="1">
        <f t="shared" si="67"/>
        <v>0</v>
      </c>
      <c r="CI73" s="1">
        <f t="shared" si="68"/>
        <v>0</v>
      </c>
      <c r="CJ73" s="1">
        <f t="shared" si="69"/>
        <v>315</v>
      </c>
      <c r="CK73" s="1">
        <f t="shared" si="70"/>
        <v>307</v>
      </c>
    </row>
    <row r="74" spans="2:89">
      <c r="B74" s="1" t="s">
        <v>212</v>
      </c>
      <c r="BL74" s="1">
        <v>621</v>
      </c>
      <c r="BM74" s="1">
        <v>671</v>
      </c>
      <c r="BN74" s="1">
        <v>756</v>
      </c>
      <c r="BO74" s="1">
        <v>674</v>
      </c>
      <c r="BP74" s="1">
        <v>831</v>
      </c>
      <c r="CF74" s="1">
        <f t="shared" si="65"/>
        <v>0</v>
      </c>
      <c r="CG74" s="1">
        <f t="shared" si="66"/>
        <v>0</v>
      </c>
      <c r="CH74" s="1">
        <f t="shared" si="67"/>
        <v>0</v>
      </c>
      <c r="CI74" s="1">
        <f t="shared" si="68"/>
        <v>0</v>
      </c>
      <c r="CJ74" s="1">
        <f t="shared" si="69"/>
        <v>621</v>
      </c>
      <c r="CK74" s="1">
        <f t="shared" si="70"/>
        <v>831</v>
      </c>
    </row>
    <row r="75" spans="2:89">
      <c r="B75" s="1" t="s">
        <v>213</v>
      </c>
      <c r="BL75" s="1">
        <v>2859</v>
      </c>
      <c r="BM75" s="1">
        <v>2897</v>
      </c>
      <c r="BN75" s="1">
        <v>2951</v>
      </c>
      <c r="BO75" s="1">
        <v>3072</v>
      </c>
      <c r="BP75" s="1">
        <v>3294</v>
      </c>
      <c r="CF75" s="1">
        <f t="shared" si="65"/>
        <v>0</v>
      </c>
      <c r="CG75" s="1">
        <f t="shared" si="66"/>
        <v>0</v>
      </c>
      <c r="CH75" s="1">
        <f t="shared" si="67"/>
        <v>0</v>
      </c>
      <c r="CI75" s="1">
        <f t="shared" si="68"/>
        <v>0</v>
      </c>
      <c r="CJ75" s="1">
        <f t="shared" si="69"/>
        <v>2859</v>
      </c>
      <c r="CK75" s="1">
        <f t="shared" si="70"/>
        <v>3294</v>
      </c>
    </row>
    <row r="76" spans="2:89">
      <c r="B76" s="1" t="s">
        <v>214</v>
      </c>
      <c r="BL76" s="1">
        <v>14387</v>
      </c>
      <c r="BM76" s="1">
        <v>14361</v>
      </c>
      <c r="BN76" s="1">
        <v>14397</v>
      </c>
      <c r="BO76" s="1">
        <v>15033</v>
      </c>
      <c r="BP76" s="1">
        <v>17089</v>
      </c>
      <c r="CF76" s="1">
        <f t="shared" si="65"/>
        <v>0</v>
      </c>
      <c r="CG76" s="1">
        <f t="shared" si="66"/>
        <v>0</v>
      </c>
      <c r="CH76" s="1">
        <f t="shared" si="67"/>
        <v>0</v>
      </c>
      <c r="CI76" s="1">
        <f t="shared" si="68"/>
        <v>0</v>
      </c>
      <c r="CJ76" s="1">
        <f t="shared" si="69"/>
        <v>14387</v>
      </c>
      <c r="CK76" s="1">
        <f t="shared" si="70"/>
        <v>17089</v>
      </c>
    </row>
    <row r="77" spans="2:89">
      <c r="B77" s="1" t="s">
        <v>215</v>
      </c>
      <c r="BL77" s="1">
        <v>6003</v>
      </c>
      <c r="BM77" s="1">
        <v>5839</v>
      </c>
      <c r="BN77" s="1">
        <v>5417</v>
      </c>
      <c r="BO77" s="1">
        <v>5754</v>
      </c>
      <c r="BP77" s="1">
        <v>6684</v>
      </c>
      <c r="CF77" s="1">
        <f t="shared" si="65"/>
        <v>0</v>
      </c>
      <c r="CG77" s="1">
        <f t="shared" si="66"/>
        <v>0</v>
      </c>
      <c r="CH77" s="1">
        <f t="shared" si="67"/>
        <v>0</v>
      </c>
      <c r="CI77" s="1">
        <f t="shared" si="68"/>
        <v>0</v>
      </c>
      <c r="CJ77" s="1">
        <f t="shared" si="69"/>
        <v>6003</v>
      </c>
      <c r="CK77" s="1">
        <f t="shared" si="70"/>
        <v>6684</v>
      </c>
    </row>
    <row r="78" spans="2:89">
      <c r="B78" s="1" t="s">
        <v>216</v>
      </c>
      <c r="BL78" s="1">
        <v>3841</v>
      </c>
      <c r="BM78" s="1">
        <v>3792</v>
      </c>
      <c r="BN78" s="1">
        <v>3801</v>
      </c>
      <c r="BO78" s="1">
        <v>3816</v>
      </c>
      <c r="BP78" s="1">
        <v>3655</v>
      </c>
      <c r="CF78" s="1">
        <f t="shared" si="65"/>
        <v>0</v>
      </c>
      <c r="CG78" s="1">
        <f t="shared" si="66"/>
        <v>0</v>
      </c>
      <c r="CH78" s="1">
        <f t="shared" si="67"/>
        <v>0</v>
      </c>
      <c r="CI78" s="1">
        <f t="shared" si="68"/>
        <v>0</v>
      </c>
      <c r="CJ78" s="1">
        <f t="shared" si="69"/>
        <v>3841</v>
      </c>
      <c r="CK78" s="1">
        <f t="shared" si="70"/>
        <v>3655</v>
      </c>
    </row>
    <row r="79" spans="2:89">
      <c r="B79" s="1" t="s">
        <v>217</v>
      </c>
      <c r="BL79" s="1">
        <v>1531</v>
      </c>
      <c r="BM79" s="1">
        <v>1596</v>
      </c>
      <c r="BN79" s="1">
        <v>1550</v>
      </c>
      <c r="BO79" s="1">
        <v>1642</v>
      </c>
      <c r="BP79" s="1">
        <v>1753</v>
      </c>
      <c r="CF79" s="1">
        <f t="shared" si="65"/>
        <v>0</v>
      </c>
      <c r="CG79" s="1">
        <f t="shared" si="66"/>
        <v>0</v>
      </c>
      <c r="CH79" s="1">
        <f t="shared" si="67"/>
        <v>0</v>
      </c>
      <c r="CI79" s="1">
        <f t="shared" si="68"/>
        <v>0</v>
      </c>
      <c r="CJ79" s="1">
        <f t="shared" si="69"/>
        <v>1531</v>
      </c>
      <c r="CK79" s="1">
        <f t="shared" si="70"/>
        <v>1753</v>
      </c>
    </row>
    <row r="80" spans="2:89">
      <c r="B80" s="1" t="s">
        <v>218</v>
      </c>
      <c r="AS80" s="1">
        <f t="shared" ref="AS80:BO80" si="71">SUM(AS70:AS79)</f>
        <v>0</v>
      </c>
      <c r="AT80" s="1">
        <f t="shared" si="71"/>
        <v>0</v>
      </c>
      <c r="AU80" s="1">
        <f t="shared" si="71"/>
        <v>0</v>
      </c>
      <c r="AV80" s="1">
        <f t="shared" si="71"/>
        <v>0</v>
      </c>
      <c r="AW80" s="1">
        <f t="shared" si="71"/>
        <v>0</v>
      </c>
      <c r="AX80" s="1">
        <f t="shared" si="71"/>
        <v>0</v>
      </c>
      <c r="AY80" s="1">
        <f t="shared" si="71"/>
        <v>0</v>
      </c>
      <c r="AZ80" s="1">
        <f t="shared" si="71"/>
        <v>0</v>
      </c>
      <c r="BA80" s="1">
        <f t="shared" si="71"/>
        <v>0</v>
      </c>
      <c r="BB80" s="1">
        <f t="shared" si="71"/>
        <v>0</v>
      </c>
      <c r="BC80" s="1">
        <f t="shared" si="71"/>
        <v>0</v>
      </c>
      <c r="BD80" s="1">
        <f t="shared" si="71"/>
        <v>0</v>
      </c>
      <c r="BE80" s="1">
        <f t="shared" si="71"/>
        <v>0</v>
      </c>
      <c r="BF80" s="1">
        <f t="shared" si="71"/>
        <v>0</v>
      </c>
      <c r="BG80" s="1">
        <f t="shared" si="71"/>
        <v>0</v>
      </c>
      <c r="BH80" s="1">
        <f t="shared" si="71"/>
        <v>0</v>
      </c>
      <c r="BI80" s="1">
        <f t="shared" si="71"/>
        <v>0</v>
      </c>
      <c r="BJ80" s="1">
        <f t="shared" si="71"/>
        <v>0</v>
      </c>
      <c r="BK80" s="1">
        <f t="shared" si="71"/>
        <v>0</v>
      </c>
      <c r="BL80" s="1">
        <f t="shared" si="71"/>
        <v>35136</v>
      </c>
      <c r="BM80" s="1">
        <f t="shared" si="71"/>
        <v>36669</v>
      </c>
      <c r="BN80" s="1">
        <f t="shared" si="71"/>
        <v>37108</v>
      </c>
      <c r="BO80" s="1">
        <f t="shared" si="71"/>
        <v>38079</v>
      </c>
      <c r="BP80" s="1">
        <f>SUM(BP70:BP79)</f>
        <v>39395</v>
      </c>
      <c r="CF80" s="1">
        <f t="shared" si="65"/>
        <v>0</v>
      </c>
      <c r="CG80" s="1">
        <f t="shared" si="66"/>
        <v>0</v>
      </c>
      <c r="CH80" s="1">
        <f t="shared" si="67"/>
        <v>0</v>
      </c>
      <c r="CI80" s="1">
        <f t="shared" si="68"/>
        <v>0</v>
      </c>
      <c r="CJ80" s="1">
        <f t="shared" si="69"/>
        <v>35136</v>
      </c>
      <c r="CK80" s="1">
        <f t="shared" si="70"/>
        <v>39395</v>
      </c>
    </row>
    <row r="82" spans="2:89">
      <c r="B82" s="1" t="s">
        <v>219</v>
      </c>
      <c r="BL82" s="1">
        <v>531</v>
      </c>
      <c r="BM82" s="1">
        <v>1085</v>
      </c>
      <c r="BN82" s="1">
        <v>1580</v>
      </c>
      <c r="BO82" s="1">
        <v>1652</v>
      </c>
      <c r="BP82" s="1">
        <v>1778</v>
      </c>
      <c r="CF82" s="1">
        <f t="shared" ref="CF82:CF90" si="72">AV82</f>
        <v>0</v>
      </c>
      <c r="CG82" s="1">
        <f t="shared" ref="CG82:CG90" si="73">AZ82</f>
        <v>0</v>
      </c>
      <c r="CH82" s="1">
        <f t="shared" ref="CH82:CH90" si="74">BD82</f>
        <v>0</v>
      </c>
      <c r="CI82" s="1">
        <f t="shared" ref="CI82:CI90" si="75">BH82</f>
        <v>0</v>
      </c>
      <c r="CJ82" s="1">
        <f t="shared" ref="CJ82:CJ90" si="76">BL82</f>
        <v>531</v>
      </c>
      <c r="CK82" s="1">
        <f t="shared" ref="CK82:CK90" si="77">BP82</f>
        <v>1778</v>
      </c>
    </row>
    <row r="83" spans="2:89">
      <c r="B83" s="1" t="s">
        <v>220</v>
      </c>
      <c r="BL83" s="1">
        <v>943</v>
      </c>
      <c r="BM83" s="1">
        <v>921</v>
      </c>
      <c r="BN83" s="1">
        <v>906</v>
      </c>
      <c r="BO83" s="1">
        <v>908</v>
      </c>
      <c r="BP83" s="1">
        <v>960</v>
      </c>
      <c r="CF83" s="1">
        <f t="shared" si="72"/>
        <v>0</v>
      </c>
      <c r="CG83" s="1">
        <f t="shared" si="73"/>
        <v>0</v>
      </c>
      <c r="CH83" s="1">
        <f t="shared" si="74"/>
        <v>0</v>
      </c>
      <c r="CI83" s="1">
        <f t="shared" si="75"/>
        <v>0</v>
      </c>
      <c r="CJ83" s="1">
        <f t="shared" si="76"/>
        <v>943</v>
      </c>
      <c r="CK83" s="1">
        <f t="shared" si="77"/>
        <v>960</v>
      </c>
    </row>
    <row r="84" spans="2:89">
      <c r="B84" s="1" t="s">
        <v>221</v>
      </c>
      <c r="BL84" s="1">
        <v>2646</v>
      </c>
      <c r="BM84" s="1">
        <v>2083</v>
      </c>
      <c r="BN84" s="1">
        <v>2320</v>
      </c>
      <c r="BO84" s="1">
        <v>2460</v>
      </c>
      <c r="BP84" s="1">
        <v>2773</v>
      </c>
      <c r="CF84" s="1">
        <f t="shared" si="72"/>
        <v>0</v>
      </c>
      <c r="CG84" s="1">
        <f t="shared" si="73"/>
        <v>0</v>
      </c>
      <c r="CH84" s="1">
        <f t="shared" si="74"/>
        <v>0</v>
      </c>
      <c r="CI84" s="1">
        <f t="shared" si="75"/>
        <v>0</v>
      </c>
      <c r="CJ84" s="1">
        <f t="shared" si="76"/>
        <v>2646</v>
      </c>
      <c r="CK84" s="1">
        <f t="shared" si="77"/>
        <v>2773</v>
      </c>
    </row>
    <row r="85" spans="2:89">
      <c r="B85" s="1" t="s">
        <v>222</v>
      </c>
      <c r="BL85" s="1">
        <v>814</v>
      </c>
      <c r="BM85" s="1">
        <v>827</v>
      </c>
      <c r="BN85" s="1">
        <v>770</v>
      </c>
      <c r="BO85" s="1">
        <v>891</v>
      </c>
      <c r="BP85" s="1">
        <v>887</v>
      </c>
      <c r="CF85" s="1">
        <f t="shared" si="72"/>
        <v>0</v>
      </c>
      <c r="CG85" s="1">
        <f t="shared" si="73"/>
        <v>0</v>
      </c>
      <c r="CH85" s="1">
        <f t="shared" si="74"/>
        <v>0</v>
      </c>
      <c r="CI85" s="1">
        <f t="shared" si="75"/>
        <v>0</v>
      </c>
      <c r="CJ85" s="1">
        <f t="shared" si="76"/>
        <v>814</v>
      </c>
      <c r="CK85" s="1">
        <f t="shared" si="77"/>
        <v>887</v>
      </c>
    </row>
    <row r="86" spans="2:89">
      <c r="B86" s="1" t="s">
        <v>225</v>
      </c>
      <c r="BL86" s="1">
        <v>8571</v>
      </c>
      <c r="BM86" s="1">
        <v>9534</v>
      </c>
      <c r="BN86" s="1">
        <v>8991</v>
      </c>
      <c r="BO86" s="1">
        <v>9233</v>
      </c>
      <c r="BP86" s="1">
        <v>8968</v>
      </c>
      <c r="CF86" s="1">
        <f t="shared" si="72"/>
        <v>0</v>
      </c>
      <c r="CG86" s="1">
        <f t="shared" si="73"/>
        <v>0</v>
      </c>
      <c r="CH86" s="1">
        <f t="shared" si="74"/>
        <v>0</v>
      </c>
      <c r="CI86" s="1">
        <f t="shared" si="75"/>
        <v>0</v>
      </c>
      <c r="CJ86" s="1">
        <f t="shared" si="76"/>
        <v>8571</v>
      </c>
      <c r="CK86" s="1">
        <f t="shared" si="77"/>
        <v>8968</v>
      </c>
    </row>
    <row r="87" spans="2:89">
      <c r="B87" s="1" t="s">
        <v>223</v>
      </c>
      <c r="BL87" s="1">
        <v>134</v>
      </c>
      <c r="BM87" s="1">
        <v>132</v>
      </c>
      <c r="BN87" s="1">
        <v>132</v>
      </c>
      <c r="BO87" s="1">
        <v>138</v>
      </c>
      <c r="BP87" s="1">
        <v>155</v>
      </c>
      <c r="CF87" s="1">
        <f t="shared" si="72"/>
        <v>0</v>
      </c>
      <c r="CG87" s="1">
        <f t="shared" si="73"/>
        <v>0</v>
      </c>
      <c r="CH87" s="1">
        <f t="shared" si="74"/>
        <v>0</v>
      </c>
      <c r="CI87" s="1">
        <f t="shared" si="75"/>
        <v>0</v>
      </c>
      <c r="CJ87" s="1">
        <f t="shared" si="76"/>
        <v>134</v>
      </c>
      <c r="CK87" s="1">
        <f t="shared" si="77"/>
        <v>155</v>
      </c>
    </row>
    <row r="88" spans="2:89">
      <c r="B88" s="1" t="s">
        <v>224</v>
      </c>
      <c r="BL88" s="1">
        <v>1967</v>
      </c>
      <c r="BM88" s="1">
        <v>1919</v>
      </c>
      <c r="BN88" s="1">
        <v>1800</v>
      </c>
      <c r="BO88" s="1">
        <v>1841</v>
      </c>
      <c r="BP88" s="1">
        <v>1870</v>
      </c>
      <c r="CF88" s="1">
        <f t="shared" si="72"/>
        <v>0</v>
      </c>
      <c r="CG88" s="1">
        <f t="shared" si="73"/>
        <v>0</v>
      </c>
      <c r="CH88" s="1">
        <f t="shared" si="74"/>
        <v>0</v>
      </c>
      <c r="CI88" s="1">
        <f t="shared" si="75"/>
        <v>0</v>
      </c>
      <c r="CJ88" s="1">
        <f t="shared" si="76"/>
        <v>1967</v>
      </c>
      <c r="CK88" s="1">
        <f t="shared" si="77"/>
        <v>1870</v>
      </c>
    </row>
    <row r="89" spans="2:89">
      <c r="B89" s="1" t="s">
        <v>226</v>
      </c>
      <c r="BL89" s="1">
        <v>19530</v>
      </c>
      <c r="BM89" s="1">
        <v>20168</v>
      </c>
      <c r="BN89" s="1">
        <v>20609</v>
      </c>
      <c r="BO89" s="1">
        <v>20956</v>
      </c>
      <c r="BP89" s="1">
        <v>22003</v>
      </c>
      <c r="CF89" s="1">
        <f t="shared" si="72"/>
        <v>0</v>
      </c>
      <c r="CG89" s="1">
        <f t="shared" si="73"/>
        <v>0</v>
      </c>
      <c r="CH89" s="1">
        <f t="shared" si="74"/>
        <v>0</v>
      </c>
      <c r="CI89" s="1">
        <f t="shared" si="75"/>
        <v>0</v>
      </c>
      <c r="CJ89" s="1">
        <f t="shared" si="76"/>
        <v>19530</v>
      </c>
      <c r="CK89" s="1">
        <f t="shared" si="77"/>
        <v>22003</v>
      </c>
    </row>
    <row r="90" spans="2:89">
      <c r="B90" s="1" t="s">
        <v>227</v>
      </c>
      <c r="BL90" s="1">
        <f>SUM(BL82:BL89)</f>
        <v>35136</v>
      </c>
      <c r="BM90" s="1">
        <f>SUM(BM82:BM89)</f>
        <v>36669</v>
      </c>
      <c r="BN90" s="1">
        <f>SUM(BN82:BN89)</f>
        <v>37108</v>
      </c>
      <c r="BO90" s="1">
        <f>SUM(BO82:BO89)</f>
        <v>38079</v>
      </c>
      <c r="BP90" s="1">
        <f>SUM(BP82:BP89)</f>
        <v>39394</v>
      </c>
      <c r="CF90" s="1">
        <f t="shared" si="72"/>
        <v>0</v>
      </c>
      <c r="CG90" s="1">
        <f t="shared" si="73"/>
        <v>0</v>
      </c>
      <c r="CH90" s="1">
        <f t="shared" si="74"/>
        <v>0</v>
      </c>
      <c r="CI90" s="1">
        <f t="shared" si="75"/>
        <v>0</v>
      </c>
      <c r="CJ90" s="1">
        <f t="shared" si="76"/>
        <v>35136</v>
      </c>
      <c r="CK90" s="1">
        <f t="shared" si="77"/>
        <v>39394</v>
      </c>
    </row>
    <row r="92" spans="2:89">
      <c r="B92" s="1" t="s">
        <v>228</v>
      </c>
    </row>
    <row r="93" spans="2:89">
      <c r="B93" s="1" t="s">
        <v>229</v>
      </c>
    </row>
    <row r="94" spans="2:89">
      <c r="B94" s="1" t="s">
        <v>230</v>
      </c>
    </row>
    <row r="95" spans="2:89">
      <c r="B95" s="1" t="s">
        <v>231</v>
      </c>
    </row>
    <row r="96" spans="2:89">
      <c r="B96" s="1" t="s">
        <v>232</v>
      </c>
    </row>
    <row r="97" spans="2:89">
      <c r="B97" s="1" t="s">
        <v>233</v>
      </c>
    </row>
    <row r="98" spans="2:89">
      <c r="B98" s="1" t="s">
        <v>234</v>
      </c>
    </row>
    <row r="100" spans="2:89">
      <c r="B100" s="1" t="s">
        <v>235</v>
      </c>
      <c r="BE100" s="1">
        <v>190</v>
      </c>
      <c r="BF100" s="1">
        <f>848-BE100</f>
        <v>658</v>
      </c>
      <c r="BG100" s="1">
        <f>1546-SUM(BE100:BF100)</f>
        <v>698</v>
      </c>
      <c r="BH100" s="1">
        <f>2503-SUM(BE100:BG100)</f>
        <v>957</v>
      </c>
      <c r="BI100" s="1">
        <v>190</v>
      </c>
      <c r="BJ100" s="1">
        <f>848-BI100</f>
        <v>658</v>
      </c>
      <c r="BK100" s="1">
        <f>1546-SUM(BI100:BJ100)</f>
        <v>698</v>
      </c>
      <c r="BL100" s="1">
        <f>2503-SUM(BI100:BK100)</f>
        <v>957</v>
      </c>
      <c r="BM100" s="1">
        <v>164</v>
      </c>
      <c r="BN100" s="1">
        <f>977-BM100</f>
        <v>813</v>
      </c>
      <c r="BO100" s="1">
        <f>1979-SUM(BM100:BN100)</f>
        <v>1002</v>
      </c>
      <c r="BP100" s="1">
        <f>3435-SUM(BM100:BO100)</f>
        <v>1456</v>
      </c>
      <c r="CF100" s="10">
        <f t="shared" ref="CF100:CF104" si="78">SUM(AS100:AV100)</f>
        <v>0</v>
      </c>
      <c r="CG100" s="10">
        <f t="shared" ref="CG100:CG104" si="79">SUM(AW100:AZ100)</f>
        <v>0</v>
      </c>
      <c r="CH100" s="10">
        <f t="shared" ref="CH100:CH104" si="80">SUM(BA100:BD100)</f>
        <v>0</v>
      </c>
      <c r="CI100" s="10">
        <f t="shared" ref="CI100:CI104" si="81">SUM(BE100:BH100)</f>
        <v>2503</v>
      </c>
      <c r="CJ100" s="10">
        <f>SUM(BI100:BK100)</f>
        <v>1546</v>
      </c>
      <c r="CK100" s="10">
        <f t="shared" ref="CK100:CK104" si="82">SUM(BM100:BP100)</f>
        <v>3435</v>
      </c>
    </row>
    <row r="101" spans="2:89">
      <c r="B101" s="1" t="s">
        <v>242</v>
      </c>
      <c r="BE101" s="1">
        <f>-111+3</f>
        <v>-108</v>
      </c>
      <c r="BF101" s="1">
        <f>-254+3-BE101</f>
        <v>-143</v>
      </c>
      <c r="BG101" s="1">
        <f>-444+4-SUM(BE101:BF101)</f>
        <v>-189</v>
      </c>
      <c r="BH101" s="1">
        <f>-711+4-SUM(BE101:BG101)</f>
        <v>-267</v>
      </c>
      <c r="BI101" s="1">
        <f>-111+3</f>
        <v>-108</v>
      </c>
      <c r="BJ101" s="1">
        <f>-254+3-BI101</f>
        <v>-143</v>
      </c>
      <c r="BK101" s="1">
        <f>-444+4-SUM(BI101:BJ101)</f>
        <v>-189</v>
      </c>
      <c r="BL101" s="1">
        <f>-711+4-SUM(BI101:BK101)</f>
        <v>-267</v>
      </c>
      <c r="BM101" s="1">
        <f>-179+1</f>
        <v>-178</v>
      </c>
      <c r="BN101" s="1">
        <f>-334+1-BM101</f>
        <v>-155</v>
      </c>
      <c r="BO101" s="1">
        <f>-513+1-SUM(BM101:BN101)</f>
        <v>-179</v>
      </c>
      <c r="BP101" s="1">
        <f>-790+3-SUM(BM101:BO101)</f>
        <v>-275</v>
      </c>
      <c r="CF101" s="10">
        <f t="shared" si="78"/>
        <v>0</v>
      </c>
      <c r="CG101" s="10">
        <f t="shared" si="79"/>
        <v>0</v>
      </c>
      <c r="CH101" s="10">
        <f t="shared" si="80"/>
        <v>0</v>
      </c>
      <c r="CI101" s="10">
        <f t="shared" si="81"/>
        <v>-707</v>
      </c>
      <c r="CJ101" s="10">
        <f>SUM(BI101:BK101)</f>
        <v>-440</v>
      </c>
      <c r="CK101" s="10">
        <f t="shared" si="82"/>
        <v>-787</v>
      </c>
    </row>
    <row r="102" spans="2:89">
      <c r="B102" s="1" t="s">
        <v>236</v>
      </c>
      <c r="BE102" s="1">
        <f t="shared" ref="BE102" si="83">BE100+BE101</f>
        <v>82</v>
      </c>
      <c r="BF102" s="1">
        <f t="shared" ref="BF102" si="84">BF100+BF101</f>
        <v>515</v>
      </c>
      <c r="BG102" s="1">
        <f>BG100+BG101</f>
        <v>509</v>
      </c>
      <c r="BH102" s="1">
        <f t="shared" ref="BH102" si="85">BH100+BH101</f>
        <v>690</v>
      </c>
      <c r="BI102" s="1">
        <f t="shared" ref="BI102:BO102" si="86">BI100+BI101</f>
        <v>82</v>
      </c>
      <c r="BJ102" s="1">
        <f t="shared" si="86"/>
        <v>515</v>
      </c>
      <c r="BK102" s="1">
        <f>BK100+BK101</f>
        <v>509</v>
      </c>
      <c r="BL102" s="1">
        <f t="shared" si="86"/>
        <v>690</v>
      </c>
      <c r="BM102" s="1">
        <f t="shared" si="86"/>
        <v>-14</v>
      </c>
      <c r="BN102" s="1">
        <f t="shared" si="86"/>
        <v>658</v>
      </c>
      <c r="BO102" s="1">
        <f>BO100+BO101</f>
        <v>823</v>
      </c>
      <c r="BP102" s="1">
        <f>BP100+BP101</f>
        <v>1181</v>
      </c>
      <c r="CF102" s="10">
        <f t="shared" si="78"/>
        <v>0</v>
      </c>
      <c r="CG102" s="10">
        <f t="shared" si="79"/>
        <v>0</v>
      </c>
      <c r="CH102" s="10">
        <f t="shared" si="80"/>
        <v>0</v>
      </c>
      <c r="CI102" s="10">
        <f t="shared" si="81"/>
        <v>1796</v>
      </c>
      <c r="CJ102" s="10">
        <f>SUM(BI102:BK102)</f>
        <v>1106</v>
      </c>
      <c r="CK102" s="10">
        <f t="shared" si="82"/>
        <v>2648</v>
      </c>
    </row>
    <row r="103" spans="2:89">
      <c r="B103" s="1" t="s">
        <v>1</v>
      </c>
      <c r="BE103" s="1">
        <f>BE61</f>
        <v>0</v>
      </c>
      <c r="BF103" s="1">
        <f>BF61</f>
        <v>0</v>
      </c>
      <c r="BG103" s="1">
        <f>BG61</f>
        <v>0</v>
      </c>
      <c r="BH103" s="1">
        <f>BH61</f>
        <v>0</v>
      </c>
      <c r="BI103" s="1">
        <f>BI61</f>
        <v>1435.8</v>
      </c>
      <c r="BJ103" s="1">
        <f>BJ61</f>
        <v>1446.2</v>
      </c>
      <c r="BK103" s="1">
        <f>BK61</f>
        <v>1464.5</v>
      </c>
      <c r="BL103" s="1">
        <f>BL61</f>
        <v>1453</v>
      </c>
      <c r="BM103" s="1">
        <f>BM61</f>
        <v>1468.4</v>
      </c>
      <c r="BN103" s="1">
        <f>BN61</f>
        <v>1470.6</v>
      </c>
      <c r="BO103" s="1">
        <f>BO61</f>
        <v>1472.7</v>
      </c>
      <c r="BP103" s="1">
        <f>BP61</f>
        <v>1471.5</v>
      </c>
      <c r="CF103" s="10">
        <f t="shared" si="78"/>
        <v>0</v>
      </c>
      <c r="CG103" s="10">
        <f t="shared" si="79"/>
        <v>0</v>
      </c>
      <c r="CH103" s="10">
        <f t="shared" si="80"/>
        <v>0</v>
      </c>
      <c r="CI103" s="10">
        <f t="shared" si="81"/>
        <v>0</v>
      </c>
      <c r="CJ103" s="10">
        <f>SUM(BI103:BK103)</f>
        <v>4346.5</v>
      </c>
      <c r="CK103" s="10">
        <f t="shared" si="82"/>
        <v>5883.2</v>
      </c>
    </row>
    <row r="104" spans="2:89">
      <c r="B104" s="1" t="s">
        <v>237</v>
      </c>
      <c r="BE104" s="17" t="e">
        <f>BE102/BE103</f>
        <v>#DIV/0!</v>
      </c>
      <c r="BF104" s="17" t="e">
        <f>BF102/BF103</f>
        <v>#DIV/0!</v>
      </c>
      <c r="BG104" s="17" t="e">
        <f>BG102/BG103</f>
        <v>#DIV/0!</v>
      </c>
      <c r="BH104" s="17" t="e">
        <f>BH102/BH103</f>
        <v>#DIV/0!</v>
      </c>
      <c r="BI104" s="17">
        <f>BI102/BI103</f>
        <v>5.711101824766681E-2</v>
      </c>
      <c r="BJ104" s="17">
        <f>BJ102/BJ103</f>
        <v>0.3561056562024616</v>
      </c>
      <c r="BK104" s="17">
        <f>BK102/BK103</f>
        <v>0.34755889382041655</v>
      </c>
      <c r="BL104" s="17">
        <f>BL102/BL103</f>
        <v>0.47487955953200273</v>
      </c>
      <c r="BM104" s="17">
        <f>BM102/BM103</f>
        <v>-9.5341868700626522E-3</v>
      </c>
      <c r="BN104" s="17">
        <f>BN102/BN103</f>
        <v>0.44743642050863597</v>
      </c>
      <c r="BO104" s="17">
        <f>BO102/BO103</f>
        <v>0.5588375093365926</v>
      </c>
      <c r="BP104" s="17">
        <f>BP102/BP103</f>
        <v>0.80258239891267413</v>
      </c>
      <c r="CF104" s="13">
        <f t="shared" si="78"/>
        <v>0</v>
      </c>
      <c r="CG104" s="13">
        <f t="shared" si="79"/>
        <v>0</v>
      </c>
      <c r="CH104" s="13">
        <f t="shared" si="80"/>
        <v>0</v>
      </c>
      <c r="CI104" s="13" t="e">
        <f t="shared" si="81"/>
        <v>#DIV/0!</v>
      </c>
      <c r="CJ104" s="13">
        <f>SUM(BI104:BK104)</f>
        <v>0.76077556827054493</v>
      </c>
      <c r="CK104" s="13">
        <f t="shared" si="82"/>
        <v>1.79932214188784</v>
      </c>
    </row>
  </sheetData>
  <pageMargins left="0.7" right="0.7" top="0.75" bottom="0.75" header="0.3" footer="0.3"/>
  <ignoredErrors>
    <ignoredError sqref="BV57:CJ57 BV44:CJ44 BV52:CJ52 BV40:CJ40 BV41:CJ41 BV42:CJ42 BV43:CJ43 BV54:CJ54 BV55:CJ55 BV56:CJ56 CK40:CK57 BP59" formulaRange="1"/>
    <ignoredError sqref="CG29:CK38 CF16:CK18 CG19:CK21" evalError="1"/>
    <ignoredError sqref="CF6:CK6 BO1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620B-86E4-4271-A65B-3362B1B3C1E1}">
  <dimension ref="A1"/>
  <sheetViews>
    <sheetView workbookViewId="0">
      <selection activeCell="B1" sqref="B1"/>
    </sheetView>
  </sheetViews>
  <sheetFormatPr defaultRowHeight="14.25"/>
  <cols>
    <col min="1" max="1" width="3.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C3A96-BC9E-41E4-8C18-82D0AFEB8551}">
  <dimension ref="B2:C4"/>
  <sheetViews>
    <sheetView workbookViewId="0">
      <selection sqref="A1:XFD1048576"/>
    </sheetView>
  </sheetViews>
  <sheetFormatPr defaultRowHeight="14.25"/>
  <cols>
    <col min="1" max="1" width="3" style="1" customWidth="1"/>
    <col min="2" max="16384" width="9.140625" style="1"/>
  </cols>
  <sheetData>
    <row r="2" spans="2:3">
      <c r="B2" s="1" t="s">
        <v>117</v>
      </c>
    </row>
    <row r="3" spans="2:3">
      <c r="C3" s="1" t="s">
        <v>119</v>
      </c>
    </row>
    <row r="4" spans="2:3">
      <c r="C4" s="1"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DAE5-C6EA-4A08-9443-10CEC4F1409C}">
  <dimension ref="B2:B4"/>
  <sheetViews>
    <sheetView workbookViewId="0">
      <selection sqref="A1:XFD1048576"/>
    </sheetView>
  </sheetViews>
  <sheetFormatPr defaultRowHeight="14.25"/>
  <cols>
    <col min="1" max="1" width="3.28515625" style="1" customWidth="1"/>
    <col min="2" max="16384" width="9.140625" style="1"/>
  </cols>
  <sheetData>
    <row r="2" spans="2:2">
      <c r="B2" s="3" t="s">
        <v>120</v>
      </c>
    </row>
    <row r="3" spans="2:2">
      <c r="B3" s="3" t="s">
        <v>121</v>
      </c>
    </row>
    <row r="4" spans="2:2">
      <c r="B4" s="3" t="s">
        <v>122</v>
      </c>
    </row>
  </sheetData>
  <hyperlinks>
    <hyperlink ref="B3" r:id="rId1" xr:uid="{942C6C90-8635-439C-9637-2202B2FC33A2}"/>
    <hyperlink ref="B4" r:id="rId2" xr:uid="{41A203EC-9AA0-4D7E-A97D-51D814AAA68B}"/>
    <hyperlink ref="B2" r:id="rId3" xr:uid="{C1382184-8197-491B-A94C-FBD593801B1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C9FF-9E9C-4B34-9F3F-BF8874377151}">
  <dimension ref="A1"/>
  <sheetViews>
    <sheetView workbookViewId="0">
      <selection sqref="A1:XFD1048576"/>
    </sheetView>
  </sheetViews>
  <sheetFormatPr defaultRowHeight="15"/>
  <cols>
    <col min="1" max="1" width="3.42578125" customWidth="1"/>
  </cols>
  <sheetData>
    <row r="1" spans="1:1">
      <c r="A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40DF-CF2F-4558-930D-400D9219BA62}">
  <dimension ref="A1"/>
  <sheetViews>
    <sheetView workbookViewId="0">
      <selection activeCell="F12" sqref="F12"/>
    </sheetView>
  </sheetViews>
  <sheetFormatPr defaultRowHeight="14.25"/>
  <cols>
    <col min="1" max="1" width="3" style="1" customWidth="1"/>
    <col min="2" max="16384" width="9.14062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 Overview</vt:lpstr>
      <vt:lpstr>Model</vt:lpstr>
      <vt:lpstr>Notes | Quant Analysis</vt:lpstr>
      <vt:lpstr>Markets | Product Lines</vt:lpstr>
      <vt:lpstr>Management</vt:lpstr>
      <vt:lpstr>Clinical Trial Channel</vt:lpstr>
      <vt:lpstr>M&amp;A 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Jacob H</cp:lastModifiedBy>
  <dcterms:created xsi:type="dcterms:W3CDTF">2015-06-05T18:17:20Z</dcterms:created>
  <dcterms:modified xsi:type="dcterms:W3CDTF">2025-04-22T09:39:52Z</dcterms:modified>
</cp:coreProperties>
</file>