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
    </mc:Choice>
  </mc:AlternateContent>
  <xr:revisionPtr revIDLastSave="0" documentId="13_ncr:1_{0DC94B16-DACE-4798-B490-3DF0182E1A29}" xr6:coauthVersionLast="47" xr6:coauthVersionMax="47" xr10:uidLastSave="{00000000-0000-0000-0000-000000000000}"/>
  <bookViews>
    <workbookView xWindow="28680" yWindow="-120" windowWidth="29040" windowHeight="15720" activeTab="1" xr2:uid="{00000000-000D-0000-FFFF-FFFF00000000}"/>
  </bookViews>
  <sheets>
    <sheet name="Main | Overview" sheetId="1" r:id="rId1"/>
    <sheet name="Model" sheetId="2" r:id="rId2"/>
    <sheet name="Notes | Quant Analysis" sheetId="3" r:id="rId3"/>
    <sheet name="Markets | Product Lines" sheetId="4" r:id="rId4"/>
    <sheet name="Management" sheetId="6" r:id="rId5"/>
    <sheet name="Clinical Trail Channel"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47" i="2" l="1"/>
  <c r="BB37" i="2"/>
  <c r="BB39" i="2" s="1"/>
  <c r="BK40" i="2"/>
  <c r="BJ40" i="2"/>
  <c r="BI40" i="2"/>
  <c r="BH40" i="2"/>
  <c r="BJ29" i="2"/>
  <c r="BI29" i="2"/>
  <c r="BH29" i="2"/>
  <c r="BJ27" i="2"/>
  <c r="BI27" i="2"/>
  <c r="BH27" i="2"/>
  <c r="BK26" i="2"/>
  <c r="BJ26" i="2"/>
  <c r="BJ30" i="2" s="1"/>
  <c r="BI26" i="2"/>
  <c r="BI30" i="2" s="1"/>
  <c r="BH26" i="2"/>
  <c r="BH30" i="2" s="1"/>
  <c r="BH4" i="2"/>
  <c r="BH3" i="2"/>
  <c r="BI3" i="2" s="1"/>
  <c r="BK30" i="2" l="1"/>
  <c r="BK27" i="2"/>
  <c r="BK28" i="2" s="1"/>
  <c r="BK29" i="2"/>
  <c r="BH28" i="2"/>
  <c r="BH33" i="2" s="1"/>
  <c r="BI28" i="2"/>
  <c r="BI33" i="2" s="1"/>
  <c r="BJ28" i="2"/>
  <c r="BJ33" i="2" s="1"/>
  <c r="BJ3" i="2"/>
  <c r="BH7" i="2"/>
  <c r="BI4" i="2"/>
  <c r="BH5" i="2"/>
  <c r="BH8" i="2" s="1"/>
  <c r="AZ71" i="2"/>
  <c r="AY71" i="2"/>
  <c r="AX71" i="2"/>
  <c r="AW71" i="2"/>
  <c r="AV71" i="2"/>
  <c r="BA71" i="2"/>
  <c r="AZ70" i="2"/>
  <c r="BA70" i="2"/>
  <c r="AY70" i="2"/>
  <c r="AX70" i="2"/>
  <c r="AW70" i="2"/>
  <c r="AW77" i="2" s="1"/>
  <c r="AV70" i="2"/>
  <c r="AV77" i="2" s="1"/>
  <c r="BA69" i="2"/>
  <c r="AZ69" i="2"/>
  <c r="AY69" i="2"/>
  <c r="AX69" i="2"/>
  <c r="AW69" i="2"/>
  <c r="AV69" i="2"/>
  <c r="BA68" i="2"/>
  <c r="AZ68" i="2"/>
  <c r="AY68" i="2"/>
  <c r="AX68" i="2"/>
  <c r="AW68" i="2"/>
  <c r="AV68" i="2"/>
  <c r="BA67" i="2"/>
  <c r="AZ67" i="2"/>
  <c r="AY67" i="2"/>
  <c r="AX67" i="2"/>
  <c r="AW67" i="2"/>
  <c r="AV67" i="2"/>
  <c r="BA66" i="2"/>
  <c r="AZ66" i="2"/>
  <c r="AY66" i="2"/>
  <c r="AX66" i="2"/>
  <c r="AW66" i="2"/>
  <c r="AW75" i="2" s="1"/>
  <c r="AV66" i="2"/>
  <c r="BA65" i="2"/>
  <c r="AZ65" i="2"/>
  <c r="AY65" i="2"/>
  <c r="AX65" i="2"/>
  <c r="AW65" i="2"/>
  <c r="AV65" i="2"/>
  <c r="BA64" i="2"/>
  <c r="BA75" i="2" s="1"/>
  <c r="AZ64" i="2"/>
  <c r="AY64" i="2"/>
  <c r="AX64" i="2"/>
  <c r="AW64" i="2"/>
  <c r="AV64" i="2"/>
  <c r="AV63" i="2"/>
  <c r="AW63" i="2"/>
  <c r="AX63" i="2"/>
  <c r="AY63" i="2"/>
  <c r="AZ63" i="2"/>
  <c r="BA60" i="2"/>
  <c r="AZ60" i="2"/>
  <c r="AY60" i="2"/>
  <c r="AX60" i="2"/>
  <c r="AW60" i="2"/>
  <c r="AV60" i="2"/>
  <c r="BA59" i="2"/>
  <c r="AZ59" i="2"/>
  <c r="AY59" i="2"/>
  <c r="AX59" i="2"/>
  <c r="AW59" i="2"/>
  <c r="AV59" i="2"/>
  <c r="BA58" i="2"/>
  <c r="AZ58" i="2"/>
  <c r="AY58" i="2"/>
  <c r="AX58" i="2"/>
  <c r="AW58" i="2"/>
  <c r="AV58" i="2"/>
  <c r="BA57" i="2"/>
  <c r="AZ57" i="2"/>
  <c r="AY57" i="2"/>
  <c r="AX57" i="2"/>
  <c r="AW57" i="2"/>
  <c r="AV57" i="2"/>
  <c r="BA56" i="2"/>
  <c r="AZ56" i="2"/>
  <c r="AY56" i="2"/>
  <c r="AX56" i="2"/>
  <c r="AW56" i="2"/>
  <c r="AV56" i="2"/>
  <c r="BA55" i="2"/>
  <c r="AZ55" i="2"/>
  <c r="AY55" i="2"/>
  <c r="AX55" i="2"/>
  <c r="AW55" i="2"/>
  <c r="AV55" i="2"/>
  <c r="BA54" i="2"/>
  <c r="AZ54" i="2"/>
  <c r="AY54" i="2"/>
  <c r="AX54" i="2"/>
  <c r="AW54" i="2"/>
  <c r="AV54" i="2"/>
  <c r="BA53" i="2"/>
  <c r="AZ53" i="2"/>
  <c r="AY53" i="2"/>
  <c r="AX53" i="2"/>
  <c r="AW53" i="2"/>
  <c r="AV53" i="2"/>
  <c r="BA52" i="2"/>
  <c r="AZ52" i="2"/>
  <c r="AY52" i="2"/>
  <c r="AX52" i="2"/>
  <c r="AW52" i="2"/>
  <c r="AV52" i="2"/>
  <c r="AW79" i="2" s="1"/>
  <c r="BA51" i="2"/>
  <c r="AZ51" i="2"/>
  <c r="AZ61" i="2" s="1"/>
  <c r="AY51" i="2"/>
  <c r="AX51" i="2"/>
  <c r="AW51" i="2"/>
  <c r="AV51" i="2"/>
  <c r="BA50" i="2"/>
  <c r="AZ50" i="2"/>
  <c r="AY50" i="2"/>
  <c r="AY61" i="2" s="1"/>
  <c r="AX50" i="2"/>
  <c r="AX61" i="2" s="1"/>
  <c r="AW50" i="2"/>
  <c r="AW73" i="2" s="1"/>
  <c r="AV50" i="2"/>
  <c r="AV49" i="2"/>
  <c r="AW49" i="2"/>
  <c r="AX49" i="2"/>
  <c r="AY49" i="2"/>
  <c r="AZ49" i="2"/>
  <c r="AX79" i="2"/>
  <c r="AV61" i="2"/>
  <c r="AV79" i="2"/>
  <c r="AX77" i="2"/>
  <c r="AY77" i="2"/>
  <c r="AZ77" i="2"/>
  <c r="BA77" i="2"/>
  <c r="BG26" i="2"/>
  <c r="BG30" i="2" s="1"/>
  <c r="BG4" i="2"/>
  <c r="BG3" i="2"/>
  <c r="BG5" i="2" s="1"/>
  <c r="BH12" i="2" s="1"/>
  <c r="BF30" i="2"/>
  <c r="BF29" i="2"/>
  <c r="BF27" i="2"/>
  <c r="BF28" i="2" s="1"/>
  <c r="BF26" i="2"/>
  <c r="BF12" i="2"/>
  <c r="BF8" i="2"/>
  <c r="BF7" i="2"/>
  <c r="BF4" i="2"/>
  <c r="BF3" i="2"/>
  <c r="BF5" i="2" s="1"/>
  <c r="BC28" i="2"/>
  <c r="BB8" i="2"/>
  <c r="BB7" i="2"/>
  <c r="BG40" i="2"/>
  <c r="BF40" i="2"/>
  <c r="BE40" i="2"/>
  <c r="BD40" i="2"/>
  <c r="BC40" i="2"/>
  <c r="BB40" i="2"/>
  <c r="BD59" i="2" s="1"/>
  <c r="AV40" i="2"/>
  <c r="AW40" i="2"/>
  <c r="AX40" i="2"/>
  <c r="AY40" i="2"/>
  <c r="AZ40" i="2"/>
  <c r="BA40" i="2"/>
  <c r="BD4" i="2"/>
  <c r="BE4" i="2" s="1"/>
  <c r="Z26" i="2"/>
  <c r="BD56" i="2"/>
  <c r="BK33" i="2" l="1"/>
  <c r="BF33" i="2"/>
  <c r="BF46" i="2" s="1"/>
  <c r="BK46" i="2"/>
  <c r="BJ46" i="2"/>
  <c r="BI46" i="2"/>
  <c r="BH46" i="2"/>
  <c r="BJ4" i="2"/>
  <c r="BI5" i="2"/>
  <c r="BK3" i="2"/>
  <c r="BJ5" i="2"/>
  <c r="BJ12" i="2" s="1"/>
  <c r="BJ7" i="2"/>
  <c r="BG27" i="2"/>
  <c r="BG28" i="2" s="1"/>
  <c r="BG33" i="2" s="1"/>
  <c r="BG46" i="2" s="1"/>
  <c r="BG29" i="2"/>
  <c r="BG7" i="2"/>
  <c r="BG8" i="2"/>
  <c r="BG12" i="2"/>
  <c r="BA74" i="2"/>
  <c r="AX75" i="2"/>
  <c r="BA73" i="2"/>
  <c r="AW74" i="2"/>
  <c r="AW61" i="2"/>
  <c r="AW76" i="2" s="1"/>
  <c r="AV76" i="2"/>
  <c r="AV78" i="2"/>
  <c r="AV73" i="2"/>
  <c r="AV74" i="2"/>
  <c r="AV75" i="2"/>
  <c r="AW78" i="2"/>
  <c r="AX78" i="2"/>
  <c r="AX76" i="2"/>
  <c r="AX73" i="2"/>
  <c r="AX74" i="2"/>
  <c r="AY74" i="2"/>
  <c r="AY75" i="2"/>
  <c r="AZ78" i="2"/>
  <c r="AZ76" i="2"/>
  <c r="AZ73" i="2"/>
  <c r="AZ74" i="2"/>
  <c r="AZ75" i="2"/>
  <c r="AY79" i="2"/>
  <c r="BA79" i="2"/>
  <c r="AZ79" i="2"/>
  <c r="AY73" i="2"/>
  <c r="Z3" i="2"/>
  <c r="Z4" i="2"/>
  <c r="Z14" i="2"/>
  <c r="BI12" i="2" l="1"/>
  <c r="BI7" i="2"/>
  <c r="BJ8" i="2"/>
  <c r="BK4" i="2"/>
  <c r="BI8" i="2"/>
  <c r="Y79" i="2"/>
  <c r="X79" i="2"/>
  <c r="W79" i="2"/>
  <c r="U79" i="2"/>
  <c r="T79" i="2"/>
  <c r="S79" i="2"/>
  <c r="Q79" i="2"/>
  <c r="P79" i="2"/>
  <c r="O79" i="2"/>
  <c r="M79" i="2"/>
  <c r="L79" i="2"/>
  <c r="K79" i="2"/>
  <c r="I79" i="2"/>
  <c r="H79" i="2"/>
  <c r="G79" i="2"/>
  <c r="E79" i="2"/>
  <c r="D79" i="2"/>
  <c r="Y75" i="2"/>
  <c r="X75" i="2"/>
  <c r="W75" i="2"/>
  <c r="V75" i="2"/>
  <c r="U75" i="2"/>
  <c r="T75" i="2"/>
  <c r="S75" i="2"/>
  <c r="R75" i="2"/>
  <c r="Q75" i="2"/>
  <c r="P75" i="2"/>
  <c r="O75" i="2"/>
  <c r="N75" i="2"/>
  <c r="M75" i="2"/>
  <c r="L75" i="2"/>
  <c r="K75" i="2"/>
  <c r="J75" i="2"/>
  <c r="I75" i="2"/>
  <c r="H75" i="2"/>
  <c r="G75" i="2"/>
  <c r="F75" i="2"/>
  <c r="E75" i="2"/>
  <c r="D75" i="2"/>
  <c r="C75" i="2"/>
  <c r="Y74" i="2"/>
  <c r="X74" i="2"/>
  <c r="W74" i="2"/>
  <c r="V74" i="2"/>
  <c r="U74" i="2"/>
  <c r="T74" i="2"/>
  <c r="S74" i="2"/>
  <c r="R74" i="2"/>
  <c r="Q74" i="2"/>
  <c r="P74" i="2"/>
  <c r="O74" i="2"/>
  <c r="N74" i="2"/>
  <c r="M74" i="2"/>
  <c r="L74" i="2"/>
  <c r="K74" i="2"/>
  <c r="J74" i="2"/>
  <c r="I74" i="2"/>
  <c r="H74" i="2"/>
  <c r="G74" i="2"/>
  <c r="F74" i="2"/>
  <c r="E74" i="2"/>
  <c r="D74" i="2"/>
  <c r="C74" i="2"/>
  <c r="Y73" i="2"/>
  <c r="X73" i="2"/>
  <c r="W73" i="2"/>
  <c r="V73" i="2"/>
  <c r="U73" i="2"/>
  <c r="T73" i="2"/>
  <c r="S73" i="2"/>
  <c r="R73" i="2"/>
  <c r="Q73" i="2"/>
  <c r="P73" i="2"/>
  <c r="O73" i="2"/>
  <c r="N73" i="2"/>
  <c r="M73" i="2"/>
  <c r="L73" i="2"/>
  <c r="K73" i="2"/>
  <c r="J73" i="2"/>
  <c r="I73" i="2"/>
  <c r="H73" i="2"/>
  <c r="G73" i="2"/>
  <c r="F73" i="2"/>
  <c r="E73" i="2"/>
  <c r="D73" i="2"/>
  <c r="C73" i="2"/>
  <c r="Z75" i="2"/>
  <c r="Z74" i="2"/>
  <c r="Z73" i="2"/>
  <c r="J61" i="2"/>
  <c r="I61" i="2"/>
  <c r="I78" i="2" s="1"/>
  <c r="G61" i="2"/>
  <c r="G78" i="2" s="1"/>
  <c r="F61" i="2"/>
  <c r="E61" i="2"/>
  <c r="N71" i="2"/>
  <c r="M71" i="2"/>
  <c r="L71" i="2"/>
  <c r="K71" i="2"/>
  <c r="N61" i="2"/>
  <c r="M61" i="2"/>
  <c r="M78" i="2" s="1"/>
  <c r="L61" i="2"/>
  <c r="L78" i="2" s="1"/>
  <c r="K61" i="2"/>
  <c r="K78" i="2" s="1"/>
  <c r="F38" i="2"/>
  <c r="F36" i="2"/>
  <c r="F30" i="2"/>
  <c r="F32" i="2"/>
  <c r="F31" i="2"/>
  <c r="F29" i="2"/>
  <c r="F27" i="2"/>
  <c r="F79" i="2" s="1"/>
  <c r="U61" i="2"/>
  <c r="U78" i="2" s="1"/>
  <c r="BK5" i="2" l="1"/>
  <c r="BA63" i="2"/>
  <c r="BA49" i="2"/>
  <c r="BK12" i="2" l="1"/>
  <c r="BK7" i="2"/>
  <c r="BK8" i="2"/>
  <c r="BB34" i="2"/>
  <c r="BA61" i="2"/>
  <c r="Y10" i="2"/>
  <c r="Y11" i="2"/>
  <c r="X11" i="2"/>
  <c r="W11" i="2"/>
  <c r="X10" i="2"/>
  <c r="W10" i="2"/>
  <c r="BA76" i="2" l="1"/>
  <c r="BA78" i="2"/>
  <c r="D34" i="2"/>
  <c r="C34" i="2"/>
  <c r="AV38" i="2"/>
  <c r="AV36" i="2"/>
  <c r="AV32" i="2"/>
  <c r="AV31" i="2"/>
  <c r="AV30" i="2"/>
  <c r="AV29" i="2"/>
  <c r="AV27" i="2"/>
  <c r="F14" i="2"/>
  <c r="AV14" i="2" s="1"/>
  <c r="E15" i="2"/>
  <c r="D15" i="2"/>
  <c r="C15" i="2"/>
  <c r="F84" i="2"/>
  <c r="E84" i="2"/>
  <c r="D84" i="2"/>
  <c r="C84" i="2"/>
  <c r="C83" i="2"/>
  <c r="D82" i="2"/>
  <c r="E82" i="2" s="1"/>
  <c r="D81" i="2"/>
  <c r="C71" i="2"/>
  <c r="D71" i="2"/>
  <c r="E71" i="2"/>
  <c r="F71" i="2"/>
  <c r="C61" i="2"/>
  <c r="D61" i="2"/>
  <c r="E34" i="2"/>
  <c r="I21" i="2"/>
  <c r="H21" i="2"/>
  <c r="G21" i="2"/>
  <c r="C85" i="2" l="1"/>
  <c r="D83" i="2"/>
  <c r="D85" i="2" s="1"/>
  <c r="F15" i="2"/>
  <c r="F16" i="2" s="1"/>
  <c r="F26" i="2" s="1"/>
  <c r="F34" i="2"/>
  <c r="AV34" i="2" s="1"/>
  <c r="G22" i="2"/>
  <c r="AV84" i="2"/>
  <c r="E16" i="2"/>
  <c r="I22" i="2"/>
  <c r="H22" i="2"/>
  <c r="D16" i="2"/>
  <c r="D26" i="2" s="1"/>
  <c r="D78" i="2" s="1"/>
  <c r="C16" i="2"/>
  <c r="E81" i="2"/>
  <c r="E83" i="2" s="1"/>
  <c r="E85" i="2" s="1"/>
  <c r="F82" i="2"/>
  <c r="AV82" i="2" s="1"/>
  <c r="U84" i="2"/>
  <c r="W83" i="2"/>
  <c r="S83" i="2"/>
  <c r="O83" i="2"/>
  <c r="K83" i="2"/>
  <c r="G83" i="2"/>
  <c r="X82" i="2"/>
  <c r="Y82" i="2" s="1"/>
  <c r="X81" i="2"/>
  <c r="Y81" i="2" s="1"/>
  <c r="T82" i="2"/>
  <c r="U82" i="2" s="1"/>
  <c r="T81" i="2"/>
  <c r="U81" i="2" s="1"/>
  <c r="V81" i="2" s="1"/>
  <c r="P82" i="2"/>
  <c r="Q82" i="2" s="1"/>
  <c r="R82" i="2" s="1"/>
  <c r="P81" i="2"/>
  <c r="L82" i="2"/>
  <c r="M82" i="2" s="1"/>
  <c r="L81" i="2"/>
  <c r="H82" i="2"/>
  <c r="I82" i="2" s="1"/>
  <c r="H81" i="2"/>
  <c r="F44" i="2" l="1"/>
  <c r="F78" i="2"/>
  <c r="D18" i="2"/>
  <c r="P83" i="2"/>
  <c r="Q81" i="2"/>
  <c r="R81" i="2" s="1"/>
  <c r="R83" i="2" s="1"/>
  <c r="T83" i="2"/>
  <c r="D19" i="2"/>
  <c r="L83" i="2"/>
  <c r="F45" i="2"/>
  <c r="E18" i="2"/>
  <c r="E26" i="2"/>
  <c r="E78" i="2" s="1"/>
  <c r="D44" i="2"/>
  <c r="D28" i="2"/>
  <c r="D45" i="2"/>
  <c r="J82" i="2"/>
  <c r="F28" i="2"/>
  <c r="F33" i="2" s="1"/>
  <c r="F35" i="2" s="1"/>
  <c r="F37" i="2" s="1"/>
  <c r="X83" i="2"/>
  <c r="Z82" i="2"/>
  <c r="BA82" i="2" s="1"/>
  <c r="H83" i="2"/>
  <c r="C18" i="2"/>
  <c r="C26" i="2"/>
  <c r="C78" i="2" s="1"/>
  <c r="E19" i="2"/>
  <c r="F18" i="2"/>
  <c r="F19" i="2"/>
  <c r="AV15" i="2"/>
  <c r="C19" i="2"/>
  <c r="AV16" i="2"/>
  <c r="AV18" i="2" s="1"/>
  <c r="F81" i="2"/>
  <c r="F83" i="2" s="1"/>
  <c r="F85" i="2" s="1"/>
  <c r="AV85" i="2" s="1"/>
  <c r="U83" i="2"/>
  <c r="V82" i="2"/>
  <c r="AZ82" i="2" s="1"/>
  <c r="Z81" i="2"/>
  <c r="Y83" i="2"/>
  <c r="I81" i="2"/>
  <c r="I83" i="2" s="1"/>
  <c r="N82" i="2"/>
  <c r="M81" i="2"/>
  <c r="M83" i="2" s="1"/>
  <c r="Y45" i="2"/>
  <c r="X45" i="2"/>
  <c r="W45" i="2"/>
  <c r="U45" i="2"/>
  <c r="T45" i="2"/>
  <c r="S45" i="2"/>
  <c r="Q45" i="2"/>
  <c r="P45" i="2"/>
  <c r="O45" i="2"/>
  <c r="M45" i="2"/>
  <c r="L45" i="2"/>
  <c r="K45" i="2"/>
  <c r="I45" i="2"/>
  <c r="H45" i="2"/>
  <c r="G45" i="2"/>
  <c r="Y44" i="2"/>
  <c r="X44" i="2"/>
  <c r="W44" i="2"/>
  <c r="U44" i="2"/>
  <c r="T44" i="2"/>
  <c r="S44" i="2"/>
  <c r="Q44" i="2"/>
  <c r="P44" i="2"/>
  <c r="O44" i="2"/>
  <c r="M44" i="2"/>
  <c r="L44" i="2"/>
  <c r="K44" i="2"/>
  <c r="I44" i="2"/>
  <c r="H44" i="2"/>
  <c r="G44" i="2"/>
  <c r="N29" i="2"/>
  <c r="N38" i="2"/>
  <c r="N36" i="2"/>
  <c r="J38" i="2"/>
  <c r="G34" i="2"/>
  <c r="J26" i="2"/>
  <c r="J78" i="2" s="1"/>
  <c r="J27" i="2"/>
  <c r="J79" i="2" s="1"/>
  <c r="J29" i="2"/>
  <c r="J36" i="2"/>
  <c r="J30" i="2"/>
  <c r="J32" i="2"/>
  <c r="J31" i="2"/>
  <c r="H34" i="2"/>
  <c r="I34" i="2"/>
  <c r="N32" i="2"/>
  <c r="N31" i="2"/>
  <c r="N30" i="2"/>
  <c r="N27" i="2"/>
  <c r="N79" i="2" s="1"/>
  <c r="N26" i="2"/>
  <c r="N78" i="2" s="1"/>
  <c r="R36" i="2"/>
  <c r="R32" i="2"/>
  <c r="R31" i="2"/>
  <c r="R30" i="2"/>
  <c r="R29" i="2"/>
  <c r="R27" i="2"/>
  <c r="R79" i="2" s="1"/>
  <c r="R26" i="2"/>
  <c r="O34" i="2"/>
  <c r="K34" i="2"/>
  <c r="L34" i="2"/>
  <c r="P34" i="2"/>
  <c r="L22" i="2"/>
  <c r="M34" i="2"/>
  <c r="Q34" i="2"/>
  <c r="Z36" i="2"/>
  <c r="Z34" i="2"/>
  <c r="Z32" i="2"/>
  <c r="Z31" i="2"/>
  <c r="Z30" i="2"/>
  <c r="Z29" i="2"/>
  <c r="Z27" i="2"/>
  <c r="Z79" i="2" s="1"/>
  <c r="V36" i="2"/>
  <c r="V34" i="2"/>
  <c r="V32" i="2"/>
  <c r="V31" i="2"/>
  <c r="V30" i="2"/>
  <c r="V29" i="2"/>
  <c r="V27" i="2"/>
  <c r="V79" i="2" s="1"/>
  <c r="V26" i="2"/>
  <c r="Y84" i="2"/>
  <c r="X84" i="2"/>
  <c r="W84" i="2"/>
  <c r="V84" i="2"/>
  <c r="AZ84" i="2" s="1"/>
  <c r="T84" i="2"/>
  <c r="S84" i="2"/>
  <c r="R84" i="2"/>
  <c r="Q84" i="2"/>
  <c r="P84" i="2"/>
  <c r="O84" i="2"/>
  <c r="N84" i="2"/>
  <c r="AX84" i="2" s="1"/>
  <c r="M84" i="2"/>
  <c r="L84" i="2"/>
  <c r="K84" i="2"/>
  <c r="J84" i="2"/>
  <c r="I84" i="2"/>
  <c r="H84" i="2"/>
  <c r="G84" i="2"/>
  <c r="Z84" i="2"/>
  <c r="X28" i="2"/>
  <c r="X33" i="2" s="1"/>
  <c r="X35" i="2" s="1"/>
  <c r="X37" i="2" s="1"/>
  <c r="X39" i="2" s="1"/>
  <c r="W28" i="2"/>
  <c r="W33" i="2" s="1"/>
  <c r="W35" i="2" s="1"/>
  <c r="W37" i="2" s="1"/>
  <c r="W39" i="2" s="1"/>
  <c r="U28" i="2"/>
  <c r="U33" i="2" s="1"/>
  <c r="U35" i="2" s="1"/>
  <c r="T28" i="2"/>
  <c r="T43" i="2" s="1"/>
  <c r="S28" i="2"/>
  <c r="S33" i="2" s="1"/>
  <c r="S35" i="2" s="1"/>
  <c r="S37" i="2" s="1"/>
  <c r="S39" i="2" s="1"/>
  <c r="Q28" i="2"/>
  <c r="Q33" i="2" s="1"/>
  <c r="Q46" i="2" s="1"/>
  <c r="P28" i="2"/>
  <c r="P33" i="2" s="1"/>
  <c r="P46" i="2" s="1"/>
  <c r="O28" i="2"/>
  <c r="O33" i="2" s="1"/>
  <c r="O46" i="2" s="1"/>
  <c r="M28" i="2"/>
  <c r="M43" i="2" s="1"/>
  <c r="L28" i="2"/>
  <c r="L33" i="2" s="1"/>
  <c r="K28" i="2"/>
  <c r="K33" i="2" s="1"/>
  <c r="K46" i="2" s="1"/>
  <c r="I28" i="2"/>
  <c r="I43" i="2" s="1"/>
  <c r="H28" i="2"/>
  <c r="H33" i="2" s="1"/>
  <c r="H46" i="2" s="1"/>
  <c r="G28" i="2"/>
  <c r="G33" i="2" s="1"/>
  <c r="G46" i="2" s="1"/>
  <c r="K21" i="2"/>
  <c r="Y22" i="2"/>
  <c r="X22" i="2"/>
  <c r="W22" i="2"/>
  <c r="U22" i="2"/>
  <c r="T22" i="2"/>
  <c r="S22" i="2"/>
  <c r="Q22" i="2"/>
  <c r="P22" i="2"/>
  <c r="O22" i="2"/>
  <c r="M22" i="2"/>
  <c r="K22" i="2"/>
  <c r="Y21" i="2"/>
  <c r="X21" i="2"/>
  <c r="W21" i="2"/>
  <c r="U21" i="2"/>
  <c r="T21" i="2"/>
  <c r="S21" i="2"/>
  <c r="Q21" i="2"/>
  <c r="P21" i="2"/>
  <c r="O21" i="2"/>
  <c r="M21" i="2"/>
  <c r="L21" i="2"/>
  <c r="J15" i="2"/>
  <c r="J14" i="2"/>
  <c r="X41" i="2" l="1"/>
  <c r="X77" i="2"/>
  <c r="W41" i="2"/>
  <c r="W77" i="2"/>
  <c r="S41" i="2"/>
  <c r="S77" i="2"/>
  <c r="AY81" i="2"/>
  <c r="Q83" i="2"/>
  <c r="Q85" i="2" s="1"/>
  <c r="F46" i="2"/>
  <c r="R45" i="2"/>
  <c r="F43" i="2"/>
  <c r="J45" i="2"/>
  <c r="C44" i="2"/>
  <c r="AV26" i="2"/>
  <c r="C45" i="2"/>
  <c r="C28" i="2"/>
  <c r="D33" i="2"/>
  <c r="D43" i="2"/>
  <c r="J21" i="2"/>
  <c r="N81" i="2"/>
  <c r="N83" i="2" s="1"/>
  <c r="N85" i="2" s="1"/>
  <c r="AV83" i="2"/>
  <c r="Z83" i="2"/>
  <c r="Z85" i="2" s="1"/>
  <c r="J22" i="2"/>
  <c r="E28" i="2"/>
  <c r="E44" i="2"/>
  <c r="E45" i="2"/>
  <c r="R44" i="2"/>
  <c r="J44" i="2"/>
  <c r="V83" i="2"/>
  <c r="AZ83" i="2" s="1"/>
  <c r="AV81" i="2"/>
  <c r="F39" i="2"/>
  <c r="AV19" i="2"/>
  <c r="J81" i="2"/>
  <c r="J83" i="2" s="1"/>
  <c r="AW83" i="2" s="1"/>
  <c r="BA81" i="2"/>
  <c r="N45" i="2"/>
  <c r="N44" i="2"/>
  <c r="R85" i="2"/>
  <c r="M85" i="2"/>
  <c r="AW82" i="2"/>
  <c r="AX82" i="2"/>
  <c r="AY82" i="2"/>
  <c r="AZ81" i="2"/>
  <c r="V44" i="2"/>
  <c r="V45" i="2"/>
  <c r="Z44" i="2"/>
  <c r="Z45" i="2"/>
  <c r="W47" i="2"/>
  <c r="S47" i="2"/>
  <c r="X47" i="2"/>
  <c r="O85" i="2"/>
  <c r="L35" i="2"/>
  <c r="L37" i="2" s="1"/>
  <c r="L39" i="2" s="1"/>
  <c r="L85" i="2"/>
  <c r="T85" i="2"/>
  <c r="G85" i="2"/>
  <c r="W85" i="2"/>
  <c r="T33" i="2"/>
  <c r="T35" i="2" s="1"/>
  <c r="T37" i="2" s="1"/>
  <c r="T39" i="2" s="1"/>
  <c r="S46" i="2"/>
  <c r="J34" i="2"/>
  <c r="J28" i="2"/>
  <c r="J43" i="2" s="1"/>
  <c r="W46" i="2"/>
  <c r="G43" i="2"/>
  <c r="X46" i="2"/>
  <c r="I33" i="2"/>
  <c r="I35" i="2" s="1"/>
  <c r="I37" i="2" s="1"/>
  <c r="I39" i="2" s="1"/>
  <c r="H85" i="2"/>
  <c r="P85" i="2"/>
  <c r="X85" i="2"/>
  <c r="R34" i="2"/>
  <c r="U85" i="2"/>
  <c r="L46" i="2"/>
  <c r="U46" i="2"/>
  <c r="K43" i="2"/>
  <c r="O35" i="2"/>
  <c r="O37" i="2" s="1"/>
  <c r="O39" i="2" s="1"/>
  <c r="O43" i="2"/>
  <c r="P43" i="2"/>
  <c r="Q43" i="2"/>
  <c r="W43" i="2"/>
  <c r="N28" i="2"/>
  <c r="N43" i="2" s="1"/>
  <c r="N34" i="2"/>
  <c r="V28" i="2"/>
  <c r="V43" i="2" s="1"/>
  <c r="H43" i="2"/>
  <c r="P35" i="2"/>
  <c r="P37" i="2" s="1"/>
  <c r="P39" i="2" s="1"/>
  <c r="Y85" i="2"/>
  <c r="AY84" i="2"/>
  <c r="S43" i="2"/>
  <c r="K85" i="2"/>
  <c r="S85" i="2"/>
  <c r="I85" i="2"/>
  <c r="L43" i="2"/>
  <c r="X43" i="2"/>
  <c r="M33" i="2"/>
  <c r="K35" i="2"/>
  <c r="U43" i="2"/>
  <c r="AW84" i="2"/>
  <c r="G35" i="2"/>
  <c r="G37" i="2" s="1"/>
  <c r="G39" i="2" s="1"/>
  <c r="H35" i="2"/>
  <c r="H37" i="2" s="1"/>
  <c r="H39" i="2" s="1"/>
  <c r="R28" i="2"/>
  <c r="Q35" i="2"/>
  <c r="Q37" i="2" s="1"/>
  <c r="Q39" i="2" s="1"/>
  <c r="BA84" i="2"/>
  <c r="Z28" i="2"/>
  <c r="U37" i="2"/>
  <c r="U39" i="2" s="1"/>
  <c r="V85" i="2" l="1"/>
  <c r="L76" i="2"/>
  <c r="L77" i="2"/>
  <c r="I76" i="2"/>
  <c r="I77" i="2"/>
  <c r="G77" i="2"/>
  <c r="G76" i="2"/>
  <c r="F76" i="2"/>
  <c r="F77" i="2"/>
  <c r="Q77" i="2"/>
  <c r="P77" i="2"/>
  <c r="O77" i="2"/>
  <c r="T77" i="2"/>
  <c r="H77" i="2"/>
  <c r="U76" i="2"/>
  <c r="U77" i="2"/>
  <c r="AW81" i="2"/>
  <c r="AX81" i="2"/>
  <c r="BA83" i="2"/>
  <c r="E33" i="2"/>
  <c r="E43" i="2"/>
  <c r="D35" i="2"/>
  <c r="D37" i="2" s="1"/>
  <c r="D39" i="2" s="1"/>
  <c r="D46" i="2"/>
  <c r="C33" i="2"/>
  <c r="AV28" i="2"/>
  <c r="AV43" i="2" s="1"/>
  <c r="C43" i="2"/>
  <c r="AV44" i="2"/>
  <c r="AV45" i="2"/>
  <c r="F47" i="2"/>
  <c r="F41" i="2"/>
  <c r="AY83" i="2"/>
  <c r="AX83" i="2"/>
  <c r="J85" i="2"/>
  <c r="AW85" i="2" s="1"/>
  <c r="AY85" i="2"/>
  <c r="Q41" i="2"/>
  <c r="Q47" i="2"/>
  <c r="H41" i="2"/>
  <c r="H47" i="2"/>
  <c r="O41" i="2"/>
  <c r="O47" i="2"/>
  <c r="T41" i="2"/>
  <c r="T47" i="2"/>
  <c r="U41" i="2"/>
  <c r="U47" i="2"/>
  <c r="I41" i="2"/>
  <c r="I47" i="2"/>
  <c r="T46" i="2"/>
  <c r="L41" i="2"/>
  <c r="L47" i="2"/>
  <c r="G41" i="2"/>
  <c r="G47" i="2"/>
  <c r="P41" i="2"/>
  <c r="P47" i="2"/>
  <c r="J33" i="2"/>
  <c r="J35" i="2" s="1"/>
  <c r="J37" i="2" s="1"/>
  <c r="J39" i="2" s="1"/>
  <c r="AX85" i="2"/>
  <c r="BA85" i="2"/>
  <c r="M35" i="2"/>
  <c r="M37" i="2" s="1"/>
  <c r="M39" i="2" s="1"/>
  <c r="M46" i="2"/>
  <c r="I46" i="2"/>
  <c r="K37" i="2"/>
  <c r="K39" i="2" s="1"/>
  <c r="AZ85" i="2"/>
  <c r="N33" i="2"/>
  <c r="V33" i="2"/>
  <c r="R33" i="2"/>
  <c r="R43" i="2"/>
  <c r="Z33" i="2"/>
  <c r="Z43" i="2"/>
  <c r="J77" i="2" l="1"/>
  <c r="J76" i="2"/>
  <c r="K77" i="2"/>
  <c r="K76" i="2"/>
  <c r="M76" i="2"/>
  <c r="M77" i="2"/>
  <c r="D76" i="2"/>
  <c r="D77" i="2"/>
  <c r="C46" i="2"/>
  <c r="AV33" i="2"/>
  <c r="AV46" i="2" s="1"/>
  <c r="C35" i="2"/>
  <c r="D41" i="2"/>
  <c r="D47" i="2"/>
  <c r="E46" i="2"/>
  <c r="E35" i="2"/>
  <c r="E37" i="2" s="1"/>
  <c r="E39" i="2" s="1"/>
  <c r="J41" i="2"/>
  <c r="J47" i="2"/>
  <c r="K41" i="2"/>
  <c r="K47" i="2"/>
  <c r="J46" i="2"/>
  <c r="M41" i="2"/>
  <c r="M47" i="2"/>
  <c r="N35" i="2"/>
  <c r="N37" i="2" s="1"/>
  <c r="N39" i="2" s="1"/>
  <c r="N46" i="2"/>
  <c r="Z35" i="2"/>
  <c r="Z37" i="2" s="1"/>
  <c r="Z39" i="2" s="1"/>
  <c r="Z46" i="2"/>
  <c r="R35" i="2"/>
  <c r="R37" i="2" s="1"/>
  <c r="R46" i="2"/>
  <c r="V35" i="2"/>
  <c r="V37" i="2" s="1"/>
  <c r="V39" i="2" s="1"/>
  <c r="V46" i="2"/>
  <c r="V14" i="2"/>
  <c r="Z15" i="2"/>
  <c r="N15" i="2"/>
  <c r="N14" i="2"/>
  <c r="R15" i="2"/>
  <c r="R14" i="2"/>
  <c r="M16" i="2"/>
  <c r="Q16" i="2"/>
  <c r="V15" i="2"/>
  <c r="V4" i="2"/>
  <c r="V3" i="2"/>
  <c r="Z10" i="2" s="1"/>
  <c r="G71" i="2"/>
  <c r="N76" i="2" l="1"/>
  <c r="N77" i="2"/>
  <c r="E76" i="2"/>
  <c r="E77" i="2"/>
  <c r="V77" i="2"/>
  <c r="Z41" i="2"/>
  <c r="Z77" i="2"/>
  <c r="Z11" i="2"/>
  <c r="E47" i="2"/>
  <c r="E41" i="2"/>
  <c r="C37" i="2"/>
  <c r="AV35" i="2"/>
  <c r="V41" i="2"/>
  <c r="V47" i="2"/>
  <c r="Z47" i="2"/>
  <c r="N41" i="2"/>
  <c r="N47" i="2"/>
  <c r="R39" i="2"/>
  <c r="V5" i="2"/>
  <c r="Z5" i="2"/>
  <c r="Z12" i="2" s="1"/>
  <c r="N22" i="2"/>
  <c r="V22" i="2"/>
  <c r="Q18" i="2"/>
  <c r="Q23" i="2"/>
  <c r="Q19" i="2"/>
  <c r="Z16" i="2"/>
  <c r="Z19" i="2" s="1"/>
  <c r="R16" i="2"/>
  <c r="R19" i="2" s="1"/>
  <c r="R22" i="2"/>
  <c r="N21" i="2"/>
  <c r="M19" i="2"/>
  <c r="M18" i="2"/>
  <c r="V21" i="2"/>
  <c r="R21" i="2"/>
  <c r="V16" i="2"/>
  <c r="V19" i="2" s="1"/>
  <c r="N16" i="2"/>
  <c r="N18" i="2" s="1"/>
  <c r="Z21" i="2"/>
  <c r="Z22" i="2"/>
  <c r="R77" i="2" l="1"/>
  <c r="C39" i="2"/>
  <c r="AV37" i="2"/>
  <c r="R41" i="2"/>
  <c r="R47" i="2"/>
  <c r="R18" i="2"/>
  <c r="Z18" i="2"/>
  <c r="V18" i="2"/>
  <c r="R23" i="2"/>
  <c r="V23" i="2"/>
  <c r="N19" i="2"/>
  <c r="C77" i="2" l="1"/>
  <c r="C76" i="2"/>
  <c r="C47" i="2"/>
  <c r="C41" i="2"/>
  <c r="AV39" i="2"/>
  <c r="AV47" i="2" s="1"/>
  <c r="BA4" i="2"/>
  <c r="BB4" i="2" s="1"/>
  <c r="BC4" i="2" s="1"/>
  <c r="BA3" i="2"/>
  <c r="BB3" i="2" s="1"/>
  <c r="BA36" i="2"/>
  <c r="BA34" i="2"/>
  <c r="BA32" i="2"/>
  <c r="BA31" i="2"/>
  <c r="BA30" i="2"/>
  <c r="BA29" i="2"/>
  <c r="BA27" i="2"/>
  <c r="BA15" i="2"/>
  <c r="BA14" i="2"/>
  <c r="AZ36" i="2"/>
  <c r="AZ34" i="2"/>
  <c r="AZ32" i="2"/>
  <c r="AZ31" i="2"/>
  <c r="AZ30" i="2"/>
  <c r="AZ29" i="2"/>
  <c r="AZ27" i="2"/>
  <c r="AZ15" i="2"/>
  <c r="AZ14" i="2"/>
  <c r="AZ4" i="2"/>
  <c r="AZ3" i="2"/>
  <c r="Z71" i="2"/>
  <c r="Z61" i="2"/>
  <c r="AY36" i="2"/>
  <c r="AY34" i="2"/>
  <c r="AY32" i="2"/>
  <c r="AY31" i="2"/>
  <c r="AY30" i="2"/>
  <c r="AY29" i="2"/>
  <c r="AY27" i="2"/>
  <c r="AY15" i="2"/>
  <c r="AY14" i="2"/>
  <c r="AX36" i="2"/>
  <c r="AX34" i="2"/>
  <c r="AX32" i="2"/>
  <c r="AX31" i="2"/>
  <c r="AX30" i="2"/>
  <c r="AX29" i="2"/>
  <c r="AX27" i="2"/>
  <c r="AX15" i="2"/>
  <c r="AX14" i="2"/>
  <c r="AW36" i="2"/>
  <c r="AW34" i="2"/>
  <c r="AW32" i="2"/>
  <c r="AW31" i="2"/>
  <c r="AW30" i="2"/>
  <c r="AW29" i="2"/>
  <c r="AW27" i="2"/>
  <c r="AW15" i="2"/>
  <c r="AW14" i="2"/>
  <c r="Y71" i="2"/>
  <c r="X71" i="2"/>
  <c r="W71" i="2"/>
  <c r="V71" i="2"/>
  <c r="U71" i="2"/>
  <c r="T71" i="2"/>
  <c r="S71" i="2"/>
  <c r="R71" i="2"/>
  <c r="Q71" i="2"/>
  <c r="P71" i="2"/>
  <c r="O71" i="2"/>
  <c r="J71" i="2"/>
  <c r="I71" i="2"/>
  <c r="H71" i="2"/>
  <c r="X61" i="2"/>
  <c r="W61" i="2"/>
  <c r="V61" i="2"/>
  <c r="T61" i="2"/>
  <c r="S61" i="2"/>
  <c r="R61" i="2"/>
  <c r="Q61" i="2"/>
  <c r="P61" i="2"/>
  <c r="O61" i="2"/>
  <c r="H61" i="2"/>
  <c r="Y61" i="2"/>
  <c r="Y78" i="2" s="1"/>
  <c r="X16" i="2"/>
  <c r="W16" i="2"/>
  <c r="U16" i="2"/>
  <c r="T16" i="2"/>
  <c r="S16" i="2"/>
  <c r="P16" i="2"/>
  <c r="O16" i="2"/>
  <c r="L16" i="2"/>
  <c r="K16" i="2"/>
  <c r="J16" i="2"/>
  <c r="I16" i="2"/>
  <c r="H16" i="2"/>
  <c r="G16" i="2"/>
  <c r="Y16" i="2"/>
  <c r="X5" i="2"/>
  <c r="W5" i="2"/>
  <c r="W8" i="2" s="1"/>
  <c r="U5" i="2"/>
  <c r="U8" i="2" s="1"/>
  <c r="T5" i="2"/>
  <c r="T7" i="2" s="1"/>
  <c r="S5" i="2"/>
  <c r="Y5" i="2"/>
  <c r="Y7" i="2" s="1"/>
  <c r="V78" i="2" l="1"/>
  <c r="V76" i="2"/>
  <c r="W78" i="2"/>
  <c r="W76" i="2"/>
  <c r="X78" i="2"/>
  <c r="X76" i="2"/>
  <c r="BC3" i="2"/>
  <c r="BB5" i="2"/>
  <c r="H78" i="2"/>
  <c r="H76" i="2"/>
  <c r="O78" i="2"/>
  <c r="O76" i="2"/>
  <c r="Q78" i="2"/>
  <c r="Q76" i="2"/>
  <c r="P78" i="2"/>
  <c r="P76" i="2"/>
  <c r="Z78" i="2"/>
  <c r="Z76" i="2"/>
  <c r="R78" i="2"/>
  <c r="R76" i="2"/>
  <c r="S78" i="2"/>
  <c r="S76" i="2"/>
  <c r="T78" i="2"/>
  <c r="T76" i="2"/>
  <c r="BA10" i="2"/>
  <c r="BA11" i="2"/>
  <c r="AX22" i="2"/>
  <c r="AY21" i="2"/>
  <c r="AW21" i="2"/>
  <c r="AW22" i="2"/>
  <c r="J23" i="2"/>
  <c r="J19" i="2"/>
  <c r="J18" i="2"/>
  <c r="AY22" i="2"/>
  <c r="AV41" i="2"/>
  <c r="G19" i="2"/>
  <c r="G18" i="2"/>
  <c r="G23" i="2"/>
  <c r="AZ22" i="2"/>
  <c r="H19" i="2"/>
  <c r="H18" i="2"/>
  <c r="H23" i="2"/>
  <c r="I18" i="2"/>
  <c r="I19" i="2"/>
  <c r="I23" i="2"/>
  <c r="AX21" i="2"/>
  <c r="AZ21" i="2"/>
  <c r="BA21" i="2"/>
  <c r="BA22" i="2"/>
  <c r="S19" i="2"/>
  <c r="S18" i="2"/>
  <c r="S23" i="2"/>
  <c r="M23" i="2"/>
  <c r="T19" i="2"/>
  <c r="T18" i="2"/>
  <c r="T23" i="2"/>
  <c r="U19" i="2"/>
  <c r="U18" i="2"/>
  <c r="U23" i="2"/>
  <c r="N23" i="2"/>
  <c r="W18" i="2"/>
  <c r="W23" i="2"/>
  <c r="W19" i="2"/>
  <c r="K19" i="2"/>
  <c r="K18" i="2"/>
  <c r="K23" i="2"/>
  <c r="X18" i="2"/>
  <c r="X23" i="2"/>
  <c r="X19" i="2"/>
  <c r="L19" i="2"/>
  <c r="L18" i="2"/>
  <c r="L23" i="2"/>
  <c r="X12" i="2"/>
  <c r="O18" i="2"/>
  <c r="O23" i="2"/>
  <c r="O19" i="2"/>
  <c r="Y18" i="2"/>
  <c r="Y23" i="2"/>
  <c r="Y19" i="2"/>
  <c r="P18" i="2"/>
  <c r="P23" i="2"/>
  <c r="P19" i="2"/>
  <c r="AY16" i="2"/>
  <c r="AY19" i="2" s="1"/>
  <c r="AW16" i="2"/>
  <c r="AW23" i="2" s="1"/>
  <c r="AX16" i="2"/>
  <c r="S8" i="2"/>
  <c r="S7" i="2"/>
  <c r="BA16" i="2"/>
  <c r="W12" i="2"/>
  <c r="AZ16" i="2"/>
  <c r="AZ18" i="2" s="1"/>
  <c r="T8" i="2"/>
  <c r="X8" i="2"/>
  <c r="Z7" i="2"/>
  <c r="U7" i="2"/>
  <c r="AZ5" i="2"/>
  <c r="Y8" i="2"/>
  <c r="Y12" i="2"/>
  <c r="W7" i="2"/>
  <c r="X7" i="2"/>
  <c r="AY78" i="2" l="1"/>
  <c r="AY76" i="2"/>
  <c r="BC5" i="2"/>
  <c r="BC8" i="2" s="1"/>
  <c r="BD3" i="2"/>
  <c r="BB26" i="2"/>
  <c r="BC26" i="2"/>
  <c r="BC12" i="2"/>
  <c r="AX23" i="2"/>
  <c r="AZ19" i="2"/>
  <c r="AW18" i="2"/>
  <c r="AY18" i="2"/>
  <c r="AZ23" i="2"/>
  <c r="AW19" i="2"/>
  <c r="AX19" i="2"/>
  <c r="AY23" i="2"/>
  <c r="AX18" i="2"/>
  <c r="BA23" i="2"/>
  <c r="BA19" i="2"/>
  <c r="BA18" i="2"/>
  <c r="AW26" i="2"/>
  <c r="AX26" i="2"/>
  <c r="AY28" i="2"/>
  <c r="AY26" i="2"/>
  <c r="BA5" i="2"/>
  <c r="BA12" i="2" s="1"/>
  <c r="BA7" i="2"/>
  <c r="Z23" i="2"/>
  <c r="V7" i="2"/>
  <c r="V8" i="2"/>
  <c r="Z8" i="2"/>
  <c r="BA8" i="2" s="1"/>
  <c r="AW28" i="2"/>
  <c r="AY33" i="2"/>
  <c r="Y28" i="2"/>
  <c r="Y43" i="2" s="1"/>
  <c r="BA26" i="2"/>
  <c r="AZ2" i="2"/>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C8" i="1"/>
  <c r="C7" i="1"/>
  <c r="BC7" i="2" l="1"/>
  <c r="BD5" i="2"/>
  <c r="BD7" i="2" s="1"/>
  <c r="BE3" i="2"/>
  <c r="BE5" i="2" s="1"/>
  <c r="BE26" i="2" s="1"/>
  <c r="AW43" i="2"/>
  <c r="BA44" i="2"/>
  <c r="BA45" i="2"/>
  <c r="BC27" i="2"/>
  <c r="BC30" i="2"/>
  <c r="BC29" i="2"/>
  <c r="BB27" i="2"/>
  <c r="BB28" i="2" s="1"/>
  <c r="BB30" i="2"/>
  <c r="BB29" i="2"/>
  <c r="BB12" i="2"/>
  <c r="AY46" i="2"/>
  <c r="AX45" i="2"/>
  <c r="AX44" i="2"/>
  <c r="AY44" i="2"/>
  <c r="AY45" i="2"/>
  <c r="AY43" i="2"/>
  <c r="AW44" i="2"/>
  <c r="AW45" i="2"/>
  <c r="AX28" i="2"/>
  <c r="AX43" i="2" s="1"/>
  <c r="AZ7" i="2"/>
  <c r="AZ26" i="2"/>
  <c r="AZ8" i="2"/>
  <c r="AW33" i="2"/>
  <c r="AW46" i="2" s="1"/>
  <c r="AY35" i="2"/>
  <c r="AZ28" i="2"/>
  <c r="BA28" i="2"/>
  <c r="BA43" i="2" s="1"/>
  <c r="Y33" i="2"/>
  <c r="K66" i="3"/>
  <c r="K67" i="3"/>
  <c r="K69" i="3"/>
  <c r="K68" i="3" s="1"/>
  <c r="K70" i="3" s="1"/>
  <c r="C10" i="1"/>
  <c r="BE30" i="2" l="1"/>
  <c r="BE29" i="2"/>
  <c r="BE27" i="2"/>
  <c r="BE28" i="2" s="1"/>
  <c r="BD26" i="2"/>
  <c r="BD12" i="2"/>
  <c r="BD8" i="2"/>
  <c r="BE7" i="2"/>
  <c r="BE12" i="2"/>
  <c r="BE8" i="2"/>
  <c r="BD27" i="2"/>
  <c r="BD28" i="2" s="1"/>
  <c r="BD30" i="2"/>
  <c r="BD29" i="2"/>
  <c r="BC33" i="2"/>
  <c r="BC46" i="2" s="1"/>
  <c r="BB33" i="2"/>
  <c r="BB46" i="2" s="1"/>
  <c r="AZ43" i="2"/>
  <c r="AZ44" i="2"/>
  <c r="AZ45" i="2"/>
  <c r="Y35" i="2"/>
  <c r="Y46" i="2"/>
  <c r="AX33" i="2"/>
  <c r="AX46" i="2" s="1"/>
  <c r="AY37" i="2"/>
  <c r="AY39" i="2" s="1"/>
  <c r="AY47" i="2" s="1"/>
  <c r="AY41" i="2"/>
  <c r="AW35" i="2"/>
  <c r="AZ33" i="2"/>
  <c r="AZ46" i="2" s="1"/>
  <c r="BA33" i="2"/>
  <c r="BA46" i="2" s="1"/>
  <c r="BE33" i="2" l="1"/>
  <c r="BE46" i="2" s="1"/>
  <c r="BD33" i="2"/>
  <c r="BD46" i="2" s="1"/>
  <c r="BB35" i="2"/>
  <c r="AX35" i="2"/>
  <c r="AW41" i="2"/>
  <c r="AW37" i="2"/>
  <c r="AW39" i="2" s="1"/>
  <c r="AW47" i="2" s="1"/>
  <c r="AZ35" i="2"/>
  <c r="BA35" i="2"/>
  <c r="Y37" i="2"/>
  <c r="Y39" i="2" s="1"/>
  <c r="BB36" i="2" l="1"/>
  <c r="Y76" i="2"/>
  <c r="Y77" i="2"/>
  <c r="Y41" i="2"/>
  <c r="Y47" i="2"/>
  <c r="AX37" i="2"/>
  <c r="AX39" i="2" s="1"/>
  <c r="AX47" i="2" s="1"/>
  <c r="AX41" i="2"/>
  <c r="AZ37" i="2"/>
  <c r="AZ39" i="2" s="1"/>
  <c r="AZ47" i="2" s="1"/>
  <c r="BB49" i="2" l="1"/>
  <c r="BC34" i="2" s="1"/>
  <c r="BC35" i="2" s="1"/>
  <c r="BB41" i="2"/>
  <c r="BA41" i="2"/>
  <c r="AZ41" i="2"/>
  <c r="BA37" i="2"/>
  <c r="BA39" i="2" s="1"/>
  <c r="BA47" i="2" s="1"/>
  <c r="BC36" i="2" l="1"/>
  <c r="BC37" i="2" s="1"/>
  <c r="BC39" i="2" s="1"/>
  <c r="BC49" i="2" l="1"/>
  <c r="BC47" i="2"/>
  <c r="BC41" i="2"/>
  <c r="BD34" i="2" l="1"/>
  <c r="BD35" i="2" s="1"/>
  <c r="BD36" i="2" l="1"/>
  <c r="BD37" i="2" s="1"/>
  <c r="BD39" i="2" s="1"/>
  <c r="BD47" i="2" l="1"/>
  <c r="BD41" i="2"/>
  <c r="BD49" i="2"/>
  <c r="BE34" i="2" l="1"/>
  <c r="BE35" i="2" s="1"/>
  <c r="BE36" i="2" s="1"/>
  <c r="BE37" i="2" s="1"/>
  <c r="BE39" i="2" s="1"/>
  <c r="BE49" i="2" s="1"/>
  <c r="BF34" i="2" l="1"/>
  <c r="BF35" i="2" s="1"/>
  <c r="BE41" i="2"/>
  <c r="BE47" i="2"/>
  <c r="BF36" i="2" l="1"/>
  <c r="BF37" i="2" s="1"/>
  <c r="BF39" i="2" s="1"/>
  <c r="BF41" i="2" l="1"/>
  <c r="BF47" i="2"/>
  <c r="BF49" i="2"/>
  <c r="BG34" i="2" l="1"/>
  <c r="BG35" i="2" s="1"/>
  <c r="BG36" i="2" l="1"/>
  <c r="BG37" i="2" s="1"/>
  <c r="BG39" i="2" s="1"/>
  <c r="BG41" i="2" l="1"/>
  <c r="BG47" i="2"/>
  <c r="BG49" i="2"/>
  <c r="BH34" i="2" l="1"/>
  <c r="BH35" i="2" s="1"/>
  <c r="BH36" i="2" s="1"/>
  <c r="BH37" i="2" s="1"/>
  <c r="BH39" i="2" s="1"/>
  <c r="BH41" i="2" l="1"/>
  <c r="BH47" i="2"/>
  <c r="BH49" i="2"/>
  <c r="BI34" i="2" s="1"/>
  <c r="BI35" i="2" s="1"/>
  <c r="BI36" i="2" l="1"/>
  <c r="BI37" i="2" s="1"/>
  <c r="BI39" i="2" s="1"/>
  <c r="BI49" i="2" l="1"/>
  <c r="BI47" i="2"/>
  <c r="BI41" i="2"/>
  <c r="BJ34" i="2" l="1"/>
  <c r="BJ35" i="2" s="1"/>
  <c r="BJ36" i="2" s="1"/>
  <c r="BJ37" i="2" s="1"/>
  <c r="BJ39" i="2" s="1"/>
  <c r="BJ49" i="2" s="1"/>
  <c r="BK34" i="2" l="1"/>
  <c r="BK35" i="2" s="1"/>
  <c r="BK36" i="2" s="1"/>
  <c r="BK37" i="2" s="1"/>
  <c r="BK39" i="2" s="1"/>
  <c r="BK49" i="2" s="1"/>
  <c r="BJ47" i="2"/>
  <c r="BJ41" i="2"/>
  <c r="BK47" i="2" l="1"/>
  <c r="BK41" i="2"/>
  <c r="BL39" i="2"/>
  <c r="BM39" i="2" l="1"/>
  <c r="BN39" i="2" s="1"/>
  <c r="BO39" i="2" s="1"/>
  <c r="BP39" i="2" s="1"/>
  <c r="BQ39" i="2" s="1"/>
  <c r="BR39" i="2" s="1"/>
  <c r="BS39" i="2" s="1"/>
  <c r="BT39" i="2" s="1"/>
  <c r="BU39" i="2" s="1"/>
  <c r="BV39" i="2" s="1"/>
  <c r="BW39" i="2" s="1"/>
  <c r="BX39" i="2" s="1"/>
  <c r="BY39" i="2" s="1"/>
  <c r="BZ39" i="2" s="1"/>
  <c r="CA39" i="2" s="1"/>
  <c r="CB39" i="2" s="1"/>
  <c r="CC39" i="2" s="1"/>
  <c r="CD39" i="2" s="1"/>
  <c r="CE39" i="2" s="1"/>
  <c r="CF39" i="2" s="1"/>
  <c r="CG39" i="2" s="1"/>
  <c r="CH39" i="2" s="1"/>
  <c r="CI39" i="2" s="1"/>
  <c r="CJ39" i="2" s="1"/>
  <c r="CK39" i="2" s="1"/>
  <c r="CL39" i="2" s="1"/>
  <c r="CM39" i="2" s="1"/>
  <c r="CN39" i="2" s="1"/>
  <c r="CO39" i="2" s="1"/>
  <c r="CP39" i="2" s="1"/>
  <c r="BD58" i="2" l="1"/>
  <c r="BD60" i="2" s="1"/>
  <c r="BD62" i="2" s="1"/>
  <c r="BE6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tc={DB091BD2-E92B-4C65-84CF-37435A1596A1}</author>
    <author>tc={92B3D3CD-DC2C-48F4-A1D7-C377F3162060}</author>
  </authors>
  <commentList>
    <comment ref="BB41" authorId="0"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Excluded one-time write-down of immersive (non-operating)</t>
      </text>
    </comment>
    <comment ref="BC41" authorId="1"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t>
      </text>
    </comment>
  </commentList>
</comments>
</file>

<file path=xl/sharedStrings.xml><?xml version="1.0" encoding="utf-8"?>
<sst xmlns="http://schemas.openxmlformats.org/spreadsheetml/2006/main" count="802" uniqueCount="736">
  <si>
    <t xml:space="preserve">Price </t>
  </si>
  <si>
    <t>MC</t>
  </si>
  <si>
    <t>Cash</t>
  </si>
  <si>
    <t>Debt</t>
  </si>
  <si>
    <t>EV</t>
  </si>
  <si>
    <t>PEN</t>
  </si>
  <si>
    <t>Company Overview:</t>
  </si>
  <si>
    <t>Founded: 2004</t>
  </si>
  <si>
    <t>Headquarted: Alameda</t>
  </si>
  <si>
    <t>Current CEO: Adam Elsesser (Founding Member)</t>
  </si>
  <si>
    <t>Employees: 4,500</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</si>
  <si>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</si>
  <si>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</si>
  <si>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</si>
  <si>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</si>
  <si>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</si>
  <si>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</si>
  <si>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</si>
  <si>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</si>
  <si>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</si>
  <si>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</si>
  <si>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</si>
  <si>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</si>
  <si>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</si>
  <si>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</si>
  <si>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</si>
  <si>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</si>
  <si>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</si>
  <si>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</si>
  <si>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</si>
  <si>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</si>
  <si>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</si>
  <si>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</si>
  <si>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</si>
  <si>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</si>
  <si>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</si>
  <si>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</si>
  <si>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</si>
  <si>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</si>
  <si>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</si>
  <si>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</si>
  <si>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</si>
  <si>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</si>
  <si>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</si>
  <si>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</si>
  <si>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</si>
  <si>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</si>
  <si>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</si>
  <si>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</si>
  <si>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</si>
  <si>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</si>
  <si>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</si>
  <si>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</si>
  <si>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</si>
  <si>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</si>
  <si>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</si>
  <si>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</si>
  <si>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</si>
  <si>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</si>
  <si>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</si>
  <si>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</si>
  <si>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</si>
  <si>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</si>
  <si>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</si>
  <si>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</si>
  <si>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</si>
  <si>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</si>
  <si>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</si>
  <si>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</si>
  <si>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</si>
  <si>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</si>
  <si>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</si>
  <si>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</si>
  <si>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</si>
  <si>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</si>
  <si>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</si>
  <si>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</si>
  <si>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</si>
  <si>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</si>
  <si>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</si>
  <si>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</si>
  <si>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</si>
  <si>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</si>
  <si>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</si>
  <si>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</si>
  <si>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</si>
  <si>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</si>
  <si>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</si>
  <si>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</si>
  <si>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</si>
  <si>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</si>
  <si>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</si>
  <si>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</si>
  <si>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</si>
  <si>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</si>
  <si>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</si>
  <si>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</si>
  <si>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</si>
  <si>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</si>
  <si>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</si>
  <si>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</si>
  <si>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</si>
  <si>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</si>
  <si>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</si>
  <si>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</si>
  <si>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</si>
  <si>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</si>
  <si>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</si>
  <si>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</si>
  <si>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</si>
  <si>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</si>
  <si>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</si>
  <si>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</si>
  <si>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</si>
  <si>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</si>
  <si>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</si>
  <si>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</si>
  <si>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</si>
  <si>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</si>
  <si>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</si>
  <si>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</si>
  <si>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</si>
  <si>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</si>
  <si>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</si>
  <si>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</si>
  <si>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</si>
  <si>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</si>
  <si>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</si>
  <si>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</si>
  <si>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</si>
  <si>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</si>
  <si>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</si>
  <si>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</si>
  <si>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</si>
  <si>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</si>
  <si>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</si>
  <si>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</si>
  <si>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</si>
  <si>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</si>
  <si>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</si>
  <si>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</si>
  <si>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</si>
  <si>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</si>
  <si>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</si>
  <si>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</si>
  <si>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</si>
  <si>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</si>
  <si>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</si>
  <si>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</si>
  <si>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</si>
  <si>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</si>
  <si>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</si>
  <si>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</si>
  <si>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</si>
  <si>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</si>
  <si>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</si>
  <si>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</si>
  <si>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</si>
  <si>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</si>
  <si>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</si>
  <si>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</si>
  <si>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</si>
  <si>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</si>
  <si>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</si>
  <si>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</si>
  <si>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</si>
  <si>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</si>
  <si>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</si>
  <si>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</si>
  <si>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</si>
  <si>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</si>
  <si>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</si>
  <si>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</si>
  <si>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</si>
  <si>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</si>
  <si>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</si>
  <si>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</si>
  <si>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</si>
  <si>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</si>
  <si>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</si>
  <si>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</si>
  <si>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</si>
  <si>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</si>
  <si>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</si>
  <si>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</si>
  <si>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</si>
  <si>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</si>
  <si>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</si>
  <si>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</si>
  <si>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</si>
  <si>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</si>
  <si>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</si>
  <si>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</si>
  <si>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</si>
  <si>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</si>
  <si>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</si>
  <si>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</si>
  <si>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</si>
  <si>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</si>
  <si>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</si>
  <si>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</si>
  <si>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</si>
  <si>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</si>
  <si>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</si>
  <si>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</si>
  <si>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</si>
  <si>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</si>
  <si>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</si>
  <si>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</si>
  <si>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</si>
  <si>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</si>
  <si>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</si>
  <si>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</si>
  <si>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</si>
  <si>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</si>
  <si>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</si>
  <si>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</si>
  <si>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</si>
  <si>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</si>
  <si>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</si>
  <si>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</si>
  <si>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</si>
  <si>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</si>
  <si>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</si>
  <si>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</si>
  <si>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</si>
  <si>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</si>
  <si>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</si>
  <si>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</si>
  <si>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</si>
  <si>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</si>
  <si>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</si>
  <si>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</si>
  <si>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</si>
  <si>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</si>
  <si>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</si>
  <si>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</si>
  <si>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</si>
  <si>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</si>
  <si>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</si>
  <si>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</si>
  <si>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</si>
  <si>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</si>
  <si>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</si>
  <si>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</si>
  <si>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</si>
  <si>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</si>
  <si>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</si>
  <si>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</si>
  <si>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</si>
  <si>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</si>
  <si>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</si>
  <si>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</si>
  <si>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</si>
  <si>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</si>
  <si>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</si>
  <si>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</si>
  <si>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</si>
  <si>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</si>
  <si>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</si>
  <si>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</si>
  <si>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</si>
  <si>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</si>
  <si>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</si>
  <si>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</si>
  <si>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</si>
  <si>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</si>
  <si>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</si>
  <si>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</si>
  <si>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</si>
  <si>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</si>
  <si>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PEN 1 Year Historical Return Histogram (3/30/25)</t>
  </si>
  <si>
    <t>1D Change</t>
  </si>
  <si>
    <t>Notes/observations while working on historicals</t>
  </si>
  <si>
    <t>Apr</t>
  </si>
  <si>
    <t>July</t>
  </si>
  <si>
    <t>Oct</t>
  </si>
  <si>
    <t>Jan</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</si>
  <si>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</si>
  <si>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</si>
  <si>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</si>
  <si>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</si>
  <si>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</si>
  <si>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</si>
  <si>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</si>
  <si>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</si>
  <si>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</si>
  <si>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</si>
  <si>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</si>
  <si>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</si>
  <si>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</si>
  <si>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</si>
  <si>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</si>
  <si>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</si>
  <si>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</si>
  <si>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</si>
  <si>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</si>
  <si>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</si>
  <si>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</si>
  <si>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</si>
  <si>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</si>
  <si>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</si>
  <si>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</si>
  <si>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</si>
  <si>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</si>
  <si>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</si>
  <si>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Quarterly</t>
  </si>
  <si>
    <t>Revenues</t>
  </si>
  <si>
    <t>Thrombectomy</t>
  </si>
  <si>
    <t>Embolization and Access</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</si>
  <si>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</si>
  <si>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</si>
  <si>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</si>
  <si>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</si>
  <si>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</si>
  <si>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</si>
  <si>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</si>
  <si>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</si>
  <si>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</si>
  <si>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</si>
  <si>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</si>
  <si>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</si>
  <si>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</si>
  <si>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</si>
  <si>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</si>
  <si>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</si>
  <si>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</si>
  <si>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</si>
  <si>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</si>
  <si>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</si>
  <si>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Taxes</t>
  </si>
  <si>
    <t>SC</t>
  </si>
  <si>
    <t>EPS</t>
  </si>
  <si>
    <t>Cash &amp; C.E.s</t>
  </si>
  <si>
    <t>Marketable Investments</t>
  </si>
  <si>
    <t>A/R</t>
  </si>
  <si>
    <t>Inventories</t>
  </si>
  <si>
    <t>Prepaid Expenses</t>
  </si>
  <si>
    <t>PP&amp;E</t>
  </si>
  <si>
    <t>Financing Leases</t>
  </si>
  <si>
    <t>Operating Leases</t>
  </si>
  <si>
    <t>Intangible Assets, net</t>
  </si>
  <si>
    <t>Goodwill</t>
  </si>
  <si>
    <t>Deffered Tax Assets</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</si>
  <si>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</si>
  <si>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</si>
  <si>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</si>
  <si>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</si>
  <si>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</si>
  <si>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</si>
  <si>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</si>
  <si>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</si>
  <si>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</si>
  <si>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</si>
  <si>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</si>
  <si>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</si>
  <si>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</si>
  <si>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</si>
  <si>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</si>
  <si>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</si>
  <si>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</si>
  <si>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</si>
  <si>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</si>
  <si>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</si>
  <si>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</si>
  <si>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</si>
  <si>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</si>
  <si>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</si>
  <si>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</si>
  <si>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</si>
  <si>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</si>
  <si>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</si>
  <si>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</si>
  <si>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</si>
  <si>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</si>
  <si>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</si>
  <si>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</si>
  <si>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</si>
  <si>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</si>
  <si>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</si>
  <si>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</si>
  <si>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</si>
  <si>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</si>
  <si>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</si>
  <si>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</si>
  <si>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</si>
  <si>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</si>
  <si>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</si>
  <si>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</si>
  <si>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</si>
  <si>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</si>
  <si>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</si>
  <si>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</si>
  <si>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</si>
  <si>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</si>
  <si>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</si>
  <si>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</si>
  <si>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</si>
  <si>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</si>
  <si>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Most endovascular procedures require access to the diseased area using guidewires and catheters</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</si>
  <si>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</si>
  <si>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</si>
  <si>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</si>
  <si>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</si>
  <si>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</si>
  <si>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~350k</t>
  </si>
  <si>
    <t>~800k</t>
  </si>
  <si>
    <t>Clot from Arteriovenous Graft or Fistula:</t>
  </si>
  <si>
    <t>~1.2 mil</t>
  </si>
  <si>
    <t>DVT occurs when a clot forms in a deep vein, usually in the leg and sometimes in the arm</t>
  </si>
  <si>
    <t>Sum total estimated PEs per year:</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</si>
  <si>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</si>
  <si>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</si>
  <si>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</si>
  <si>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</si>
  <si>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</si>
  <si>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</si>
  <si>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</si>
  <si>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</si>
  <si>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</si>
  <si>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</si>
  <si>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</si>
  <si>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</si>
  <si>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</si>
  <si>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</si>
  <si>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</si>
  <si>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</si>
  <si>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</si>
  <si>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</si>
  <si>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</si>
  <si>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</si>
  <si>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</si>
  <si>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</si>
  <si>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</si>
  <si>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The thrombectomy market is comprised of vascular diseases and disorders occurring in vessels throughout the body, including ischemic stroke, VT such as pulmonary embolism, acute limb ischemia, DVT, coronary disease and other conditions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</si>
  <si>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</si>
  <si>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</si>
  <si>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</si>
  <si>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</si>
  <si>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</si>
  <si>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</si>
  <si>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</si>
  <si>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</si>
  <si>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</si>
  <si>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</si>
  <si>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</si>
  <si>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</si>
  <si>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</si>
  <si>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</si>
  <si>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</si>
  <si>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</si>
  <si>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</si>
  <si>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</si>
  <si>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</si>
  <si>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</si>
  <si>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</si>
  <si>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</si>
  <si>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</si>
  <si>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</si>
  <si>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</si>
  <si>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</si>
  <si>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</si>
  <si>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</si>
  <si>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</si>
  <si>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</si>
  <si>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</si>
  <si>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</si>
  <si>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</si>
  <si>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</si>
  <si>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</si>
  <si>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</si>
  <si>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</si>
  <si>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</si>
  <si>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</si>
  <si>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</si>
  <si>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</si>
  <si>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</si>
  <si>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</si>
  <si>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</si>
  <si>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</si>
  <si>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</si>
  <si>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</si>
  <si>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</si>
  <si>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</si>
  <si>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</si>
  <si>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</si>
  <si>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</si>
  <si>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</si>
  <si>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</si>
  <si>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</si>
  <si>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</si>
  <si>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</si>
  <si>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</si>
  <si>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</si>
  <si>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</si>
  <si>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</si>
  <si>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Sum total estimated DVTs per year:</t>
  </si>
  <si>
    <t>Approximately 250,000 ALIs per year in the U.S., which are generally eligible for treatment with mechanical or computer assisted vacuum thrombectomy</t>
  </si>
  <si>
    <t>~250k</t>
  </si>
  <si>
    <t>~2.25 mil</t>
  </si>
  <si>
    <t>~2.5 mil</t>
  </si>
  <si>
    <t>U.S. # of ALIs per year:</t>
  </si>
  <si>
    <t>Sum total estimated ALIs per year:</t>
  </si>
  <si>
    <t>U.S. # of strokes per year:</t>
  </si>
  <si>
    <t>Sum total estimated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</si>
  <si>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</si>
  <si>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</si>
  <si>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</si>
  <si>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</si>
  <si>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</si>
  <si>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</si>
  <si>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</si>
  <si>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We believe these arrangements will allow us to monetize our technology while helping us to mitigate market risk</t>
  </si>
  <si>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</si>
  <si>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</si>
  <si>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</si>
  <si>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</si>
  <si>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</si>
  <si>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</si>
  <si>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</si>
  <si>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Terumo:</t>
  </si>
  <si>
    <t>Johnson and Johnson</t>
  </si>
  <si>
    <t>Ticker:</t>
  </si>
  <si>
    <t>Public Competitors:</t>
  </si>
  <si>
    <t>BSX</t>
  </si>
  <si>
    <t xml:space="preserve">NARI </t>
  </si>
  <si>
    <t>&lt;- Acquired by Stryker (Feb. 20, 2025) for ~$4.9 billion (an incredible 60% premium on the trading market valuation)</t>
  </si>
  <si>
    <t>https://pubmed.ncbi.nlm.nih.gov/?term=Penumbra+Inc</t>
  </si>
  <si>
    <t>SO</t>
  </si>
  <si>
    <t xml:space="preserve">Embolization </t>
  </si>
  <si>
    <t>&amp; Access</t>
  </si>
  <si>
    <t>Private Competitors:</t>
  </si>
  <si>
    <t>MDT</t>
  </si>
  <si>
    <t>TRUMY (Japanese)</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</si>
  <si>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</si>
  <si>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</si>
  <si>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</si>
  <si>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</si>
  <si>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</si>
  <si>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</si>
  <si>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</si>
  <si>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</si>
  <si>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</si>
  <si>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</si>
  <si>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</si>
  <si>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</si>
  <si>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</si>
  <si>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</si>
  <si>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</si>
  <si>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</si>
  <si>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</si>
  <si>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</si>
  <si>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</si>
  <si>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</si>
  <si>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</si>
  <si>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</si>
  <si>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</si>
  <si>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</si>
  <si>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</si>
  <si>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</si>
  <si>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</si>
  <si>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</si>
  <si>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Our success depends in part on our ability to protect our proprietary technology and intellectual property and operate without infringing the patents and other proprietary rights of third parties</t>
  </si>
  <si>
    <t>Innovation is key; consequences mean falling behind -&gt; reducing earnings potential if The Company falls behind in product pipeline while requiring the same if not more R&amp;D spend to catch up/leapfrog competitors back into a dominant position (think mix between semiconductor and biopharma industries)</t>
  </si>
  <si>
    <t>We rely on a combination of patent, trademark, trade secret, copyright and other intellectual property rights and measures to protect our intellectual property rights that we consider important to our business</t>
  </si>
  <si>
    <t>We also rely on know-how and continuing technological innovation to develop and maintain our competitive position</t>
  </si>
  <si>
    <t>We do not have any material licenses to any technology or intellectual property rights</t>
  </si>
  <si>
    <t>SYK</t>
  </si>
  <si>
    <t>Penumbra Inc. (PEN)</t>
  </si>
  <si>
    <t>~200k</t>
  </si>
  <si>
    <t>~1.9 mil</t>
  </si>
  <si>
    <t>~2.1 mil</t>
  </si>
  <si>
    <t>~300k</t>
  </si>
  <si>
    <t>~8 mil</t>
  </si>
  <si>
    <t>~8.3 mil</t>
  </si>
  <si>
    <t>U.S. # of ACS per year:</t>
  </si>
  <si>
    <t>Intl. # of ACS per year:</t>
  </si>
  <si>
    <t>Sum total estimated ACS per year:</t>
  </si>
  <si>
    <t>Eligible for mechanical intervention</t>
  </si>
  <si>
    <t>13 of these patents relate to components of the Penumbra System and the Indigo System</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</si>
  <si>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</si>
  <si>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</si>
  <si>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Government Regulation:</t>
  </si>
  <si>
    <r>
      <t>Embolization and Access</t>
    </r>
    <r>
      <rPr>
        <b/>
        <sz val="11"/>
        <color rgb="FF000000"/>
        <rFont val="Times New Roman"/>
        <family val="1"/>
      </rPr>
      <t>: </t>
    </r>
    <r>
      <rPr>
        <sz val="11"/>
        <color theme="1"/>
        <rFont val="Calibre"/>
      </rPr>
      <t>Neurosurgeons, interventional neuroradiologists, interventional neurologists, interventional radiologists, vascular surgeons and pediatric interventional cardiologists</t>
    </r>
  </si>
  <si>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</si>
  <si>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</si>
  <si>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</si>
  <si>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</si>
  <si>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</si>
  <si>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</si>
  <si>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</si>
  <si>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Q1'27</t>
  </si>
  <si>
    <t>Q2'27</t>
  </si>
  <si>
    <t>Q3'27</t>
  </si>
  <si>
    <t>Q4'27</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</si>
  <si>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</si>
  <si>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</si>
  <si>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</si>
  <si>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</si>
  <si>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</si>
  <si>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</si>
  <si>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</si>
  <si>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</si>
  <si>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</si>
  <si>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</si>
  <si>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</si>
  <si>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</si>
  <si>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</si>
  <si>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</si>
  <si>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</si>
  <si>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</si>
  <si>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</si>
  <si>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</si>
  <si>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</si>
  <si>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</si>
  <si>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</si>
  <si>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</si>
  <si>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Revenue growth is quite impressive</t>
  </si>
  <si>
    <t>Institutional Ownership Snapshot (4/14/2025)</t>
  </si>
  <si>
    <t>Address: One Penumbra Place, 
Alameda, CA 94502</t>
  </si>
  <si>
    <t>https://ppubs.uspto.gov/pubwebapp/static/pages/ppubsbasic.html</t>
  </si>
  <si>
    <t>Registered Exchange: NYSE</t>
  </si>
  <si>
    <t>See Management Scope for further details on company personnel structure</t>
  </si>
  <si>
    <t>Substantially all of The Company's research and development efforts are based out of the campus in Alameda, California</t>
  </si>
  <si>
    <t>Net Income attr to Non-Cont</t>
  </si>
  <si>
    <t>Consolidated Net Income</t>
  </si>
  <si>
    <t>Net Income attr to PEN</t>
  </si>
  <si>
    <t xml:space="preserve">SG&amp;A as % of Revenues </t>
  </si>
  <si>
    <t>Q1'19</t>
  </si>
  <si>
    <t>Q2'19</t>
  </si>
  <si>
    <t>Q3'19</t>
  </si>
  <si>
    <t>Q4'19</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</si>
  <si>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</si>
  <si>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</si>
  <si>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Follow Up List</t>
  </si>
  <si>
    <t>Track and quantify the total write-down/impairment of Immersive</t>
  </si>
  <si>
    <t>Fortress balance sheet</t>
  </si>
  <si>
    <t>Zero debt leverage... Would have been great if managers accessed debt through bond issuance pre march 2022 (beg. of FED hike cycle) but terms may still have been unfavorable for a "smaller enterprise"</t>
  </si>
  <si>
    <t>Goodwill remains only 10-15% of the balance sheet</t>
  </si>
  <si>
    <t>Inventories are a large portion of the firms balance sheet … the amount of inventory is the one spooky thing on the balance sheet … requires further research … compare to competitors/other med-tech firms</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</si>
  <si>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</si>
  <si>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</si>
  <si>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</si>
  <si>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</si>
  <si>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</si>
  <si>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</si>
  <si>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</si>
  <si>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</si>
  <si>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The firm's quick ratio is still &gt; 300% ... meaning, yes, evaluating inventory levels will indeed be important, but is not yet a glaring problem</t>
  </si>
  <si>
    <t>Not much M&amp;A activity to gunk up that balance</t>
  </si>
  <si>
    <t>Listen in to earnings call about projected/guided revenue growth figures (although management is somewhat hesitant to share insights into such figures because of a previous mishap)</t>
  </si>
  <si>
    <t>The Firm turns inventory over ~once a year at current rates and balances</t>
  </si>
  <si>
    <t>Penumbra is uniquely positioned, and almost benefits from the current tariff regime in comparison to competing firms/peers</t>
  </si>
  <si>
    <t>Earnings</t>
  </si>
  <si>
    <t>I remember during my '23 internship, management had mentioned a focus on expanding margins and shifting towards profitability</t>
  </si>
  <si>
    <t>Med-Tech had been punished and left behind in the '24 bull market, as with most other healthcare operators… in the new risk off environment, analysts and the market are looking for safer cash flows… now to determine if these cash flows are overvalued…</t>
  </si>
  <si>
    <t>Sources for model:</t>
  </si>
  <si>
    <t>SEC filings</t>
  </si>
  <si>
    <t>Discount</t>
  </si>
  <si>
    <t>NPV</t>
  </si>
  <si>
    <t>FV</t>
  </si>
  <si>
    <t>CP</t>
  </si>
  <si>
    <t>ROIC</t>
  </si>
  <si>
    <t>Maturity</t>
  </si>
  <si>
    <t>ERP</t>
  </si>
  <si>
    <t>Change</t>
  </si>
  <si>
    <t>Equity β</t>
  </si>
  <si>
    <t>There is slight implied upside to mean 1-day returns</t>
  </si>
  <si>
    <t>Total Revenues, Net Income, FCF</t>
  </si>
  <si>
    <t>Earnings Call Transcript Scopes:</t>
  </si>
  <si>
    <t>Q4'24 Earnings Call</t>
  </si>
  <si>
    <t>C-Suite:</t>
  </si>
  <si>
    <t>Clinical Trial/Product Channels</t>
  </si>
  <si>
    <t>Earnings calls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</si>
  <si>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</si>
  <si>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</si>
  <si>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</si>
  <si>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</si>
  <si>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</si>
  <si>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</si>
  <si>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</si>
  <si>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Focus up on understanding stalling embolization growth. Why is thrombectomy continuing to drive massive growth from a larger base while embolization has reached a local max of sorts.</t>
  </si>
  <si>
    <t>Focus up on laggard international growth. I remember announcements of slight pullbacks in EU during my 2023 internship, and the China market has been struggling out of the COVID era (already a questionable business segment though with the licensing deal... commit to further research)</t>
  </si>
  <si>
    <t xml:space="preserve">The return distribution doesn't quite follow a Gaussian distribution curve. </t>
  </si>
  <si>
    <t>Inventory turnover, and inventory fair-value adjustments will also be important figures to track. Management must be incredibly diligent with revenue/profit maximization models for their current portfolio, and continue to develop a pipeline of new/innovative products</t>
  </si>
  <si>
    <t>Relatively esoteric balance sheet. It would be nice to have an inventory breakdown by product…</t>
  </si>
  <si>
    <t xml:space="preserve">Costa Rica remains unaffected by specially levied tariffs beyond the baseline 10% … it will be important to track the capital investment going into the costa Rica site, and learn more about the proposed operations. </t>
  </si>
  <si>
    <t>The Company will be able to meet all demand with domestic manufacturing, allowing for their margins to remain relatively unaffected by current trade policy debacles… will be important to track retaliatory tariffs, although international markets have been a shrinking portion of revenues, and the Chinese business has already been heavily discounted by the market well before federal policy came into play</t>
  </si>
  <si>
    <t>Seen below -- Penumbra's traded common stock has decisively outperformed the majority of it's competing peers (next up, look into BSX)</t>
  </si>
  <si>
    <t>https://pubmed.ncbi.nlm.nih.gov/34706845/</t>
  </si>
  <si>
    <t>https://pubmed.ncbi.nlm.nih.gov/37084878/</t>
  </si>
  <si>
    <t xml:space="preserve">  3 σ 1-Day Δ: ±</t>
  </si>
  <si>
    <t>This initiative is coming to fruition… While revenues have continued to grow attractively (although the second derivative has come down), net earnings and FCF have been growing significantly and are estimated to explode like a cash geyser in the coming quarters/years</t>
  </si>
  <si>
    <t>Is that expansion to NI already priced in? Try and build a reverse DCF model of sorts to try and guage how the market it pricing penumbra… is it being conservative with future growth estimates?</t>
  </si>
  <si>
    <t xml:space="preserve">Management has continued to demonstrate strong capital investment initiatives when it comes to the core business… </t>
  </si>
  <si>
    <t>Sucessful and expanding portfolio (strong niche in the accute thrombectomy market) ; Office expansion with alameda campus during the Pandemic + entrance into Roseville, Livermore sites ; Strategic Share Repurchase (Aug. 2024);  Costa Rica site expansion for comparative advantages</t>
  </si>
  <si>
    <t xml:space="preserve">I think there is still potentialiaty for management to surprise to the upside … just make sure they don’t get too gitty with M&amp;A prospects once this cash starts gushing </t>
  </si>
  <si>
    <t>Common conditions The Company is focused on include:</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</si>
  <si>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</si>
  <si>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While reliable third-party data is not available for many markets outside the United States, The Company believes that there are substantial additional market opportunities for thrombectomy, and embolization and access products throughout the world.</t>
  </si>
  <si>
    <t>The Company's research and development team has a track record of product innovation and significant product improvements</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</si>
  <si>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</si>
  <si>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</si>
  <si>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</si>
  <si>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 Company has ~ 1 year of inventory onhand (when compared to COGS) … product mix of inventories is unknown ATT</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</si>
  <si>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</si>
  <si>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</si>
  <si>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</si>
  <si>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</si>
  <si>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</si>
  <si>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</si>
  <si>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</si>
  <si>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Most of these competitors are large, well-capitalized companies with longer operating histories and greater resources than The Company has</t>
  </si>
  <si>
    <t xml:space="preserve">As a consequence, they are able to spend more on product acquisition, development, marketing, sales and other product initiatives than The Company currently can facilitate … It has carved out a strong niche among these operators, and really does have the petentiallity of "going big" </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</si>
  <si>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</si>
  <si>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</si>
  <si>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</si>
  <si>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</si>
  <si>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</si>
  <si>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16 of The Company's issued patents are currently set to expire between 2025 and 2026</t>
  </si>
  <si>
    <r>
      <rPr>
        <b/>
        <sz val="11"/>
        <color theme="1"/>
        <rFont val="Calibre"/>
      </rPr>
      <t>! Important !</t>
    </r>
    <r>
      <rPr>
        <sz val="11"/>
        <color theme="1"/>
        <rFont val="Calibre"/>
      </rPr>
      <t xml:space="preserve"> As of December 31, 2024, The Company owned and/or had rights to 120 issued patents globally, of which 58 were U.S. patents. As of December 31, 2024, The Company owned and/or had rights to 55 pending patent applications, of which 29 were patent applications pending in the United States</t>
    </r>
  </si>
  <si>
    <t xml:space="preserve">Additionally, while my current DCF model delivered a FMV in line with currently traded prices, I think PEN could be an intellectual property and long term productivty/innovator play (value that is not necessarily captured on the financial balance sheet of a business) </t>
  </si>
  <si>
    <t>!Hey! I assisted The Company compile and submit their Sunshine Act filing during my winter '24 internship. Cool!</t>
  </si>
  <si>
    <t>Category</t>
  </si>
  <si>
    <t>Brief description of role</t>
  </si>
  <si>
    <t>I hope I get to visit some the engineering and manfuacturing workspaces … the finance internship keeps me a bit couped up in the 3011 building unless I go out to the gym or Oscar's</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</si>
  <si>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</si>
  <si>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It really will be super important to learn more about MedTech products and the the human conditions they're trying to address if I am going to be able to add/analyze this industry beyond modeling the financials … that is what seperates a mid-wit analyst from a great analyst ... </t>
  </si>
  <si>
    <t xml:space="preserve">Med devices are a bit tougher of a market to learn than say beverage companies ... does that mean potentially greater arbitrage opportunity... or just a smaller pool of even more fierce competition? </t>
  </si>
  <si>
    <t>U.S. Patent Office filings</t>
  </si>
  <si>
    <t>FDA Medical Device reportings</t>
  </si>
  <si>
    <t>PubMed/NIH reportings</t>
  </si>
  <si>
    <t>COGS</t>
  </si>
  <si>
    <t>https://www.sec.gov/edgar/browse/?CIK=1321732&amp;owner=exclude</t>
  </si>
  <si>
    <t xml:space="preserve">Godel Terminal </t>
  </si>
  <si>
    <t>RFR (10-year yeild)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</si>
</sst>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18">
    <font>
      <sz val="11"/>
      <color theme="1"/>
      <name val="Calibri"/>
      <family val="2"/>
      <scheme val="minor"/>
    </font>
    <font>
      <b/>
      <sz val="11"/>
      <color theme="1"/>
      <name val="Calibre"/>
    </font>
    <font>
      <sz val="11"/>
      <color theme="1"/>
      <name val="Calibre"/>
    </font>
    <font>
      <sz val="10"/>
      <name val="Arial"/>
      <family val="2"/>
    </font>
    <font>
      <b/>
      <sz val="10"/>
      <name val="Arial"/>
      <family val="2"/>
    </font>
    <font>
      <b/>
      <sz val="10"/>
      <name val="Calibre"/>
    </font>
    <font>
      <b/>
      <sz val="11"/>
      <color rgb="FF002060"/>
      <name val="Calibre"/>
    </font>
    <font>
      <sz val="11"/>
      <color theme="0"/>
      <name val="Calibre"/>
    </font>
    <font>
      <b/>
      <sz val="11"/>
      <color theme="0"/>
      <name val="Calibre"/>
    </font>
    <font>
      <b/>
      <u/>
      <sz val="11"/>
      <color theme="1"/>
      <name val="Calibre"/>
    </font>
    <font>
      <u/>
      <sz val="11"/>
      <color theme="10"/>
      <name val="Calibri"/>
      <family val="2"/>
      <scheme val="minor"/>
    </font>
    <font>
      <sz val="11"/>
      <color rgb="FF000000"/>
      <name val="Times New Roman"/>
      <family val="1"/>
    </font>
    <font>
      <b/>
      <sz val="11"/>
      <color rgb="FF000000"/>
      <name val="Times New Roman"/>
      <family val="1"/>
    </font>
    <font>
      <u/>
      <sz val="11"/>
      <color rgb="FF0070C0"/>
      <name val="Calibre"/>
    </font>
    <font>
      <u/>
      <sz val="11"/>
      <color theme="10"/>
      <name val="Calibre"/>
    </font>
    <font>
      <u/>
      <sz val="11"/>
      <color rgb="FF00B0F0"/>
      <name val="Calibri"/>
      <family val="2"/>
      <scheme val="minor"/>
    </font>
    <font>
      <sz val="11"/>
      <color theme="4" tint="-0.249977111117893"/>
      <name val="Calibre"/>
    </font>
    <font>
      <b/>
      <sz val="11"/>
      <color theme="4" tint="-0.249977111117893"/>
      <name val="Calibre"/>
    </font>
  </fonts>
  <fills count="8">
    <fill>
      <patternFill patternType="none"/>
    </fill>
    <fill>
      <patternFill patternType="gray125"/>
    </fill>
    <fill>
      <patternFill patternType="solid">
        <fgColor rgb="FFF5F5F5"/>
      </patternFill>
    </fill>
    <fill>
      <patternFill patternType="solid">
        <fgColor theme="4" tint="0.79998168889431442"/>
        <bgColor indexed="64"/>
      </patternFill>
    </fill>
    <fill>
      <patternFill patternType="solid">
        <fgColor rgb="FF002060"/>
        <bgColor indexed="64"/>
      </patternFill>
    </fill>
    <fill>
      <patternFill patternType="solid">
        <fgColor theme="4" tint="-0.249977111117893"/>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88">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0" fontId="3" fillId="0" borderId="0" xfId="0" applyFont="1"/>
    <xf numFmtId="0" fontId="4" fillId="2" borderId="0" xfId="0" applyFont="1" applyFill="1" applyAlignment="1">
      <alignment horizontal="center" vertical="center"/>
    </xf>
    <xf numFmtId="10" fontId="2" fillId="0" borderId="0" xfId="0" applyNumberFormat="1" applyFont="1"/>
    <xf numFmtId="0" fontId="5" fillId="2" borderId="0" xfId="0" applyFont="1" applyFill="1" applyAlignment="1">
      <alignment horizontal="center" vertical="center"/>
    </xf>
    <xf numFmtId="10" fontId="5" fillId="2" borderId="0" xfId="0" applyNumberFormat="1" applyFont="1" applyFill="1" applyAlignment="1">
      <alignment horizontal="center" vertical="center"/>
    </xf>
    <xf numFmtId="0" fontId="6"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0" fontId="2" fillId="3" borderId="0" xfId="0" applyFont="1" applyFill="1"/>
    <xf numFmtId="0" fontId="2" fillId="3" borderId="1"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7" fillId="4" borderId="0" xfId="0" applyFont="1" applyFill="1"/>
    <xf numFmtId="0" fontId="8" fillId="4" borderId="0" xfId="0" applyFont="1" applyFill="1" applyAlignment="1">
      <alignment horizontal="right"/>
    </xf>
    <xf numFmtId="0" fontId="8" fillId="4" borderId="0" xfId="0" applyFont="1" applyFill="1"/>
    <xf numFmtId="0" fontId="7" fillId="5" borderId="0" xfId="0" applyFont="1" applyFill="1" applyAlignment="1">
      <alignment horizontal="center"/>
    </xf>
    <xf numFmtId="0" fontId="8" fillId="5" borderId="0" xfId="0" applyFont="1" applyFill="1" applyAlignment="1">
      <alignment horizontal="center"/>
    </xf>
    <xf numFmtId="0" fontId="1" fillId="3" borderId="4" xfId="0" applyFont="1" applyFill="1" applyBorder="1"/>
    <xf numFmtId="0" fontId="1" fillId="3" borderId="6" xfId="0" applyFont="1" applyFill="1" applyBorder="1" applyAlignment="1">
      <alignment horizontal="left"/>
    </xf>
    <xf numFmtId="0" fontId="1" fillId="3" borderId="4" xfId="0" applyFont="1" applyFill="1" applyBorder="1" applyAlignment="1">
      <alignment horizontal="right"/>
    </xf>
    <xf numFmtId="0" fontId="7" fillId="5" borderId="1" xfId="0" applyFont="1" applyFill="1" applyBorder="1" applyAlignment="1">
      <alignment horizontal="center"/>
    </xf>
    <xf numFmtId="0" fontId="7" fillId="5" borderId="4" xfId="0" applyFont="1" applyFill="1" applyBorder="1" applyAlignment="1">
      <alignment horizontal="center"/>
    </xf>
    <xf numFmtId="0" fontId="8" fillId="5" borderId="4" xfId="0" applyFont="1" applyFill="1" applyBorder="1" applyAlignment="1">
      <alignment horizontal="center"/>
    </xf>
    <xf numFmtId="0" fontId="7" fillId="5" borderId="6" xfId="0" applyFont="1" applyFill="1" applyBorder="1" applyAlignment="1">
      <alignment horizontal="center"/>
    </xf>
    <xf numFmtId="0" fontId="1" fillId="3" borderId="5" xfId="0" applyFont="1" applyFill="1" applyBorder="1" applyAlignment="1">
      <alignment horizontal="left"/>
    </xf>
    <xf numFmtId="0" fontId="2" fillId="3" borderId="5" xfId="0" applyFont="1" applyFill="1" applyBorder="1" applyAlignment="1">
      <alignment horizontal="left"/>
    </xf>
    <xf numFmtId="0" fontId="1" fillId="3" borderId="0" xfId="0" applyFont="1" applyFill="1" applyAlignment="1">
      <alignment horizontal="center"/>
    </xf>
    <xf numFmtId="0" fontId="2" fillId="3" borderId="0" xfId="0" applyFont="1" applyFill="1" applyAlignment="1">
      <alignment horizontal="center"/>
    </xf>
    <xf numFmtId="0" fontId="1" fillId="3" borderId="7" xfId="0" applyFont="1" applyFill="1" applyBorder="1" applyAlignment="1">
      <alignment horizontal="center"/>
    </xf>
    <xf numFmtId="0" fontId="2" fillId="4"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0" fontId="9" fillId="0" borderId="0" xfId="0" applyFont="1"/>
    <xf numFmtId="0" fontId="11" fillId="0" borderId="0" xfId="0" applyFont="1"/>
    <xf numFmtId="0" fontId="11" fillId="0" borderId="0" xfId="0" applyFont="1" applyAlignment="1">
      <alignment vertical="center" wrapText="1"/>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0" fontId="13" fillId="0" borderId="0" xfId="1" quotePrefix="1" applyFont="1"/>
    <xf numFmtId="0" fontId="14" fillId="0" borderId="0" xfId="1" applyFont="1"/>
    <xf numFmtId="0" fontId="15" fillId="0" borderId="0" xfId="1" applyFont="1"/>
    <xf numFmtId="165" fontId="1" fillId="0" borderId="0" xfId="0" applyNumberFormat="1" applyFont="1"/>
    <xf numFmtId="1" fontId="1" fillId="0" borderId="0" xfId="0" applyNumberFormat="1" applyFont="1"/>
    <xf numFmtId="0" fontId="16" fillId="0" borderId="0" xfId="0" applyFont="1"/>
    <xf numFmtId="0" fontId="17" fillId="0" borderId="0" xfId="0" applyFont="1"/>
    <xf numFmtId="1" fontId="16" fillId="0" borderId="0" xfId="0" applyNumberFormat="1" applyFont="1"/>
    <xf numFmtId="166" fontId="16" fillId="0" borderId="0" xfId="0" applyNumberFormat="1" applyFont="1"/>
    <xf numFmtId="165" fontId="16" fillId="0" borderId="0" xfId="0" applyNumberFormat="1" applyFont="1"/>
    <xf numFmtId="165" fontId="17" fillId="0" borderId="0" xfId="0" applyNumberFormat="1" applyFont="1"/>
    <xf numFmtId="10" fontId="16" fillId="0" borderId="0" xfId="0" applyNumberFormat="1" applyFont="1"/>
    <xf numFmtId="2" fontId="16" fillId="0" borderId="0" xfId="0" applyNumberFormat="1" applyFont="1"/>
    <xf numFmtId="0" fontId="5" fillId="2" borderId="0" xfId="0" applyFont="1" applyFill="1" applyAlignment="1">
      <alignment horizontal="right" vertical="center"/>
    </xf>
    <xf numFmtId="10" fontId="2" fillId="6" borderId="0" xfId="0" applyNumberFormat="1" applyFont="1" applyFill="1"/>
    <xf numFmtId="10" fontId="2" fillId="7" borderId="0" xfId="0" applyNumberFormat="1" applyFont="1" applyFill="1"/>
    <xf numFmtId="0" fontId="10" fillId="0" borderId="0" xfId="1"/>
    <xf numFmtId="0" fontId="2" fillId="3" borderId="0" xfId="0" applyFont="1" applyFill="1" applyBorder="1"/>
    <xf numFmtId="0" fontId="1" fillId="3" borderId="0" xfId="0" applyFont="1" applyFill="1" applyBorder="1"/>
    <xf numFmtId="0" fontId="1" fillId="3" borderId="0" xfId="0" applyFont="1" applyFill="1" applyBorder="1" applyAlignment="1">
      <alignment horizontal="center"/>
    </xf>
    <xf numFmtId="0" fontId="2" fillId="3" borderId="0" xfId="0" applyFont="1" applyFill="1" applyBorder="1" applyAlignment="1">
      <alignment horizontal="center"/>
    </xf>
    <xf numFmtId="0" fontId="1" fillId="3" borderId="5" xfId="0" applyFont="1" applyFill="1" applyBorder="1" applyAlignment="1">
      <alignment horizontal="center"/>
    </xf>
    <xf numFmtId="0" fontId="2" fillId="3" borderId="5" xfId="0" applyFont="1" applyFill="1" applyBorder="1" applyAlignment="1">
      <alignment horizontal="center"/>
    </xf>
    <xf numFmtId="0" fontId="2" fillId="3" borderId="8"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7" fillId="5" borderId="0" xfId="0" applyFont="1" applyFill="1" applyBorder="1" applyAlignment="1">
      <alignment horizontal="center"/>
    </xf>
    <xf numFmtId="0" fontId="7" fillId="5" borderId="5" xfId="0" applyFont="1" applyFill="1" applyBorder="1"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7" fillId="4" borderId="10" xfId="0" applyFont="1" applyFill="1" applyBorder="1"/>
    <xf numFmtId="0" fontId="7" fillId="4" borderId="11" xfId="0" applyFont="1" applyFill="1" applyBorder="1"/>
    <xf numFmtId="0" fontId="8" fillId="5" borderId="1" xfId="0" applyFont="1" applyFill="1" applyBorder="1" applyAlignment="1">
      <alignment horizontal="left"/>
    </xf>
    <xf numFmtId="0" fontId="8" fillId="5" borderId="4" xfId="0" applyFont="1" applyFill="1" applyBorder="1" applyAlignment="1">
      <alignment horizontal="left"/>
    </xf>
    <xf numFmtId="0" fontId="8" fillId="5" borderId="6" xfId="0" applyFont="1" applyFill="1" applyBorder="1" applyAlignment="1">
      <alignment horizontal="left"/>
    </xf>
    <xf numFmtId="0" fontId="8" fillId="4" borderId="9" xfId="0" applyFont="1" applyFill="1" applyBorder="1"/>
    <xf numFmtId="0" fontId="8" fillId="4" borderId="10" xfId="0" applyFont="1" applyFill="1" applyBorder="1"/>
    <xf numFmtId="14" fontId="16" fillId="0" borderId="0" xfId="0" applyNumberFormat="1"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Total 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rPr>
              <a:t>Net Income, Free Cash Flows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327219219499473E-2"/>
          <c:y val="0.10430602853738431"/>
          <c:w val="0.90891089179266793"/>
          <c:h val="0.86475931754211888"/>
        </c:manualLayout>
      </c:layout>
      <c:barChart>
        <c:barDir val="col"/>
        <c:grouping val="clustered"/>
        <c:varyColors val="0"/>
        <c:ser>
          <c:idx val="0"/>
          <c:order val="0"/>
          <c:tx>
            <c:v>Revenues</c:v>
          </c:tx>
          <c:spPr>
            <a:solidFill>
              <a:schemeClr val="accent1">
                <a:lumMod val="50000"/>
              </a:schemeClr>
            </a:solidFill>
            <a:ln>
              <a:noFill/>
            </a:ln>
            <a:effectLst/>
          </c:spPr>
          <c:invertIfNegative val="0"/>
          <c:cat>
            <c:strRef>
              <c:f>Model!$C$2:$Z$2</c:f>
              <c:strCache>
                <c:ptCount val="24"/>
                <c:pt idx="0">
                  <c:v>Q1'19</c:v>
                </c:pt>
                <c:pt idx="1">
                  <c:v>Q2'19</c:v>
                </c:pt>
                <c:pt idx="2">
                  <c:v>Q3'19</c:v>
                </c:pt>
                <c:pt idx="3">
                  <c:v>Q4'19</c:v>
                </c:pt>
                <c:pt idx="4">
                  <c:v>Q1'20</c:v>
                </c:pt>
                <c:pt idx="5">
                  <c:v>Q2'20</c:v>
                </c:pt>
                <c:pt idx="6">
                  <c:v>Q3'20</c:v>
                </c:pt>
                <c:pt idx="7">
                  <c:v>Q4'20</c:v>
                </c:pt>
                <c:pt idx="8">
                  <c:v>Q1'21</c:v>
                </c:pt>
                <c:pt idx="9">
                  <c:v>Q2'21</c:v>
                </c:pt>
                <c:pt idx="10">
                  <c:v>Q3'21</c:v>
                </c:pt>
                <c:pt idx="11">
                  <c:v>Q4'21</c:v>
                </c:pt>
                <c:pt idx="12">
                  <c:v>Q1'22</c:v>
                </c:pt>
                <c:pt idx="13">
                  <c:v>Q2'22</c:v>
                </c:pt>
                <c:pt idx="14">
                  <c:v>Q3'22</c:v>
                </c:pt>
                <c:pt idx="15">
                  <c:v>Q4'22</c:v>
                </c:pt>
                <c:pt idx="16">
                  <c:v>Q1'23</c:v>
                </c:pt>
                <c:pt idx="17">
                  <c:v>Q2'23</c:v>
                </c:pt>
                <c:pt idx="18">
                  <c:v>Q3'23</c:v>
                </c:pt>
                <c:pt idx="19">
                  <c:v>Q4'23</c:v>
                </c:pt>
                <c:pt idx="20">
                  <c:v>Q1'24</c:v>
                </c:pt>
                <c:pt idx="21">
                  <c:v>Q2'24</c:v>
                </c:pt>
                <c:pt idx="22">
                  <c:v>Q3'24</c:v>
                </c:pt>
                <c:pt idx="23">
                  <c:v>Q4'24</c:v>
                </c:pt>
              </c:strCache>
            </c:strRef>
          </c:cat>
          <c:val>
            <c:numRef>
              <c:f>Model!$C$26:$Z$26</c:f>
              <c:numCache>
                <c:formatCode>0.0</c:formatCode>
                <c:ptCount val="24"/>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numCache>
            </c:numRef>
          </c:val>
          <c:extLst>
            <c:ext xmlns:c16="http://schemas.microsoft.com/office/drawing/2014/chart" uri="{C3380CC4-5D6E-409C-BE32-E72D297353CC}">
              <c16:uniqueId val="{00000000-6B6D-4618-9F11-6C09556F4461}"/>
            </c:ext>
          </c:extLst>
        </c:ser>
        <c:ser>
          <c:idx val="1"/>
          <c:order val="1"/>
          <c:tx>
            <c:v>Net Income</c:v>
          </c:tx>
          <c:spPr>
            <a:solidFill>
              <a:srgbClr val="00B0F0"/>
            </a:solidFill>
            <a:ln>
              <a:noFill/>
            </a:ln>
            <a:effectLst/>
          </c:spPr>
          <c:invertIfNegative val="0"/>
          <c:val>
            <c:numRef>
              <c:f>Model!$C$39:$Z$39</c:f>
              <c:numCache>
                <c:formatCode>0.0</c:formatCode>
                <c:ptCount val="24"/>
                <c:pt idx="0">
                  <c:v>10.698</c:v>
                </c:pt>
                <c:pt idx="1">
                  <c:v>15.68499999999999</c:v>
                </c:pt>
                <c:pt idx="2">
                  <c:v>3.7180000000000115</c:v>
                </c:pt>
                <c:pt idx="3">
                  <c:v>20.502000000000081</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numCache>
            </c:numRef>
          </c:val>
          <c:extLst>
            <c:ext xmlns:c16="http://schemas.microsoft.com/office/drawing/2014/chart" uri="{C3380CC4-5D6E-409C-BE32-E72D297353CC}">
              <c16:uniqueId val="{00000001-6B6D-4618-9F11-6C09556F4461}"/>
            </c:ext>
          </c:extLst>
        </c:ser>
        <c:ser>
          <c:idx val="2"/>
          <c:order val="2"/>
          <c:tx>
            <c:v>FCF</c:v>
          </c:tx>
          <c:spPr>
            <a:solidFill>
              <a:schemeClr val="accent1">
                <a:lumMod val="75000"/>
              </a:schemeClr>
            </a:solidFill>
            <a:ln>
              <a:noFill/>
            </a:ln>
            <a:effectLst/>
          </c:spPr>
          <c:invertIfNegative val="0"/>
          <c:val>
            <c:numRef>
              <c:f>Model!$C$83:$Z$83</c:f>
              <c:numCache>
                <c:formatCode>0.0</c:formatCode>
                <c:ptCount val="24"/>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40"/>
        <c:overlap val="-19"/>
        <c:axId val="1243124976"/>
        <c:axId val="1243123056"/>
      </c:barChart>
      <c:catAx>
        <c:axId val="12431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3056"/>
        <c:crosses val="autoZero"/>
        <c:auto val="1"/>
        <c:lblAlgn val="ctr"/>
        <c:lblOffset val="100"/>
        <c:noMultiLvlLbl val="0"/>
      </c:cat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124976"/>
        <c:crosses val="autoZero"/>
        <c:crossBetween val="between"/>
      </c:valAx>
      <c:spPr>
        <a:noFill/>
        <a:ln>
          <a:noFill/>
        </a:ln>
        <a:effectLst/>
      </c:spPr>
    </c:plotArea>
    <c:legend>
      <c:legendPos val="r"/>
      <c:layout>
        <c:manualLayout>
          <c:xMode val="edge"/>
          <c:yMode val="edge"/>
          <c:x val="0.26533128571552073"/>
          <c:y val="0.85640186794822193"/>
          <c:w val="0.46092398852484467"/>
          <c:h val="0.14237071052936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11206</xdr:colOff>
      <xdr:row>195</xdr:row>
      <xdr:rowOff>112058</xdr:rowOff>
    </xdr:from>
    <xdr:to>
      <xdr:col>3</xdr:col>
      <xdr:colOff>661147</xdr:colOff>
      <xdr:row>195</xdr:row>
      <xdr:rowOff>112059</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1725706" y="35365764"/>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0</xdr:colOff>
      <xdr:row>196</xdr:row>
      <xdr:rowOff>112060</xdr:rowOff>
    </xdr:from>
    <xdr:to>
      <xdr:col>3</xdr:col>
      <xdr:colOff>649941</xdr:colOff>
      <xdr:row>196</xdr:row>
      <xdr:rowOff>112061</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a:off x="1714500" y="35556266"/>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0</xdr:rowOff>
    </xdr:from>
    <xdr:to>
      <xdr:col>26</xdr:col>
      <xdr:colOff>0</xdr:colOff>
      <xdr:row>102</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6130588"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0</xdr:colOff>
      <xdr:row>0</xdr:row>
      <xdr:rowOff>0</xdr:rowOff>
    </xdr:from>
    <xdr:to>
      <xdr:col>53</xdr:col>
      <xdr:colOff>0</xdr:colOff>
      <xdr:row>102</xdr:row>
      <xdr:rowOff>141475</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3809609"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201705</xdr:colOff>
      <xdr:row>31</xdr:row>
      <xdr:rowOff>169768</xdr:rowOff>
    </xdr:from>
    <xdr:to>
      <xdr:col>9</xdr:col>
      <xdr:colOff>604003</xdr:colOff>
      <xdr:row>60</xdr:row>
      <xdr:rowOff>0</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4859430"/>
          <a:ext cx="5814739" cy="4878481"/>
        </a:xfrm>
        <a:prstGeom prst="rect">
          <a:avLst/>
        </a:prstGeom>
      </xdr:spPr>
    </xdr:pic>
    <xdr:clientData/>
  </xdr:twoCellAnchor>
  <xdr:twoCellAnchor editAs="oneCell">
    <xdr:from>
      <xdr:col>16</xdr:col>
      <xdr:colOff>0</xdr:colOff>
      <xdr:row>58</xdr:row>
      <xdr:rowOff>179293</xdr:rowOff>
    </xdr:from>
    <xdr:to>
      <xdr:col>27</xdr:col>
      <xdr:colOff>11206</xdr:colOff>
      <xdr:row>84</xdr:row>
      <xdr:rowOff>168087</xdr:rowOff>
    </xdr:to>
    <xdr:pic>
      <xdr:nvPicPr>
        <xdr:cNvPr id="7" name="Picture 6">
          <a:extLst>
            <a:ext uri="{FF2B5EF4-FFF2-40B4-BE49-F238E27FC236}">
              <a16:creationId xmlns:a16="http://schemas.microsoft.com/office/drawing/2014/main" id="{EC981645-1BDF-97D2-EA5D-324755677DAC}"/>
            </a:ext>
          </a:extLst>
        </xdr:cNvPr>
        <xdr:cNvPicPr>
          <a:picLocks noChangeAspect="1"/>
        </xdr:cNvPicPr>
      </xdr:nvPicPr>
      <xdr:blipFill>
        <a:blip xmlns:r="http://schemas.openxmlformats.org/officeDocument/2006/relationships" r:embed="rId2"/>
        <a:stretch>
          <a:fillRect/>
        </a:stretch>
      </xdr:blipFill>
      <xdr:spPr>
        <a:xfrm>
          <a:off x="8673353" y="9536205"/>
          <a:ext cx="6667500" cy="4661647"/>
        </a:xfrm>
        <a:prstGeom prst="rect">
          <a:avLst/>
        </a:prstGeom>
      </xdr:spPr>
    </xdr:pic>
    <xdr:clientData/>
  </xdr:twoCellAnchor>
  <xdr:twoCellAnchor editAs="oneCell">
    <xdr:from>
      <xdr:col>26</xdr:col>
      <xdr:colOff>605117</xdr:colOff>
      <xdr:row>96</xdr:row>
      <xdr:rowOff>179293</xdr:rowOff>
    </xdr:from>
    <xdr:to>
      <xdr:col>38</xdr:col>
      <xdr:colOff>11206</xdr:colOff>
      <xdr:row>123</xdr:row>
      <xdr:rowOff>2800</xdr:rowOff>
    </xdr:to>
    <xdr:pic>
      <xdr:nvPicPr>
        <xdr:cNvPr id="11" name="Picture 10">
          <a:extLst>
            <a:ext uri="{FF2B5EF4-FFF2-40B4-BE49-F238E27FC236}">
              <a16:creationId xmlns:a16="http://schemas.microsoft.com/office/drawing/2014/main" id="{A777776C-87BD-1E88-6375-27A350586FB9}"/>
            </a:ext>
          </a:extLst>
        </xdr:cNvPr>
        <xdr:cNvPicPr>
          <a:picLocks noChangeAspect="1"/>
        </xdr:cNvPicPr>
      </xdr:nvPicPr>
      <xdr:blipFill>
        <a:blip xmlns:r="http://schemas.openxmlformats.org/officeDocument/2006/relationships" r:embed="rId3"/>
        <a:stretch>
          <a:fillRect/>
        </a:stretch>
      </xdr:blipFill>
      <xdr:spPr>
        <a:xfrm>
          <a:off x="15329646" y="16349381"/>
          <a:ext cx="6667501" cy="4664449"/>
        </a:xfrm>
        <a:prstGeom prst="rect">
          <a:avLst/>
        </a:prstGeom>
      </xdr:spPr>
    </xdr:pic>
    <xdr:clientData/>
  </xdr:twoCellAnchor>
  <xdr:twoCellAnchor editAs="oneCell">
    <xdr:from>
      <xdr:col>16</xdr:col>
      <xdr:colOff>0</xdr:colOff>
      <xdr:row>130</xdr:row>
      <xdr:rowOff>0</xdr:rowOff>
    </xdr:from>
    <xdr:to>
      <xdr:col>30</xdr:col>
      <xdr:colOff>11206</xdr:colOff>
      <xdr:row>164</xdr:row>
      <xdr:rowOff>0</xdr:rowOff>
    </xdr:to>
    <xdr:pic>
      <xdr:nvPicPr>
        <xdr:cNvPr id="17" name="Picture 16">
          <a:extLst>
            <a:ext uri="{FF2B5EF4-FFF2-40B4-BE49-F238E27FC236}">
              <a16:creationId xmlns:a16="http://schemas.microsoft.com/office/drawing/2014/main" id="{06F5DAED-2119-40F4-B005-6DF21623C777}"/>
            </a:ext>
          </a:extLst>
        </xdr:cNvPr>
        <xdr:cNvPicPr>
          <a:picLocks noChangeAspect="1"/>
        </xdr:cNvPicPr>
      </xdr:nvPicPr>
      <xdr:blipFill>
        <a:blip xmlns:r="http://schemas.openxmlformats.org/officeDocument/2006/relationships" r:embed="rId4"/>
        <a:stretch>
          <a:fillRect/>
        </a:stretch>
      </xdr:blipFill>
      <xdr:spPr>
        <a:xfrm>
          <a:off x="8673353" y="22266088"/>
          <a:ext cx="8482853" cy="6096000"/>
        </a:xfrm>
        <a:prstGeom prst="rect">
          <a:avLst/>
        </a:prstGeom>
      </xdr:spPr>
    </xdr:pic>
    <xdr:clientData/>
  </xdr:twoCellAnchor>
  <xdr:twoCellAnchor editAs="oneCell">
    <xdr:from>
      <xdr:col>27</xdr:col>
      <xdr:colOff>11206</xdr:colOff>
      <xdr:row>58</xdr:row>
      <xdr:rowOff>168089</xdr:rowOff>
    </xdr:from>
    <xdr:to>
      <xdr:col>38</xdr:col>
      <xdr:colOff>11206</xdr:colOff>
      <xdr:row>84</xdr:row>
      <xdr:rowOff>168088</xdr:rowOff>
    </xdr:to>
    <xdr:pic>
      <xdr:nvPicPr>
        <xdr:cNvPr id="20" name="Picture 19">
          <a:extLst>
            <a:ext uri="{FF2B5EF4-FFF2-40B4-BE49-F238E27FC236}">
              <a16:creationId xmlns:a16="http://schemas.microsoft.com/office/drawing/2014/main" id="{64C5AA63-40A4-E97A-95A1-FCEEA9FCFD24}"/>
            </a:ext>
          </a:extLst>
        </xdr:cNvPr>
        <xdr:cNvPicPr>
          <a:picLocks noChangeAspect="1"/>
        </xdr:cNvPicPr>
      </xdr:nvPicPr>
      <xdr:blipFill>
        <a:blip xmlns:r="http://schemas.openxmlformats.org/officeDocument/2006/relationships" r:embed="rId5"/>
        <a:stretch>
          <a:fillRect/>
        </a:stretch>
      </xdr:blipFill>
      <xdr:spPr>
        <a:xfrm>
          <a:off x="15340853" y="9525001"/>
          <a:ext cx="6656294" cy="4672852"/>
        </a:xfrm>
        <a:prstGeom prst="rect">
          <a:avLst/>
        </a:prstGeom>
      </xdr:spPr>
    </xdr:pic>
    <xdr:clientData/>
  </xdr:twoCellAnchor>
  <xdr:twoCellAnchor editAs="oneCell">
    <xdr:from>
      <xdr:col>37</xdr:col>
      <xdr:colOff>605117</xdr:colOff>
      <xdr:row>97</xdr:row>
      <xdr:rowOff>11206</xdr:rowOff>
    </xdr:from>
    <xdr:to>
      <xdr:col>49</xdr:col>
      <xdr:colOff>11205</xdr:colOff>
      <xdr:row>123</xdr:row>
      <xdr:rowOff>1821</xdr:rowOff>
    </xdr:to>
    <xdr:pic>
      <xdr:nvPicPr>
        <xdr:cNvPr id="23" name="Picture 22">
          <a:extLst>
            <a:ext uri="{FF2B5EF4-FFF2-40B4-BE49-F238E27FC236}">
              <a16:creationId xmlns:a16="http://schemas.microsoft.com/office/drawing/2014/main" id="{A8808F77-F351-4ECC-9C52-97BE7D0C5701}"/>
            </a:ext>
          </a:extLst>
        </xdr:cNvPr>
        <xdr:cNvPicPr>
          <a:picLocks noChangeAspect="1"/>
        </xdr:cNvPicPr>
      </xdr:nvPicPr>
      <xdr:blipFill>
        <a:blip xmlns:r="http://schemas.openxmlformats.org/officeDocument/2006/relationships" r:embed="rId6"/>
        <a:stretch>
          <a:fillRect/>
        </a:stretch>
      </xdr:blipFill>
      <xdr:spPr>
        <a:xfrm>
          <a:off x="22591058" y="16360588"/>
          <a:ext cx="6768353" cy="4652263"/>
        </a:xfrm>
        <a:prstGeom prst="rect">
          <a:avLst/>
        </a:prstGeom>
      </xdr:spPr>
    </xdr:pic>
    <xdr:clientData/>
  </xdr:twoCellAnchor>
  <xdr:twoCellAnchor editAs="oneCell">
    <xdr:from>
      <xdr:col>16</xdr:col>
      <xdr:colOff>0</xdr:colOff>
      <xdr:row>97</xdr:row>
      <xdr:rowOff>0</xdr:rowOff>
    </xdr:from>
    <xdr:to>
      <xdr:col>27</xdr:col>
      <xdr:colOff>11207</xdr:colOff>
      <xdr:row>123</xdr:row>
      <xdr:rowOff>-1</xdr:rowOff>
    </xdr:to>
    <xdr:pic>
      <xdr:nvPicPr>
        <xdr:cNvPr id="24" name="Picture 23">
          <a:extLst>
            <a:ext uri="{FF2B5EF4-FFF2-40B4-BE49-F238E27FC236}">
              <a16:creationId xmlns:a16="http://schemas.microsoft.com/office/drawing/2014/main" id="{3911D6DE-A2CA-4B59-90A4-147242A02AB4}"/>
            </a:ext>
          </a:extLst>
        </xdr:cNvPr>
        <xdr:cNvPicPr>
          <a:picLocks noChangeAspect="1"/>
        </xdr:cNvPicPr>
      </xdr:nvPicPr>
      <xdr:blipFill>
        <a:blip xmlns:r="http://schemas.openxmlformats.org/officeDocument/2006/relationships" r:embed="rId7"/>
        <a:stretch>
          <a:fillRect/>
        </a:stretch>
      </xdr:blipFill>
      <xdr:spPr>
        <a:xfrm>
          <a:off x="8673353" y="16349382"/>
          <a:ext cx="6667501" cy="4661647"/>
        </a:xfrm>
        <a:prstGeom prst="rect">
          <a:avLst/>
        </a:prstGeom>
      </xdr:spPr>
    </xdr:pic>
    <xdr:clientData/>
  </xdr:twoCellAnchor>
  <xdr:twoCellAnchor editAs="oneCell">
    <xdr:from>
      <xdr:col>16</xdr:col>
      <xdr:colOff>0</xdr:colOff>
      <xdr:row>26</xdr:row>
      <xdr:rowOff>0</xdr:rowOff>
    </xdr:from>
    <xdr:to>
      <xdr:col>27</xdr:col>
      <xdr:colOff>11207</xdr:colOff>
      <xdr:row>49</xdr:row>
      <xdr:rowOff>176392</xdr:rowOff>
    </xdr:to>
    <xdr:pic>
      <xdr:nvPicPr>
        <xdr:cNvPr id="4" name="Picture 3">
          <a:extLst>
            <a:ext uri="{FF2B5EF4-FFF2-40B4-BE49-F238E27FC236}">
              <a16:creationId xmlns:a16="http://schemas.microsoft.com/office/drawing/2014/main" id="{1AE413F7-9FAE-4181-9C22-D0BE5737020C}"/>
            </a:ext>
          </a:extLst>
        </xdr:cNvPr>
        <xdr:cNvPicPr>
          <a:picLocks noChangeAspect="1"/>
        </xdr:cNvPicPr>
      </xdr:nvPicPr>
      <xdr:blipFill>
        <a:blip xmlns:r="http://schemas.openxmlformats.org/officeDocument/2006/relationships" r:embed="rId8"/>
        <a:stretch>
          <a:fillRect/>
        </a:stretch>
      </xdr:blipFill>
      <xdr:spPr>
        <a:xfrm>
          <a:off x="9278471" y="4314265"/>
          <a:ext cx="6667501" cy="4322569"/>
        </a:xfrm>
        <a:prstGeom prst="rect">
          <a:avLst/>
        </a:prstGeom>
      </xdr:spPr>
    </xdr:pic>
    <xdr:clientData/>
  </xdr:twoCellAnchor>
  <xdr:twoCellAnchor>
    <xdr:from>
      <xdr:col>1</xdr:col>
      <xdr:colOff>0</xdr:colOff>
      <xdr:row>2</xdr:row>
      <xdr:rowOff>0</xdr:rowOff>
    </xdr:from>
    <xdr:to>
      <xdr:col>13</xdr:col>
      <xdr:colOff>604558</xdr:colOff>
      <xdr:row>30</xdr:row>
      <xdr:rowOff>11206</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41" dT="2025-04-20T23:34:23.68" personId="{598EBCF7-6202-498B-B8DD-217B370E0E02}" id="{DB091BD2-E92B-4C65-84CF-37435A1596A1}">
    <text>Low: 3.37 High: 3.88 Avg: 3.66
Excluded one-time write-down of immersive (non-operating)</text>
  </threadedComment>
  <threadedComment ref="BC41" dT="2025-04-16T09:17:41.02" personId="{598EBCF7-6202-498B-B8DD-217B370E0E02}" id="{92B3D3CD-DC2C-48F4-A1D7-C377F3162060}">
    <text>Low: 4.29 High: 5.60 Avg: 4.94</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penumbrainc.com/patents/" TargetMode="External"/><Relationship Id="rId3" Type="http://schemas.openxmlformats.org/officeDocument/2006/relationships/hyperlink" Target="..\Model%20Price%20Targets.xlsx" TargetMode="External"/><Relationship Id="rId7" Type="http://schemas.openxmlformats.org/officeDocument/2006/relationships/hyperlink" Target="https://ppubs.uspto.gov/pubwebapp/static/pages/ppubsbasic.html" TargetMode="Externa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MDT_Model.xlsx" TargetMode="External"/><Relationship Id="rId11" Type="http://schemas.openxmlformats.org/officeDocument/2006/relationships/drawing" Target="../drawings/drawing1.xml"/><Relationship Id="rId5" Type="http://schemas.openxmlformats.org/officeDocument/2006/relationships/hyperlink" Target="BSX_Model.xlsx" TargetMode="External"/><Relationship Id="rId10" Type="http://schemas.openxmlformats.org/officeDocument/2006/relationships/hyperlink" Target="https://www.sec.gov/edgar/browse/?CIK=1321732&amp;owner=exclude" TargetMode="External"/><Relationship Id="rId4" Type="http://schemas.openxmlformats.org/officeDocument/2006/relationships/hyperlink" Target="JNJ.xlsx" TargetMode="External"/><Relationship Id="rId9" Type="http://schemas.openxmlformats.org/officeDocument/2006/relationships/hyperlink" Target="https://ppubs.uspto.gov/pubwebapp/static/pages/ppubsbasic.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268"/>
  <sheetViews>
    <sheetView topLeftCell="A205" zoomScale="85" zoomScaleNormal="85" workbookViewId="0">
      <selection activeCell="L20" sqref="L20"/>
    </sheetView>
  </sheetViews>
  <sheetFormatPr defaultColWidth="9.140625" defaultRowHeight="14.25"/>
  <cols>
    <col min="1" max="1" width="2.85546875" style="2" customWidth="1"/>
    <col min="2" max="2" width="23.140625" style="2" customWidth="1"/>
    <col min="3" max="3" width="11.7109375" style="2" customWidth="1"/>
    <col min="4" max="4" width="10.28515625" style="2" customWidth="1"/>
    <col min="5" max="5" width="10.140625" style="2" customWidth="1"/>
    <col min="6" max="6" width="10.28515625" style="2" customWidth="1"/>
    <col min="7" max="10" width="9.140625" style="2"/>
    <col min="11" max="11" width="10" style="2" customWidth="1"/>
    <col min="12" max="30" width="9.140625" style="2"/>
    <col min="31" max="31" width="9.140625" style="2" customWidth="1"/>
    <col min="32" max="16384" width="9.140625" style="2"/>
  </cols>
  <sheetData>
    <row r="1" spans="1:80" ht="15">
      <c r="A1" s="52" t="s">
        <v>590</v>
      </c>
      <c r="CB1" s="2" t="s">
        <v>365</v>
      </c>
    </row>
    <row r="2" spans="1:80" ht="15">
      <c r="A2" s="1" t="s">
        <v>357</v>
      </c>
      <c r="AK2" s="1" t="s">
        <v>383</v>
      </c>
      <c r="BU2" s="2" t="s">
        <v>384</v>
      </c>
    </row>
    <row r="4" spans="1:80" ht="15">
      <c r="B4" s="1" t="s">
        <v>5</v>
      </c>
      <c r="AK4" s="2" t="s">
        <v>395</v>
      </c>
    </row>
    <row r="5" spans="1:80">
      <c r="B5" s="2" t="s">
        <v>0</v>
      </c>
      <c r="C5" s="4">
        <v>262.88</v>
      </c>
      <c r="D5" s="3">
        <v>45746</v>
      </c>
    </row>
    <row r="6" spans="1:80">
      <c r="B6" s="2" t="s">
        <v>528</v>
      </c>
      <c r="C6" s="2">
        <v>38.520000000000003</v>
      </c>
      <c r="D6" s="2" t="s">
        <v>297</v>
      </c>
      <c r="AK6" s="2" t="s">
        <v>366</v>
      </c>
    </row>
    <row r="7" spans="1:80" ht="15">
      <c r="B7" s="2" t="s">
        <v>1</v>
      </c>
      <c r="C7" s="4">
        <f>C5*C6</f>
        <v>10126.1376</v>
      </c>
      <c r="AL7" s="2" t="s">
        <v>367</v>
      </c>
    </row>
    <row r="8" spans="1:80">
      <c r="B8" s="2" t="s">
        <v>2</v>
      </c>
      <c r="C8" s="4">
        <f>280.5+10.5</f>
        <v>291</v>
      </c>
      <c r="D8" s="2" t="s">
        <v>297</v>
      </c>
    </row>
    <row r="9" spans="1:80">
      <c r="B9" s="2" t="s">
        <v>3</v>
      </c>
      <c r="C9" s="4">
        <v>0</v>
      </c>
      <c r="D9" s="2" t="s">
        <v>297</v>
      </c>
      <c r="AK9" s="2" t="s">
        <v>308</v>
      </c>
    </row>
    <row r="10" spans="1:80">
      <c r="B10" s="2" t="s">
        <v>4</v>
      </c>
      <c r="C10" s="4">
        <f>C7-C8+C9</f>
        <v>9835.1376</v>
      </c>
    </row>
    <row r="11" spans="1:80">
      <c r="AK11" s="2" t="s">
        <v>451</v>
      </c>
    </row>
    <row r="12" spans="1:80" ht="15">
      <c r="B12" s="1" t="s">
        <v>568</v>
      </c>
    </row>
    <row r="13" spans="1:80">
      <c r="AK13" s="2" t="s">
        <v>394</v>
      </c>
    </row>
    <row r="14" spans="1:80" ht="15">
      <c r="A14" s="1" t="s">
        <v>6</v>
      </c>
    </row>
    <row r="16" spans="1:80">
      <c r="B16" s="2" t="s">
        <v>7</v>
      </c>
      <c r="F16" s="2" t="s">
        <v>621</v>
      </c>
      <c r="L16" s="2" t="s">
        <v>656</v>
      </c>
    </row>
    <row r="17" spans="2:17" ht="15">
      <c r="B17" s="2" t="s">
        <v>8</v>
      </c>
      <c r="F17" s="2" t="s">
        <v>619</v>
      </c>
      <c r="L17" s="2" t="s">
        <v>657</v>
      </c>
      <c r="N17" s="66" t="s">
        <v>733</v>
      </c>
      <c r="Q17" s="2" t="s">
        <v>731</v>
      </c>
    </row>
    <row r="18" spans="2:17">
      <c r="B18" s="2" t="s">
        <v>9</v>
      </c>
      <c r="L18" s="2" t="s">
        <v>673</v>
      </c>
      <c r="Q18" s="2" t="s">
        <v>729</v>
      </c>
    </row>
    <row r="19" spans="2:17">
      <c r="B19" s="2" t="s">
        <v>10</v>
      </c>
      <c r="L19" s="2" t="s">
        <v>734</v>
      </c>
      <c r="Q19" s="2" t="s">
        <v>730</v>
      </c>
    </row>
    <row r="20" spans="2:17" ht="15">
      <c r="B20" s="1"/>
    </row>
    <row r="21" spans="2:17" ht="15">
      <c r="B21" s="2" t="s">
        <v>358</v>
      </c>
    </row>
    <row r="22" spans="2:17">
      <c r="C22" s="2" t="s">
        <v>356</v>
      </c>
    </row>
    <row r="23" spans="2:17" ht="15">
      <c r="B23" s="2" t="s">
        <v>382</v>
      </c>
    </row>
    <row r="24" spans="2:17" ht="15">
      <c r="C24" s="2" t="s">
        <v>359</v>
      </c>
    </row>
    <row r="25" spans="2:17" ht="15">
      <c r="C25" s="2" t="s">
        <v>360</v>
      </c>
    </row>
    <row r="26" spans="2:17" ht="15">
      <c r="C26" s="2" t="s">
        <v>361</v>
      </c>
    </row>
    <row r="27" spans="2:17" ht="15">
      <c r="C27" s="2" t="s">
        <v>362</v>
      </c>
    </row>
    <row r="28" spans="2:17" ht="15">
      <c r="C28" s="2" t="s">
        <v>363</v>
      </c>
    </row>
    <row r="29" spans="2:17">
      <c r="D29" s="2" t="s">
        <v>372</v>
      </c>
    </row>
    <row r="30" spans="2:17">
      <c r="D30" s="2" t="s">
        <v>355</v>
      </c>
    </row>
    <row r="31" spans="2:17">
      <c r="B31" s="2" t="s">
        <v>364</v>
      </c>
    </row>
    <row r="32" spans="2:17" ht="15">
      <c r="C32" s="2" t="s">
        <v>369</v>
      </c>
    </row>
    <row r="33" spans="1:4">
      <c r="B33" s="2" t="s">
        <v>368</v>
      </c>
    </row>
    <row r="34" spans="1:4">
      <c r="C34" s="2" t="s">
        <v>375</v>
      </c>
    </row>
    <row r="35" spans="1:4" ht="15">
      <c r="C35" s="2" t="s">
        <v>373</v>
      </c>
    </row>
    <row r="36" spans="1:4" ht="15">
      <c r="D36" s="2" t="s">
        <v>374</v>
      </c>
    </row>
    <row r="37" spans="1:4">
      <c r="B37" s="2" t="s">
        <v>376</v>
      </c>
    </row>
    <row r="38" spans="1:4">
      <c r="C38" s="2" t="s">
        <v>377</v>
      </c>
    </row>
    <row r="39" spans="1:4">
      <c r="C39" s="2" t="s">
        <v>378</v>
      </c>
    </row>
    <row r="41" spans="1:4" ht="15">
      <c r="A41" s="1" t="s">
        <v>379</v>
      </c>
    </row>
    <row r="43" spans="1:4">
      <c r="B43" s="2" t="s">
        <v>380</v>
      </c>
    </row>
    <row r="44" spans="1:4">
      <c r="C44" s="2" t="s">
        <v>381</v>
      </c>
    </row>
    <row r="45" spans="1:4" ht="15">
      <c r="B45" s="2" t="s">
        <v>423</v>
      </c>
    </row>
    <row r="46" spans="1:4" ht="15">
      <c r="C46" s="2" t="s">
        <v>424</v>
      </c>
    </row>
    <row r="47" spans="1:4" ht="15">
      <c r="C47" s="2" t="s">
        <v>425</v>
      </c>
    </row>
    <row r="48" spans="1:4" ht="15">
      <c r="B48" s="2" t="s">
        <v>426</v>
      </c>
    </row>
    <row r="49" spans="1:36" ht="15">
      <c r="C49" s="2" t="s">
        <v>427</v>
      </c>
    </row>
    <row r="50" spans="1:36" ht="15">
      <c r="C50" s="2" t="s">
        <v>428</v>
      </c>
    </row>
    <row r="52" spans="1:36" ht="15">
      <c r="A52" s="1" t="s">
        <v>386</v>
      </c>
    </row>
    <row r="54" spans="1:36">
      <c r="B54" s="2" t="s">
        <v>434</v>
      </c>
    </row>
    <row r="55" spans="1:36">
      <c r="C55" s="2" t="s">
        <v>385</v>
      </c>
    </row>
    <row r="56" spans="1:36">
      <c r="C56" s="2" t="s">
        <v>388</v>
      </c>
    </row>
    <row r="57" spans="1:36">
      <c r="C57" s="2" t="s">
        <v>387</v>
      </c>
    </row>
    <row r="58" spans="1:36">
      <c r="B58" s="2" t="s">
        <v>697</v>
      </c>
    </row>
    <row r="60" spans="1:36" ht="15">
      <c r="C60" s="1" t="s">
        <v>452</v>
      </c>
      <c r="G60" s="2" t="s">
        <v>392</v>
      </c>
      <c r="AI60" s="11" t="s">
        <v>578</v>
      </c>
    </row>
    <row r="61" spans="1:36">
      <c r="H61" s="2" t="s">
        <v>393</v>
      </c>
      <c r="AI61" s="11" t="s">
        <v>404</v>
      </c>
      <c r="AJ61" s="11" t="s">
        <v>405</v>
      </c>
    </row>
    <row r="62" spans="1:36">
      <c r="H62" s="2" t="s">
        <v>433</v>
      </c>
      <c r="AI62" s="11" t="s">
        <v>508</v>
      </c>
      <c r="AJ62" s="11" t="s">
        <v>406</v>
      </c>
    </row>
    <row r="63" spans="1:36">
      <c r="H63" s="2" t="s">
        <v>403</v>
      </c>
      <c r="AI63" s="11" t="s">
        <v>410</v>
      </c>
      <c r="AJ63" s="11" t="s">
        <v>408</v>
      </c>
    </row>
    <row r="64" spans="1:36">
      <c r="AI64" s="11"/>
      <c r="AJ64" s="11"/>
    </row>
    <row r="65" spans="3:36" ht="15">
      <c r="C65" s="13" t="s">
        <v>389</v>
      </c>
      <c r="G65" s="2" t="s">
        <v>409</v>
      </c>
      <c r="AI65" s="11" t="s">
        <v>578</v>
      </c>
    </row>
    <row r="66" spans="3:36">
      <c r="C66" s="12"/>
      <c r="H66" s="2" t="s">
        <v>432</v>
      </c>
      <c r="AI66" s="11" t="s">
        <v>495</v>
      </c>
      <c r="AJ66" s="11" t="s">
        <v>405</v>
      </c>
    </row>
    <row r="67" spans="3:36">
      <c r="C67" s="12"/>
      <c r="H67" s="2" t="s">
        <v>429</v>
      </c>
      <c r="AI67" s="11" t="s">
        <v>507</v>
      </c>
      <c r="AJ67" s="11" t="s">
        <v>493</v>
      </c>
    </row>
    <row r="68" spans="3:36">
      <c r="C68" s="12"/>
      <c r="I68" s="2" t="s">
        <v>431</v>
      </c>
      <c r="AI68" s="11" t="s">
        <v>496</v>
      </c>
      <c r="AJ68" s="11" t="s">
        <v>494</v>
      </c>
    </row>
    <row r="69" spans="3:36">
      <c r="C69" s="12"/>
      <c r="H69" s="2" t="s">
        <v>430</v>
      </c>
    </row>
    <row r="70" spans="3:36">
      <c r="C70" s="12"/>
      <c r="AI70" s="11" t="s">
        <v>578</v>
      </c>
    </row>
    <row r="71" spans="3:36" ht="15">
      <c r="C71" s="13" t="s">
        <v>390</v>
      </c>
      <c r="G71" s="2" t="s">
        <v>411</v>
      </c>
      <c r="AI71" s="11" t="s">
        <v>501</v>
      </c>
      <c r="AJ71" s="11" t="s">
        <v>498</v>
      </c>
    </row>
    <row r="72" spans="3:36" ht="15">
      <c r="C72" s="13"/>
      <c r="H72" s="2" t="s">
        <v>412</v>
      </c>
      <c r="AI72" s="11" t="s">
        <v>506</v>
      </c>
      <c r="AJ72" s="11" t="s">
        <v>499</v>
      </c>
    </row>
    <row r="73" spans="3:36" ht="15">
      <c r="C73" s="13"/>
      <c r="H73" s="2" t="s">
        <v>497</v>
      </c>
      <c r="AI73" s="11" t="s">
        <v>502</v>
      </c>
      <c r="AJ73" s="11" t="s">
        <v>500</v>
      </c>
    </row>
    <row r="74" spans="3:36" ht="15">
      <c r="C74" s="13"/>
      <c r="G74" s="44"/>
      <c r="H74" s="2" t="s">
        <v>413</v>
      </c>
    </row>
    <row r="75" spans="3:36" ht="15">
      <c r="C75" s="13"/>
      <c r="G75" s="44"/>
      <c r="H75" s="44"/>
      <c r="AI75" s="11" t="s">
        <v>578</v>
      </c>
    </row>
    <row r="76" spans="3:36" ht="15">
      <c r="C76" s="13" t="s">
        <v>391</v>
      </c>
      <c r="G76" s="2" t="s">
        <v>414</v>
      </c>
      <c r="AI76" s="11" t="s">
        <v>503</v>
      </c>
      <c r="AJ76" s="11" t="s">
        <v>569</v>
      </c>
    </row>
    <row r="77" spans="3:36" ht="15">
      <c r="C77" s="13"/>
      <c r="H77" s="2" t="s">
        <v>415</v>
      </c>
      <c r="AI77" s="11" t="s">
        <v>505</v>
      </c>
      <c r="AJ77" s="11" t="s">
        <v>570</v>
      </c>
    </row>
    <row r="78" spans="3:36" ht="15">
      <c r="C78" s="13"/>
      <c r="H78" s="2" t="s">
        <v>418</v>
      </c>
      <c r="AI78" s="11" t="s">
        <v>504</v>
      </c>
      <c r="AJ78" s="11" t="s">
        <v>571</v>
      </c>
    </row>
    <row r="79" spans="3:36" ht="15">
      <c r="C79" s="13"/>
      <c r="H79" s="2" t="s">
        <v>416</v>
      </c>
    </row>
    <row r="80" spans="3:36" ht="15">
      <c r="C80" s="13"/>
      <c r="I80" s="2" t="s">
        <v>435</v>
      </c>
    </row>
    <row r="81" spans="1:36" ht="15">
      <c r="C81" s="13"/>
      <c r="H81" s="2" t="s">
        <v>417</v>
      </c>
    </row>
    <row r="82" spans="1:36" ht="15">
      <c r="C82" s="13"/>
    </row>
    <row r="83" spans="1:36" ht="15">
      <c r="C83" s="13" t="s">
        <v>586</v>
      </c>
      <c r="G83" s="2" t="s">
        <v>419</v>
      </c>
      <c r="AI83" s="11" t="s">
        <v>578</v>
      </c>
    </row>
    <row r="84" spans="1:36" ht="15">
      <c r="C84" s="13"/>
      <c r="H84" s="2" t="s">
        <v>436</v>
      </c>
      <c r="AI84" s="11" t="s">
        <v>575</v>
      </c>
      <c r="AJ84" s="11" t="s">
        <v>572</v>
      </c>
    </row>
    <row r="85" spans="1:36" ht="15">
      <c r="C85" s="13"/>
      <c r="G85" s="2" t="s">
        <v>437</v>
      </c>
      <c r="AI85" s="11" t="s">
        <v>576</v>
      </c>
      <c r="AJ85" s="11" t="s">
        <v>573</v>
      </c>
    </row>
    <row r="86" spans="1:36" ht="15">
      <c r="C86" s="13"/>
      <c r="G86" s="2" t="s">
        <v>438</v>
      </c>
      <c r="AI86" s="11" t="s">
        <v>577</v>
      </c>
      <c r="AJ86" s="11" t="s">
        <v>574</v>
      </c>
    </row>
    <row r="87" spans="1:36" ht="15">
      <c r="C87" s="13"/>
      <c r="H87" s="2" t="s">
        <v>439</v>
      </c>
    </row>
    <row r="88" spans="1:36" ht="15">
      <c r="C88" s="13"/>
      <c r="G88" s="2" t="s">
        <v>420</v>
      </c>
    </row>
    <row r="89" spans="1:36" ht="15">
      <c r="C89" s="13"/>
      <c r="H89" s="44"/>
      <c r="I89" s="44"/>
    </row>
    <row r="90" spans="1:36" ht="15">
      <c r="C90" s="13" t="s">
        <v>407</v>
      </c>
      <c r="G90" s="2" t="s">
        <v>421</v>
      </c>
    </row>
    <row r="91" spans="1:36">
      <c r="H91" s="2" t="s">
        <v>422</v>
      </c>
    </row>
    <row r="93" spans="1:36" ht="15">
      <c r="A93" s="1" t="s">
        <v>396</v>
      </c>
    </row>
    <row r="95" spans="1:36">
      <c r="B95" s="2" t="s">
        <v>698</v>
      </c>
    </row>
    <row r="97" spans="2:8" ht="15">
      <c r="C97" s="1" t="s">
        <v>397</v>
      </c>
      <c r="G97" s="2" t="s">
        <v>440</v>
      </c>
    </row>
    <row r="98" spans="2:8">
      <c r="G98" s="2" t="s">
        <v>441</v>
      </c>
    </row>
    <row r="99" spans="2:8">
      <c r="H99" s="2" t="s">
        <v>442</v>
      </c>
    </row>
    <row r="100" spans="2:8">
      <c r="G100" s="2" t="s">
        <v>443</v>
      </c>
    </row>
    <row r="102" spans="2:8" ht="15">
      <c r="C102" s="1" t="s">
        <v>398</v>
      </c>
      <c r="G102" s="2" t="s">
        <v>445</v>
      </c>
    </row>
    <row r="103" spans="2:8" ht="15">
      <c r="C103" s="1"/>
      <c r="H103" s="2" t="s">
        <v>444</v>
      </c>
    </row>
    <row r="104" spans="2:8" ht="15">
      <c r="C104" s="1"/>
      <c r="H104" s="2" t="s">
        <v>446</v>
      </c>
    </row>
    <row r="105" spans="2:8" ht="15">
      <c r="C105" s="1"/>
      <c r="H105" s="2" t="s">
        <v>447</v>
      </c>
    </row>
    <row r="106" spans="2:8" ht="15">
      <c r="C106" s="1"/>
      <c r="H106" s="2" t="s">
        <v>448</v>
      </c>
    </row>
    <row r="107" spans="2:8" ht="15">
      <c r="C107" s="1"/>
      <c r="G107" s="44"/>
      <c r="H107" s="44"/>
    </row>
    <row r="108" spans="2:8">
      <c r="B108" s="2" t="s">
        <v>399</v>
      </c>
    </row>
    <row r="109" spans="2:8">
      <c r="C109" s="2" t="s">
        <v>400</v>
      </c>
    </row>
    <row r="110" spans="2:8">
      <c r="C110" s="2" t="s">
        <v>401</v>
      </c>
    </row>
    <row r="111" spans="2:8">
      <c r="C111" s="2" t="s">
        <v>402</v>
      </c>
    </row>
    <row r="113" spans="1:11">
      <c r="B113" s="2" t="s">
        <v>699</v>
      </c>
    </row>
    <row r="115" spans="1:11" ht="15">
      <c r="A115" s="1" t="s">
        <v>449</v>
      </c>
    </row>
    <row r="117" spans="1:11" ht="15">
      <c r="B117" s="23"/>
      <c r="C117" s="24" t="s">
        <v>450</v>
      </c>
      <c r="D117" s="23"/>
      <c r="E117" s="23"/>
      <c r="F117" s="23"/>
      <c r="G117" s="23"/>
      <c r="H117" s="25" t="s">
        <v>453</v>
      </c>
      <c r="I117" s="23"/>
      <c r="J117" s="23"/>
      <c r="K117" s="40"/>
    </row>
    <row r="118" spans="1:11">
      <c r="B118" s="26"/>
      <c r="C118" s="15"/>
      <c r="D118" s="16"/>
      <c r="E118" s="17"/>
      <c r="F118" s="16" t="s">
        <v>454</v>
      </c>
      <c r="G118" s="16"/>
      <c r="H118" s="16"/>
      <c r="I118" s="16"/>
      <c r="J118" s="16"/>
      <c r="K118" s="17"/>
    </row>
    <row r="119" spans="1:11" ht="15">
      <c r="B119" s="26"/>
      <c r="C119" s="28"/>
      <c r="D119" s="37" t="s">
        <v>481</v>
      </c>
      <c r="E119" s="19"/>
      <c r="F119" s="14" t="s">
        <v>455</v>
      </c>
      <c r="G119" s="14"/>
      <c r="H119" s="14"/>
      <c r="I119" s="14"/>
      <c r="J119" s="14"/>
      <c r="K119" s="19"/>
    </row>
    <row r="120" spans="1:11">
      <c r="B120" s="26"/>
      <c r="C120" s="18"/>
      <c r="D120" s="38"/>
      <c r="E120" s="19"/>
      <c r="F120" s="14" t="s">
        <v>456</v>
      </c>
      <c r="G120" s="14"/>
      <c r="H120" s="14"/>
      <c r="I120" s="14"/>
      <c r="J120" s="14"/>
      <c r="K120" s="19"/>
    </row>
    <row r="121" spans="1:11" ht="15">
      <c r="B121" s="27" t="s">
        <v>308</v>
      </c>
      <c r="C121" s="20"/>
      <c r="D121" s="41"/>
      <c r="E121" s="22"/>
      <c r="F121" s="21" t="s">
        <v>457</v>
      </c>
      <c r="G121" s="21"/>
      <c r="H121" s="21"/>
      <c r="I121" s="21"/>
      <c r="J121" s="21"/>
      <c r="K121" s="22"/>
    </row>
    <row r="122" spans="1:11">
      <c r="B122" s="26"/>
      <c r="C122" s="15"/>
      <c r="D122" s="42"/>
      <c r="E122" s="17"/>
      <c r="F122" s="16" t="s">
        <v>458</v>
      </c>
      <c r="G122" s="16"/>
      <c r="H122" s="16"/>
      <c r="I122" s="16"/>
      <c r="J122" s="16"/>
      <c r="K122" s="17"/>
    </row>
    <row r="123" spans="1:11" ht="15">
      <c r="B123" s="26"/>
      <c r="C123" s="28"/>
      <c r="D123" s="37" t="s">
        <v>482</v>
      </c>
      <c r="E123" s="19"/>
      <c r="F123" s="14" t="s">
        <v>459</v>
      </c>
      <c r="G123" s="14"/>
      <c r="H123" s="14"/>
      <c r="I123" s="14"/>
      <c r="J123" s="14"/>
      <c r="K123" s="19"/>
    </row>
    <row r="124" spans="1:11">
      <c r="B124" s="26"/>
      <c r="C124" s="18"/>
      <c r="D124" s="38"/>
      <c r="E124" s="19"/>
      <c r="F124" s="14" t="s">
        <v>460</v>
      </c>
      <c r="G124" s="14"/>
      <c r="H124" s="14"/>
      <c r="I124" s="14"/>
      <c r="J124" s="14"/>
      <c r="K124" s="19"/>
    </row>
    <row r="125" spans="1:11">
      <c r="B125" s="26"/>
      <c r="C125" s="20"/>
      <c r="D125" s="41"/>
      <c r="E125" s="22"/>
      <c r="F125" s="21" t="s">
        <v>461</v>
      </c>
      <c r="G125" s="21"/>
      <c r="H125" s="21"/>
      <c r="I125" s="21"/>
      <c r="J125" s="21"/>
      <c r="K125" s="22"/>
    </row>
    <row r="126" spans="1:11">
      <c r="B126" s="31"/>
      <c r="C126" s="15"/>
      <c r="D126" s="42"/>
      <c r="E126" s="17"/>
      <c r="F126" s="16" t="s">
        <v>462</v>
      </c>
      <c r="G126" s="16"/>
      <c r="H126" s="16"/>
      <c r="I126" s="16"/>
      <c r="J126" s="16"/>
      <c r="K126" s="17"/>
    </row>
    <row r="127" spans="1:11">
      <c r="B127" s="32"/>
      <c r="C127" s="18"/>
      <c r="D127" s="38"/>
      <c r="E127" s="19"/>
      <c r="F127" s="14" t="s">
        <v>463</v>
      </c>
      <c r="G127" s="14"/>
      <c r="H127" s="14"/>
      <c r="I127" s="14"/>
      <c r="J127" s="14"/>
      <c r="K127" s="19"/>
    </row>
    <row r="128" spans="1:11" ht="15">
      <c r="B128" s="32"/>
      <c r="C128" s="30"/>
      <c r="D128" s="37" t="s">
        <v>483</v>
      </c>
      <c r="E128" s="35"/>
      <c r="F128" s="14" t="s">
        <v>464</v>
      </c>
      <c r="G128" s="14"/>
      <c r="H128" s="14"/>
      <c r="I128" s="14"/>
      <c r="J128" s="14"/>
      <c r="K128" s="19"/>
    </row>
    <row r="129" spans="2:11" ht="15">
      <c r="B129" s="32"/>
      <c r="C129" s="30"/>
      <c r="D129" s="37" t="s">
        <v>484</v>
      </c>
      <c r="E129" s="35"/>
      <c r="F129" s="14" t="s">
        <v>465</v>
      </c>
      <c r="G129" s="14"/>
      <c r="H129" s="14"/>
      <c r="I129" s="14"/>
      <c r="J129" s="14"/>
      <c r="K129" s="19"/>
    </row>
    <row r="130" spans="2:11">
      <c r="B130" s="32"/>
      <c r="C130" s="18"/>
      <c r="D130" s="38"/>
      <c r="E130" s="36"/>
      <c r="F130" s="14" t="s">
        <v>466</v>
      </c>
      <c r="G130" s="14"/>
      <c r="H130" s="14"/>
      <c r="I130" s="14"/>
      <c r="J130" s="14"/>
      <c r="K130" s="19"/>
    </row>
    <row r="131" spans="2:11">
      <c r="B131" s="32"/>
      <c r="C131" s="20"/>
      <c r="D131" s="41"/>
      <c r="E131" s="22"/>
      <c r="F131" s="21" t="s">
        <v>467</v>
      </c>
      <c r="G131" s="21"/>
      <c r="H131" s="21"/>
      <c r="I131" s="21"/>
      <c r="J131" s="21"/>
      <c r="K131" s="22"/>
    </row>
    <row r="132" spans="2:11">
      <c r="B132" s="32"/>
      <c r="C132" s="15"/>
      <c r="D132" s="42"/>
      <c r="E132" s="17"/>
      <c r="F132" s="16" t="s">
        <v>468</v>
      </c>
      <c r="G132" s="16"/>
      <c r="H132" s="16"/>
      <c r="I132" s="16"/>
      <c r="J132" s="16"/>
      <c r="K132" s="17"/>
    </row>
    <row r="133" spans="2:11" ht="15">
      <c r="B133" s="32"/>
      <c r="C133" s="28"/>
      <c r="D133" s="37" t="s">
        <v>482</v>
      </c>
      <c r="E133" s="19"/>
      <c r="F133" s="14" t="s">
        <v>469</v>
      </c>
      <c r="G133" s="14"/>
      <c r="H133" s="14"/>
      <c r="I133" s="14"/>
      <c r="J133" s="14"/>
      <c r="K133" s="19"/>
    </row>
    <row r="134" spans="2:11" ht="15">
      <c r="B134" s="33" t="s">
        <v>529</v>
      </c>
      <c r="C134" s="28"/>
      <c r="D134" s="37" t="s">
        <v>484</v>
      </c>
      <c r="E134" s="19"/>
      <c r="F134" s="14" t="s">
        <v>470</v>
      </c>
      <c r="G134" s="14"/>
      <c r="H134" s="14"/>
      <c r="I134" s="14"/>
      <c r="J134" s="14"/>
      <c r="K134" s="19"/>
    </row>
    <row r="135" spans="2:11" ht="15">
      <c r="B135" s="33" t="s">
        <v>530</v>
      </c>
      <c r="C135" s="18"/>
      <c r="D135" s="38"/>
      <c r="E135" s="19"/>
      <c r="F135" s="14" t="s">
        <v>471</v>
      </c>
      <c r="G135" s="14"/>
      <c r="H135" s="14"/>
      <c r="I135" s="14"/>
      <c r="J135" s="14"/>
      <c r="K135" s="19"/>
    </row>
    <row r="136" spans="2:11">
      <c r="B136" s="32"/>
      <c r="C136" s="20"/>
      <c r="D136" s="41"/>
      <c r="E136" s="22"/>
      <c r="F136" s="21" t="s">
        <v>472</v>
      </c>
      <c r="G136" s="21"/>
      <c r="H136" s="21"/>
      <c r="I136" s="21"/>
      <c r="J136" s="21"/>
      <c r="K136" s="22"/>
    </row>
    <row r="137" spans="2:11">
      <c r="B137" s="32"/>
      <c r="C137" s="15"/>
      <c r="D137" s="42"/>
      <c r="E137" s="17"/>
      <c r="F137" s="16" t="s">
        <v>473</v>
      </c>
      <c r="G137" s="16"/>
      <c r="H137" s="16"/>
      <c r="I137" s="16"/>
      <c r="J137" s="16"/>
      <c r="K137" s="17"/>
    </row>
    <row r="138" spans="2:11">
      <c r="B138" s="32"/>
      <c r="C138" s="18"/>
      <c r="D138" s="38"/>
      <c r="E138" s="19"/>
      <c r="F138" s="14" t="s">
        <v>474</v>
      </c>
      <c r="G138" s="14"/>
      <c r="H138" s="14"/>
      <c r="I138" s="14"/>
      <c r="J138" s="14"/>
      <c r="K138" s="19"/>
    </row>
    <row r="139" spans="2:11">
      <c r="B139" s="32"/>
      <c r="C139" s="18"/>
      <c r="D139" s="38"/>
      <c r="E139" s="19"/>
      <c r="F139" s="14" t="s">
        <v>475</v>
      </c>
      <c r="G139" s="14"/>
      <c r="H139" s="14"/>
      <c r="I139" s="14"/>
      <c r="J139" s="14"/>
      <c r="K139" s="19"/>
    </row>
    <row r="140" spans="2:11" ht="15">
      <c r="B140" s="32"/>
      <c r="C140" s="28"/>
      <c r="D140" s="37" t="s">
        <v>485</v>
      </c>
      <c r="E140" s="19"/>
      <c r="F140" s="14" t="s">
        <v>476</v>
      </c>
      <c r="G140" s="14"/>
      <c r="H140" s="14"/>
      <c r="I140" s="14"/>
      <c r="J140" s="14"/>
      <c r="K140" s="19"/>
    </row>
    <row r="141" spans="2:11">
      <c r="B141" s="32"/>
      <c r="C141" s="18"/>
      <c r="D141" s="38"/>
      <c r="E141" s="19"/>
      <c r="F141" s="14" t="s">
        <v>477</v>
      </c>
      <c r="G141" s="14"/>
      <c r="H141" s="14"/>
      <c r="I141" s="14"/>
      <c r="J141" s="14"/>
      <c r="K141" s="19"/>
    </row>
    <row r="142" spans="2:11">
      <c r="B142" s="32"/>
      <c r="C142" s="18"/>
      <c r="D142" s="38"/>
      <c r="E142" s="19"/>
      <c r="F142" s="14" t="s">
        <v>478</v>
      </c>
      <c r="G142" s="14"/>
      <c r="H142" s="14"/>
      <c r="I142" s="14"/>
      <c r="J142" s="14"/>
      <c r="K142" s="19"/>
    </row>
    <row r="143" spans="2:11">
      <c r="B143" s="32"/>
      <c r="C143" s="20"/>
      <c r="D143" s="41"/>
      <c r="E143" s="22"/>
      <c r="F143" s="21" t="s">
        <v>479</v>
      </c>
      <c r="G143" s="21"/>
      <c r="H143" s="21"/>
      <c r="I143" s="21"/>
      <c r="J143" s="21"/>
      <c r="K143" s="22"/>
    </row>
    <row r="144" spans="2:11" ht="15">
      <c r="B144" s="34"/>
      <c r="C144" s="29"/>
      <c r="D144" s="39" t="s">
        <v>486</v>
      </c>
      <c r="E144" s="22"/>
      <c r="F144" s="21" t="s">
        <v>480</v>
      </c>
      <c r="G144" s="21"/>
      <c r="H144" s="21"/>
      <c r="I144" s="21"/>
      <c r="J144" s="21"/>
      <c r="K144" s="22"/>
    </row>
    <row r="146" spans="1:3">
      <c r="B146" s="2" t="s">
        <v>487</v>
      </c>
    </row>
    <row r="147" spans="1:3" ht="15">
      <c r="C147" s="66" t="s">
        <v>620</v>
      </c>
    </row>
    <row r="149" spans="1:3" ht="15">
      <c r="A149" s="1" t="s">
        <v>488</v>
      </c>
    </row>
    <row r="151" spans="1:3">
      <c r="B151" s="2" t="s">
        <v>700</v>
      </c>
    </row>
    <row r="152" spans="1:3">
      <c r="C152" s="2" t="s">
        <v>701</v>
      </c>
    </row>
    <row r="153" spans="1:3">
      <c r="B153" s="2" t="s">
        <v>674</v>
      </c>
    </row>
    <row r="154" spans="1:3">
      <c r="C154" s="2" t="s">
        <v>702</v>
      </c>
    </row>
    <row r="155" spans="1:3" ht="15">
      <c r="B155" s="1" t="s">
        <v>623</v>
      </c>
    </row>
    <row r="157" spans="1:3" ht="15">
      <c r="A157" s="1" t="s">
        <v>489</v>
      </c>
    </row>
    <row r="159" spans="1:3" ht="15">
      <c r="B159" s="1" t="s">
        <v>675</v>
      </c>
    </row>
    <row r="160" spans="1:3">
      <c r="B160" s="2" t="s">
        <v>703</v>
      </c>
    </row>
    <row r="161" spans="1:3">
      <c r="C161" s="2" t="s">
        <v>705</v>
      </c>
    </row>
    <row r="162" spans="1:3">
      <c r="C162" s="2" t="s">
        <v>706</v>
      </c>
    </row>
    <row r="163" spans="1:3">
      <c r="C163" s="2" t="s">
        <v>707</v>
      </c>
    </row>
    <row r="164" spans="1:3">
      <c r="C164" s="2" t="s">
        <v>708</v>
      </c>
    </row>
    <row r="165" spans="1:3">
      <c r="B165" s="2" t="s">
        <v>704</v>
      </c>
    </row>
    <row r="167" spans="1:3" ht="15">
      <c r="A167" s="1" t="s">
        <v>490</v>
      </c>
    </row>
    <row r="169" spans="1:3" ht="15">
      <c r="B169" s="1" t="s">
        <v>545</v>
      </c>
    </row>
    <row r="170" spans="1:3">
      <c r="C170" s="2" t="s">
        <v>709</v>
      </c>
    </row>
    <row r="171" spans="1:3" ht="15">
      <c r="B171" s="1" t="s">
        <v>544</v>
      </c>
    </row>
    <row r="172" spans="1:3">
      <c r="C172" s="2" t="s">
        <v>509</v>
      </c>
    </row>
    <row r="173" spans="1:3" ht="15">
      <c r="B173" s="45"/>
      <c r="C173" s="2" t="s">
        <v>510</v>
      </c>
    </row>
    <row r="174" spans="1:3">
      <c r="B174" s="2" t="s">
        <v>543</v>
      </c>
    </row>
    <row r="175" spans="1:3" ht="15">
      <c r="C175" s="2" t="s">
        <v>511</v>
      </c>
    </row>
    <row r="176" spans="1:3" ht="15">
      <c r="C176" s="1" t="s">
        <v>583</v>
      </c>
    </row>
    <row r="177" spans="1:5">
      <c r="B177" s="2" t="s">
        <v>541</v>
      </c>
    </row>
    <row r="178" spans="1:5">
      <c r="B178" s="2" t="s">
        <v>542</v>
      </c>
    </row>
    <row r="179" spans="1:5">
      <c r="C179" s="2" t="s">
        <v>512</v>
      </c>
    </row>
    <row r="180" spans="1:5">
      <c r="B180" s="2" t="s">
        <v>540</v>
      </c>
    </row>
    <row r="181" spans="1:5">
      <c r="C181" s="2" t="s">
        <v>513</v>
      </c>
    </row>
    <row r="182" spans="1:5" ht="15">
      <c r="B182" s="2" t="s">
        <v>710</v>
      </c>
    </row>
    <row r="184" spans="1:5" ht="15">
      <c r="A184" s="1" t="s">
        <v>514</v>
      </c>
    </row>
    <row r="186" spans="1:5" ht="15">
      <c r="B186" s="1" t="s">
        <v>515</v>
      </c>
    </row>
    <row r="187" spans="1:5">
      <c r="C187" s="2" t="s">
        <v>711</v>
      </c>
    </row>
    <row r="188" spans="1:5">
      <c r="B188" s="2" t="s">
        <v>676</v>
      </c>
    </row>
    <row r="189" spans="1:5" ht="15">
      <c r="C189" s="44"/>
    </row>
    <row r="190" spans="1:5" ht="15">
      <c r="C190" s="43" t="s">
        <v>523</v>
      </c>
      <c r="E190" s="43" t="s">
        <v>522</v>
      </c>
    </row>
    <row r="191" spans="1:5">
      <c r="C191" s="2" t="s">
        <v>516</v>
      </c>
      <c r="E191" s="50" t="s">
        <v>524</v>
      </c>
    </row>
    <row r="192" spans="1:5">
      <c r="C192" s="2" t="s">
        <v>518</v>
      </c>
      <c r="E192" s="50" t="s">
        <v>532</v>
      </c>
    </row>
    <row r="193" spans="2:6">
      <c r="C193" s="2" t="s">
        <v>519</v>
      </c>
      <c r="E193" s="50" t="s">
        <v>567</v>
      </c>
    </row>
    <row r="194" spans="2:6">
      <c r="C194" s="2" t="s">
        <v>520</v>
      </c>
      <c r="E194" s="2" t="s">
        <v>533</v>
      </c>
    </row>
    <row r="195" spans="2:6">
      <c r="C195" s="2" t="s">
        <v>521</v>
      </c>
      <c r="E195" s="51" t="s">
        <v>534</v>
      </c>
    </row>
    <row r="196" spans="2:6">
      <c r="C196" s="2" t="s">
        <v>517</v>
      </c>
      <c r="E196" s="50" t="s">
        <v>525</v>
      </c>
      <c r="F196" s="2" t="s">
        <v>526</v>
      </c>
    </row>
    <row r="197" spans="2:6">
      <c r="C197" s="2" t="s">
        <v>537</v>
      </c>
      <c r="E197" s="2" t="s">
        <v>536</v>
      </c>
      <c r="F197" s="2" t="s">
        <v>608</v>
      </c>
    </row>
    <row r="198" spans="2:6" ht="15">
      <c r="C198" s="1"/>
    </row>
    <row r="199" spans="2:6" ht="15">
      <c r="C199" s="43" t="s">
        <v>531</v>
      </c>
    </row>
    <row r="200" spans="2:6">
      <c r="C200" s="2" t="s">
        <v>535</v>
      </c>
    </row>
    <row r="201" spans="2:6">
      <c r="C201" s="2" t="s">
        <v>538</v>
      </c>
    </row>
    <row r="202" spans="2:6">
      <c r="C202" s="2" t="s">
        <v>539</v>
      </c>
    </row>
    <row r="204" spans="2:6">
      <c r="B204" s="2" t="s">
        <v>712</v>
      </c>
    </row>
    <row r="205" spans="2:6">
      <c r="C205" s="2" t="s">
        <v>713</v>
      </c>
    </row>
    <row r="206" spans="2:6">
      <c r="B206" s="2" t="s">
        <v>714</v>
      </c>
    </row>
    <row r="208" spans="2:6">
      <c r="B208" s="2" t="s">
        <v>546</v>
      </c>
    </row>
    <row r="209" spans="2:3">
      <c r="B209" s="11" t="s">
        <v>365</v>
      </c>
      <c r="C209" s="2" t="s">
        <v>547</v>
      </c>
    </row>
    <row r="210" spans="2:3">
      <c r="B210" s="11" t="s">
        <v>365</v>
      </c>
      <c r="C210" s="2" t="s">
        <v>548</v>
      </c>
    </row>
    <row r="211" spans="2:3">
      <c r="B211" s="11" t="s">
        <v>365</v>
      </c>
      <c r="C211" s="2" t="s">
        <v>549</v>
      </c>
    </row>
    <row r="212" spans="2:3">
      <c r="B212" s="11" t="s">
        <v>365</v>
      </c>
      <c r="C212" s="2" t="s">
        <v>550</v>
      </c>
    </row>
    <row r="213" spans="2:3">
      <c r="B213" s="11" t="s">
        <v>365</v>
      </c>
      <c r="C213" s="2" t="s">
        <v>551</v>
      </c>
    </row>
    <row r="214" spans="2:3">
      <c r="B214" s="11" t="s">
        <v>365</v>
      </c>
      <c r="C214" s="2" t="s">
        <v>552</v>
      </c>
    </row>
    <row r="216" spans="2:3">
      <c r="B216" s="2" t="s">
        <v>715</v>
      </c>
    </row>
    <row r="218" spans="2:3">
      <c r="B218" s="2" t="s">
        <v>553</v>
      </c>
    </row>
    <row r="219" spans="2:3">
      <c r="B219" s="11" t="s">
        <v>365</v>
      </c>
      <c r="C219" s="2" t="s">
        <v>554</v>
      </c>
    </row>
    <row r="220" spans="2:3">
      <c r="B220" s="11" t="s">
        <v>365</v>
      </c>
      <c r="C220" s="2" t="s">
        <v>555</v>
      </c>
    </row>
    <row r="221" spans="2:3">
      <c r="B221" s="11" t="s">
        <v>365</v>
      </c>
      <c r="C221" s="2" t="s">
        <v>556</v>
      </c>
    </row>
    <row r="222" spans="2:3">
      <c r="B222" s="11" t="s">
        <v>365</v>
      </c>
      <c r="C222" s="2" t="s">
        <v>557</v>
      </c>
    </row>
    <row r="223" spans="2:3">
      <c r="B223" s="11" t="s">
        <v>365</v>
      </c>
      <c r="C223" s="2" t="s">
        <v>558</v>
      </c>
    </row>
    <row r="224" spans="2:3">
      <c r="B224" s="11" t="s">
        <v>365</v>
      </c>
      <c r="C224" s="2" t="s">
        <v>559</v>
      </c>
    </row>
    <row r="225" spans="1:6">
      <c r="B225" s="11" t="s">
        <v>365</v>
      </c>
      <c r="C225" s="2" t="s">
        <v>560</v>
      </c>
    </row>
    <row r="227" spans="1:6" ht="15">
      <c r="A227" s="1" t="s">
        <v>561</v>
      </c>
    </row>
    <row r="229" spans="1:6">
      <c r="B229" s="2" t="s">
        <v>562</v>
      </c>
    </row>
    <row r="230" spans="1:6">
      <c r="C230" s="2" t="s">
        <v>563</v>
      </c>
    </row>
    <row r="231" spans="1:6">
      <c r="C231" s="2" t="s">
        <v>564</v>
      </c>
    </row>
    <row r="232" spans="1:6">
      <c r="C232" s="2" t="s">
        <v>565</v>
      </c>
    </row>
    <row r="233" spans="1:6">
      <c r="B233" s="2" t="s">
        <v>566</v>
      </c>
    </row>
    <row r="234" spans="1:6" ht="15">
      <c r="B234" s="2" t="s">
        <v>720</v>
      </c>
    </row>
    <row r="235" spans="1:6" ht="15">
      <c r="C235" s="2" t="s">
        <v>716</v>
      </c>
      <c r="F235" s="66" t="s">
        <v>717</v>
      </c>
    </row>
    <row r="236" spans="1:6" ht="15">
      <c r="C236" s="2" t="s">
        <v>718</v>
      </c>
      <c r="F236" s="66" t="s">
        <v>620</v>
      </c>
    </row>
    <row r="237" spans="1:6" ht="15">
      <c r="B237" s="1" t="s">
        <v>719</v>
      </c>
    </row>
    <row r="238" spans="1:6" ht="15">
      <c r="C238" s="1" t="s">
        <v>579</v>
      </c>
    </row>
    <row r="239" spans="1:6">
      <c r="B239" s="2" t="s">
        <v>580</v>
      </c>
    </row>
    <row r="240" spans="1:6" ht="15">
      <c r="B240" s="1" t="s">
        <v>581</v>
      </c>
    </row>
    <row r="241" spans="1:5">
      <c r="B241" s="2" t="s">
        <v>726</v>
      </c>
    </row>
    <row r="242" spans="1:5">
      <c r="B242" s="2" t="s">
        <v>727</v>
      </c>
    </row>
    <row r="243" spans="1:5">
      <c r="C243" s="2" t="s">
        <v>728</v>
      </c>
    </row>
    <row r="245" spans="1:5" ht="15">
      <c r="A245" s="1" t="s">
        <v>582</v>
      </c>
    </row>
    <row r="247" spans="1:5">
      <c r="B247" s="2" t="s">
        <v>584</v>
      </c>
    </row>
    <row r="249" spans="1:5">
      <c r="C249" s="2" t="s">
        <v>585</v>
      </c>
      <c r="E249" s="2" t="s">
        <v>587</v>
      </c>
    </row>
    <row r="251" spans="1:5">
      <c r="C251" s="2" t="s">
        <v>595</v>
      </c>
    </row>
    <row r="253" spans="1:5">
      <c r="C253" s="2" t="s">
        <v>596</v>
      </c>
    </row>
    <row r="255" spans="1:5" ht="15">
      <c r="A255" s="1" t="s">
        <v>597</v>
      </c>
      <c r="E255" s="2" t="s">
        <v>722</v>
      </c>
    </row>
    <row r="257" spans="1:16" ht="15">
      <c r="A257" s="1" t="s">
        <v>598</v>
      </c>
    </row>
    <row r="259" spans="1:16">
      <c r="B259" s="2" t="s">
        <v>599</v>
      </c>
    </row>
    <row r="261" spans="1:16" ht="15">
      <c r="B261" s="85" t="s">
        <v>723</v>
      </c>
      <c r="C261" s="80"/>
      <c r="D261" s="80"/>
      <c r="E261" s="86" t="s">
        <v>724</v>
      </c>
      <c r="F261" s="80"/>
      <c r="G261" s="80"/>
      <c r="H261" s="80"/>
      <c r="I261" s="80"/>
      <c r="J261" s="80"/>
      <c r="K261" s="80"/>
      <c r="L261" s="80"/>
      <c r="M261" s="80"/>
      <c r="N261" s="80"/>
      <c r="O261" s="80"/>
      <c r="P261" s="81"/>
    </row>
    <row r="262" spans="1:16" ht="15">
      <c r="B262" s="82" t="s">
        <v>607</v>
      </c>
      <c r="C262" s="74"/>
      <c r="D262" s="75"/>
      <c r="E262" s="15" t="s">
        <v>603</v>
      </c>
      <c r="F262" s="16"/>
      <c r="G262" s="16"/>
      <c r="H262" s="16"/>
      <c r="I262" s="16"/>
      <c r="J262" s="16"/>
      <c r="K262" s="16"/>
      <c r="L262" s="16"/>
      <c r="M262" s="16"/>
      <c r="N262" s="16"/>
      <c r="O262" s="16"/>
      <c r="P262" s="17"/>
    </row>
    <row r="263" spans="1:16" ht="15">
      <c r="B263" s="83" t="s">
        <v>600</v>
      </c>
      <c r="C263" s="76"/>
      <c r="D263" s="77"/>
      <c r="E263" s="18" t="s">
        <v>604</v>
      </c>
      <c r="F263" s="67"/>
      <c r="G263" s="68"/>
      <c r="H263" s="69"/>
      <c r="I263" s="67"/>
      <c r="J263" s="68"/>
      <c r="K263" s="69"/>
      <c r="L263" s="67"/>
      <c r="M263" s="69"/>
      <c r="N263" s="69"/>
      <c r="O263" s="69"/>
      <c r="P263" s="71"/>
    </row>
    <row r="264" spans="1:16" ht="15">
      <c r="B264" s="83" t="s">
        <v>601</v>
      </c>
      <c r="C264" s="76"/>
      <c r="D264" s="77"/>
      <c r="E264" s="18" t="s">
        <v>605</v>
      </c>
      <c r="F264" s="67"/>
      <c r="G264" s="67"/>
      <c r="H264" s="70"/>
      <c r="I264" s="67"/>
      <c r="J264" s="67"/>
      <c r="K264" s="70"/>
      <c r="L264" s="67"/>
      <c r="M264" s="70"/>
      <c r="N264" s="70"/>
      <c r="O264" s="70"/>
      <c r="P264" s="72"/>
    </row>
    <row r="265" spans="1:16" ht="15">
      <c r="B265" s="84" t="s">
        <v>602</v>
      </c>
      <c r="C265" s="78"/>
      <c r="D265" s="79"/>
      <c r="E265" s="20" t="s">
        <v>606</v>
      </c>
      <c r="F265" s="21"/>
      <c r="G265" s="21"/>
      <c r="H265" s="41"/>
      <c r="I265" s="21"/>
      <c r="J265" s="21"/>
      <c r="K265" s="41"/>
      <c r="L265" s="21"/>
      <c r="M265" s="41"/>
      <c r="N265" s="41"/>
      <c r="O265" s="41"/>
      <c r="P265" s="73"/>
    </row>
    <row r="267" spans="1:16">
      <c r="B267" s="2" t="s">
        <v>725</v>
      </c>
    </row>
    <row r="268" spans="1:16" ht="15">
      <c r="B268" s="1" t="s">
        <v>622</v>
      </c>
    </row>
  </sheetData>
  <hyperlinks>
    <hyperlink ref="E193" r:id="rId1" xr:uid="{2B61F1B9-6BCB-4C40-A12D-45F75BC73872}"/>
    <hyperlink ref="E196" r:id="rId2" xr:uid="{CF1E1441-ECBB-4D65-9CD0-6BB8E929929E}"/>
    <hyperlink ref="A1" r:id="rId3" xr:uid="{BC1C6A08-4388-4BD0-AAE8-E5ACAF15E89E}"/>
    <hyperlink ref="E195" r:id="rId4" xr:uid="{74B948AA-FC91-4FC0-958B-F40D0DB78BC3}"/>
    <hyperlink ref="E191" r:id="rId5" xr:uid="{77EA6C23-9DFF-40C3-B5ED-EE4F4A389016}"/>
    <hyperlink ref="E192" r:id="rId6" xr:uid="{C45C1F34-3AD9-412A-AA9C-42D273196138}"/>
    <hyperlink ref="C147" r:id="rId7" xr:uid="{AA46E780-E291-4159-A138-19C3E1AC761F}"/>
    <hyperlink ref="F235" r:id="rId8" xr:uid="{CED68A2F-9E92-4804-87D7-CBF761610ECF}"/>
    <hyperlink ref="F236" r:id="rId9" xr:uid="{02F22DF9-1E5F-49CE-A5C7-5625EB993A2B}"/>
    <hyperlink ref="N17" r:id="rId10" xr:uid="{5E7FAC50-D41D-4D67-B454-DDCC9CB837C3}"/>
  </hyperlinks>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dimension ref="B1:CS85"/>
  <sheetViews>
    <sheetView tabSelected="1" zoomScale="85" zoomScaleNormal="85" workbookViewId="0">
      <pane xSplit="2" ySplit="2" topLeftCell="AR24" activePane="bottomRight" state="frozen"/>
      <selection pane="topRight" activeCell="C1" sqref="C1"/>
      <selection pane="bottomLeft" activeCell="A3" sqref="A3"/>
      <selection pane="bottomRight" activeCell="BO59" sqref="BO57:BO59"/>
    </sheetView>
  </sheetViews>
  <sheetFormatPr defaultColWidth="9.140625" defaultRowHeight="15"/>
  <cols>
    <col min="1" max="1" width="3.140625" style="2" customWidth="1"/>
    <col min="2" max="2" width="36.7109375" style="2" customWidth="1"/>
    <col min="3" max="6" width="9.140625" style="2"/>
    <col min="7" max="7" width="9.85546875" style="2" bestFit="1" customWidth="1"/>
    <col min="8" max="26" width="9.28515625" style="2" bestFit="1" customWidth="1"/>
    <col min="27" max="38" width="9.140625" style="10"/>
    <col min="39" max="53" width="9.140625" style="2"/>
    <col min="54" max="55" width="9.140625" style="55"/>
    <col min="56" max="57" width="9.140625" style="55" customWidth="1"/>
    <col min="58" max="94" width="9.140625" style="55"/>
    <col min="95" max="16384" width="9.140625" style="2"/>
  </cols>
  <sheetData>
    <row r="1" spans="2:97">
      <c r="B1" s="2" t="s">
        <v>306</v>
      </c>
      <c r="C1" s="2" t="s">
        <v>274</v>
      </c>
      <c r="D1" s="2" t="s">
        <v>275</v>
      </c>
      <c r="E1" s="2" t="s">
        <v>276</v>
      </c>
      <c r="F1" s="2" t="s">
        <v>277</v>
      </c>
      <c r="G1" s="2" t="s">
        <v>274</v>
      </c>
      <c r="H1" s="2" t="s">
        <v>275</v>
      </c>
      <c r="I1" s="2" t="s">
        <v>276</v>
      </c>
      <c r="J1" s="2" t="s">
        <v>277</v>
      </c>
      <c r="K1" s="2" t="s">
        <v>274</v>
      </c>
      <c r="L1" s="2" t="s">
        <v>275</v>
      </c>
      <c r="M1" s="2" t="s">
        <v>276</v>
      </c>
      <c r="N1" s="2" t="s">
        <v>277</v>
      </c>
      <c r="O1" s="2" t="s">
        <v>274</v>
      </c>
      <c r="P1" s="2" t="s">
        <v>275</v>
      </c>
      <c r="Q1" s="2" t="s">
        <v>276</v>
      </c>
      <c r="R1" s="2" t="s">
        <v>277</v>
      </c>
      <c r="S1" s="2" t="s">
        <v>274</v>
      </c>
      <c r="T1" s="2" t="s">
        <v>275</v>
      </c>
      <c r="U1" s="2" t="s">
        <v>276</v>
      </c>
      <c r="V1" s="2" t="s">
        <v>277</v>
      </c>
      <c r="W1" s="2" t="s">
        <v>274</v>
      </c>
      <c r="X1" s="2" t="s">
        <v>275</v>
      </c>
      <c r="Y1" s="2" t="s">
        <v>276</v>
      </c>
      <c r="Z1" s="2" t="s">
        <v>277</v>
      </c>
      <c r="AA1" s="10" t="s">
        <v>274</v>
      </c>
      <c r="AB1" s="10" t="s">
        <v>275</v>
      </c>
      <c r="AC1" s="10" t="s">
        <v>276</v>
      </c>
      <c r="AD1" s="10" t="s">
        <v>277</v>
      </c>
      <c r="AE1" s="10" t="s">
        <v>274</v>
      </c>
      <c r="AF1" s="10" t="s">
        <v>275</v>
      </c>
      <c r="AG1" s="10" t="s">
        <v>276</v>
      </c>
      <c r="AH1" s="10" t="s">
        <v>277</v>
      </c>
      <c r="AI1" s="10" t="s">
        <v>274</v>
      </c>
      <c r="AJ1" s="10" t="s">
        <v>275</v>
      </c>
      <c r="AK1" s="10" t="s">
        <v>276</v>
      </c>
      <c r="AL1" s="10" t="s">
        <v>277</v>
      </c>
    </row>
    <row r="2" spans="2:97">
      <c r="B2" s="1" t="s">
        <v>307</v>
      </c>
      <c r="C2" s="1" t="s">
        <v>628</v>
      </c>
      <c r="D2" s="1" t="s">
        <v>629</v>
      </c>
      <c r="E2" s="1" t="s">
        <v>630</v>
      </c>
      <c r="F2" s="1" t="s">
        <v>631</v>
      </c>
      <c r="G2" s="1" t="s">
        <v>278</v>
      </c>
      <c r="H2" s="1" t="s">
        <v>279</v>
      </c>
      <c r="I2" s="1" t="s">
        <v>280</v>
      </c>
      <c r="J2" s="1" t="s">
        <v>281</v>
      </c>
      <c r="K2" s="1" t="s">
        <v>282</v>
      </c>
      <c r="L2" s="1" t="s">
        <v>283</v>
      </c>
      <c r="M2" s="1" t="s">
        <v>284</v>
      </c>
      <c r="N2" s="1" t="s">
        <v>285</v>
      </c>
      <c r="O2" s="1" t="s">
        <v>286</v>
      </c>
      <c r="P2" s="1" t="s">
        <v>287</v>
      </c>
      <c r="Q2" s="1" t="s">
        <v>288</v>
      </c>
      <c r="R2" s="1" t="s">
        <v>289</v>
      </c>
      <c r="S2" s="1" t="s">
        <v>290</v>
      </c>
      <c r="T2" s="1" t="s">
        <v>291</v>
      </c>
      <c r="U2" s="1" t="s">
        <v>292</v>
      </c>
      <c r="V2" s="1" t="s">
        <v>293</v>
      </c>
      <c r="W2" s="1" t="s">
        <v>294</v>
      </c>
      <c r="X2" s="1" t="s">
        <v>295</v>
      </c>
      <c r="Y2" s="1" t="s">
        <v>296</v>
      </c>
      <c r="Z2" s="1" t="s">
        <v>297</v>
      </c>
      <c r="AA2" s="10" t="s">
        <v>298</v>
      </c>
      <c r="AB2" s="10" t="s">
        <v>299</v>
      </c>
      <c r="AC2" s="10" t="s">
        <v>300</v>
      </c>
      <c r="AD2" s="10" t="s">
        <v>301</v>
      </c>
      <c r="AE2" s="10" t="s">
        <v>302</v>
      </c>
      <c r="AF2" s="10" t="s">
        <v>303</v>
      </c>
      <c r="AG2" s="10" t="s">
        <v>304</v>
      </c>
      <c r="AH2" s="10" t="s">
        <v>305</v>
      </c>
      <c r="AI2" s="10" t="s">
        <v>591</v>
      </c>
      <c r="AJ2" s="10" t="s">
        <v>592</v>
      </c>
      <c r="AK2" s="10" t="s">
        <v>593</v>
      </c>
      <c r="AL2" s="10" t="s">
        <v>594</v>
      </c>
      <c r="AV2" s="1">
        <v>2019</v>
      </c>
      <c r="AW2" s="1">
        <v>2020</v>
      </c>
      <c r="AX2" s="1">
        <v>2021</v>
      </c>
      <c r="AY2" s="1">
        <v>2022</v>
      </c>
      <c r="AZ2" s="1">
        <f t="shared" ref="AZ2:BB2" si="0">AY2+1</f>
        <v>2023</v>
      </c>
      <c r="BA2" s="1">
        <f t="shared" si="0"/>
        <v>2024</v>
      </c>
      <c r="BB2" s="56">
        <f t="shared" si="0"/>
        <v>2025</v>
      </c>
      <c r="BC2" s="56">
        <f t="shared" ref="BC2" si="1">BB2+1</f>
        <v>2026</v>
      </c>
      <c r="BD2" s="56">
        <f t="shared" ref="BD2" si="2">BC2+1</f>
        <v>2027</v>
      </c>
      <c r="BE2" s="56">
        <f t="shared" ref="BE2" si="3">BD2+1</f>
        <v>2028</v>
      </c>
      <c r="BF2" s="56">
        <f t="shared" ref="BF2" si="4">BE2+1</f>
        <v>2029</v>
      </c>
      <c r="BG2" s="56">
        <f t="shared" ref="BG2" si="5">BF2+1</f>
        <v>2030</v>
      </c>
      <c r="BH2" s="56">
        <f t="shared" ref="BH2" si="6">BG2+1</f>
        <v>2031</v>
      </c>
      <c r="BI2" s="56">
        <f t="shared" ref="BI2" si="7">BH2+1</f>
        <v>2032</v>
      </c>
      <c r="BJ2" s="56">
        <f t="shared" ref="BJ2" si="8">BI2+1</f>
        <v>2033</v>
      </c>
      <c r="BK2" s="56">
        <f t="shared" ref="BK2" si="9">BJ2+1</f>
        <v>2034</v>
      </c>
      <c r="BL2" s="56">
        <f t="shared" ref="BL2" si="10">BK2+1</f>
        <v>2035</v>
      </c>
      <c r="BM2" s="56">
        <f t="shared" ref="BM2" si="11">BL2+1</f>
        <v>2036</v>
      </c>
      <c r="BN2" s="56">
        <f t="shared" ref="BN2" si="12">BM2+1</f>
        <v>2037</v>
      </c>
      <c r="BO2" s="56">
        <f t="shared" ref="BO2" si="13">BN2+1</f>
        <v>2038</v>
      </c>
      <c r="BP2" s="56">
        <f t="shared" ref="BP2" si="14">BO2+1</f>
        <v>2039</v>
      </c>
      <c r="BQ2" s="56">
        <f t="shared" ref="BQ2" si="15">BP2+1</f>
        <v>2040</v>
      </c>
      <c r="BR2" s="56">
        <f t="shared" ref="BR2" si="16">BQ2+1</f>
        <v>2041</v>
      </c>
      <c r="BS2" s="56">
        <f t="shared" ref="BS2" si="17">BR2+1</f>
        <v>2042</v>
      </c>
      <c r="BT2" s="56">
        <f t="shared" ref="BT2" si="18">BS2+1</f>
        <v>2043</v>
      </c>
      <c r="BU2" s="56">
        <f t="shared" ref="BU2" si="19">BT2+1</f>
        <v>2044</v>
      </c>
      <c r="BV2" s="56">
        <f t="shared" ref="BV2" si="20">BU2+1</f>
        <v>2045</v>
      </c>
      <c r="BW2" s="56">
        <f t="shared" ref="BW2" si="21">BV2+1</f>
        <v>2046</v>
      </c>
      <c r="BX2" s="56">
        <f t="shared" ref="BX2" si="22">BW2+1</f>
        <v>2047</v>
      </c>
      <c r="BY2" s="56">
        <f t="shared" ref="BY2" si="23">BX2+1</f>
        <v>2048</v>
      </c>
      <c r="BZ2" s="56">
        <f t="shared" ref="BZ2" si="24">BY2+1</f>
        <v>2049</v>
      </c>
      <c r="CA2" s="56">
        <f t="shared" ref="CA2" si="25">BZ2+1</f>
        <v>2050</v>
      </c>
      <c r="CB2" s="56">
        <f t="shared" ref="CB2" si="26">CA2+1</f>
        <v>2051</v>
      </c>
      <c r="CC2" s="56">
        <f t="shared" ref="CC2" si="27">CB2+1</f>
        <v>2052</v>
      </c>
      <c r="CD2" s="56">
        <f t="shared" ref="CD2" si="28">CC2+1</f>
        <v>2053</v>
      </c>
      <c r="CE2" s="56">
        <f t="shared" ref="CE2" si="29">CD2+1</f>
        <v>2054</v>
      </c>
      <c r="CF2" s="56">
        <f t="shared" ref="CF2" si="30">CE2+1</f>
        <v>2055</v>
      </c>
      <c r="CG2" s="56">
        <f t="shared" ref="CG2" si="31">CF2+1</f>
        <v>2056</v>
      </c>
      <c r="CH2" s="56">
        <f t="shared" ref="CH2" si="32">CG2+1</f>
        <v>2057</v>
      </c>
      <c r="CI2" s="56">
        <f t="shared" ref="CI2" si="33">CH2+1</f>
        <v>2058</v>
      </c>
      <c r="CJ2" s="56">
        <f t="shared" ref="CJ2" si="34">CI2+1</f>
        <v>2059</v>
      </c>
      <c r="CK2" s="56">
        <f t="shared" ref="CK2" si="35">CJ2+1</f>
        <v>2060</v>
      </c>
      <c r="CL2" s="56">
        <f t="shared" ref="CL2" si="36">CK2+1</f>
        <v>2061</v>
      </c>
      <c r="CM2" s="56">
        <f t="shared" ref="CM2" si="37">CL2+1</f>
        <v>2062</v>
      </c>
      <c r="CN2" s="56">
        <f t="shared" ref="CN2" si="38">CM2+1</f>
        <v>2063</v>
      </c>
      <c r="CO2" s="56">
        <f t="shared" ref="CO2" si="39">CN2+1</f>
        <v>2064</v>
      </c>
      <c r="CP2" s="56">
        <f t="shared" ref="CP2" si="40">CO2+1</f>
        <v>2065</v>
      </c>
      <c r="CQ2" s="10"/>
      <c r="CR2" s="10"/>
      <c r="CS2" s="10"/>
    </row>
    <row r="3" spans="2:97">
      <c r="B3" s="2" t="s">
        <v>308</v>
      </c>
      <c r="S3" s="2">
        <v>145</v>
      </c>
      <c r="T3" s="2">
        <v>162</v>
      </c>
      <c r="U3" s="2">
        <v>179</v>
      </c>
      <c r="V3" s="47">
        <f>677-SUM(S3:U3)</f>
        <v>191</v>
      </c>
      <c r="W3" s="2">
        <v>188</v>
      </c>
      <c r="X3" s="2">
        <v>203</v>
      </c>
      <c r="Y3" s="2">
        <v>204</v>
      </c>
      <c r="Z3" s="47">
        <f>815-SUM(W3:Y3)</f>
        <v>220</v>
      </c>
      <c r="AZ3" s="2">
        <f>SUM(S3:V3)</f>
        <v>677</v>
      </c>
      <c r="BA3" s="2">
        <f t="shared" ref="BA3:BA4" si="41">SUM(W3:Z3)</f>
        <v>815</v>
      </c>
      <c r="BB3" s="57">
        <f t="shared" ref="BB3:BG4" si="42">BA3*(1+BB10)</f>
        <v>969.84999999999991</v>
      </c>
      <c r="BC3" s="57">
        <f t="shared" si="42"/>
        <v>1162.85015</v>
      </c>
      <c r="BD3" s="57">
        <f t="shared" si="42"/>
        <v>1372.1631769999999</v>
      </c>
      <c r="BE3" s="57">
        <f t="shared" si="42"/>
        <v>1619.1525488599998</v>
      </c>
      <c r="BF3" s="57">
        <f t="shared" si="42"/>
        <v>1878.2169566775997</v>
      </c>
      <c r="BG3" s="57">
        <f t="shared" si="42"/>
        <v>2141.167330612464</v>
      </c>
      <c r="BH3" s="57">
        <f t="shared" ref="BH3:BH4" si="43">BG3*(1+BH10)</f>
        <v>2398.1074102859598</v>
      </c>
      <c r="BI3" s="57">
        <f t="shared" ref="BI3:BI4" si="44">BH3*(1+BI10)</f>
        <v>2685.880299520275</v>
      </c>
      <c r="BJ3" s="57">
        <f t="shared" ref="BJ3:BJ4" si="45">BI3*(1+BJ10)</f>
        <v>2954.4683294723027</v>
      </c>
      <c r="BK3" s="57">
        <f t="shared" ref="BK3:BK4" si="46">BJ3*(1+BK10)</f>
        <v>3161.2811125353642</v>
      </c>
    </row>
    <row r="4" spans="2:97">
      <c r="B4" s="2" t="s">
        <v>309</v>
      </c>
      <c r="S4" s="2">
        <v>96</v>
      </c>
      <c r="T4" s="2">
        <v>99</v>
      </c>
      <c r="U4" s="2">
        <v>92</v>
      </c>
      <c r="V4" s="47">
        <f>381-SUM(S4:U4)</f>
        <v>94</v>
      </c>
      <c r="W4" s="2">
        <v>91</v>
      </c>
      <c r="X4" s="2">
        <v>96</v>
      </c>
      <c r="Y4" s="47">
        <v>96.89</v>
      </c>
      <c r="Z4" s="47">
        <f>379-SUM(W4:Y4)</f>
        <v>95.110000000000014</v>
      </c>
      <c r="AZ4" s="2">
        <f t="shared" ref="AZ4:AZ41" si="47">SUM(S4:V4)</f>
        <v>381</v>
      </c>
      <c r="BA4" s="2">
        <f t="shared" si="41"/>
        <v>379</v>
      </c>
      <c r="BB4" s="57">
        <f t="shared" si="42"/>
        <v>380.89499999999998</v>
      </c>
      <c r="BC4" s="57">
        <f t="shared" si="42"/>
        <v>381.65679</v>
      </c>
      <c r="BD4" s="57">
        <f t="shared" si="42"/>
        <v>383.56507394999994</v>
      </c>
      <c r="BE4" s="57">
        <f t="shared" si="42"/>
        <v>391.23637542899996</v>
      </c>
      <c r="BF4" s="57">
        <f t="shared" si="42"/>
        <v>395.14873918328999</v>
      </c>
      <c r="BG4" s="57">
        <f t="shared" si="42"/>
        <v>397.12448287920643</v>
      </c>
      <c r="BH4" s="57">
        <f t="shared" si="43"/>
        <v>399.11010529360243</v>
      </c>
      <c r="BI4" s="57">
        <f t="shared" si="44"/>
        <v>401.10565582007041</v>
      </c>
      <c r="BJ4" s="57">
        <f t="shared" si="45"/>
        <v>403.11118409917071</v>
      </c>
      <c r="BK4" s="57">
        <f t="shared" si="46"/>
        <v>405.1267400196665</v>
      </c>
    </row>
    <row r="5" spans="2:97">
      <c r="B5" s="1" t="s">
        <v>310</v>
      </c>
      <c r="O5" s="47"/>
      <c r="P5" s="47"/>
      <c r="Q5" s="47"/>
      <c r="R5" s="47"/>
      <c r="S5" s="2">
        <f t="shared" ref="S5:X5" si="48">SUM(S3:S4)</f>
        <v>241</v>
      </c>
      <c r="T5" s="2">
        <f t="shared" si="48"/>
        <v>261</v>
      </c>
      <c r="U5" s="2">
        <f t="shared" si="48"/>
        <v>271</v>
      </c>
      <c r="V5" s="2">
        <f t="shared" si="48"/>
        <v>285</v>
      </c>
      <c r="W5" s="2">
        <f t="shared" si="48"/>
        <v>279</v>
      </c>
      <c r="X5" s="2">
        <f t="shared" si="48"/>
        <v>299</v>
      </c>
      <c r="Y5" s="47">
        <f>SUM(Y3:Y4)</f>
        <v>300.89</v>
      </c>
      <c r="Z5" s="47">
        <f>SUM(Z3:Z4)</f>
        <v>315.11</v>
      </c>
      <c r="AZ5" s="2">
        <f t="shared" si="47"/>
        <v>1058</v>
      </c>
      <c r="BA5" s="2">
        <f>SUM(W5:Z5)</f>
        <v>1194</v>
      </c>
      <c r="BB5" s="57">
        <f t="shared" ref="BB5:BG5" si="49">BB3+BB4</f>
        <v>1350.7449999999999</v>
      </c>
      <c r="BC5" s="57">
        <f t="shared" si="49"/>
        <v>1544.50694</v>
      </c>
      <c r="BD5" s="57">
        <f t="shared" si="49"/>
        <v>1755.7282509499998</v>
      </c>
      <c r="BE5" s="57">
        <f t="shared" si="49"/>
        <v>2010.3889242889998</v>
      </c>
      <c r="BF5" s="57">
        <f t="shared" si="49"/>
        <v>2273.3656958608899</v>
      </c>
      <c r="BG5" s="57">
        <f t="shared" si="49"/>
        <v>2538.2918134916704</v>
      </c>
      <c r="BH5" s="57">
        <f t="shared" ref="BH5:BK5" si="50">BH3+BH4</f>
        <v>2797.2175155795621</v>
      </c>
      <c r="BI5" s="57">
        <f t="shared" si="50"/>
        <v>3086.9859553403453</v>
      </c>
      <c r="BJ5" s="57">
        <f t="shared" si="50"/>
        <v>3357.5795135714734</v>
      </c>
      <c r="BK5" s="57">
        <f t="shared" si="50"/>
        <v>3566.4078525550308</v>
      </c>
    </row>
    <row r="7" spans="2:97">
      <c r="B7" s="2" t="s">
        <v>314</v>
      </c>
      <c r="G7" s="48"/>
      <c r="H7" s="48"/>
      <c r="I7" s="48"/>
      <c r="J7" s="48"/>
      <c r="K7" s="48"/>
      <c r="L7" s="48"/>
      <c r="M7" s="48"/>
      <c r="N7" s="48"/>
      <c r="O7" s="48"/>
      <c r="P7" s="48"/>
      <c r="Q7" s="48"/>
      <c r="R7" s="48"/>
      <c r="S7" s="48">
        <f t="shared" ref="S7:X7" si="51">S3/S5</f>
        <v>0.60165975103734437</v>
      </c>
      <c r="T7" s="48">
        <f t="shared" si="51"/>
        <v>0.62068965517241381</v>
      </c>
      <c r="U7" s="48">
        <f t="shared" si="51"/>
        <v>0.66051660516605171</v>
      </c>
      <c r="V7" s="48">
        <f t="shared" si="51"/>
        <v>0.6701754385964912</v>
      </c>
      <c r="W7" s="48">
        <f t="shared" si="51"/>
        <v>0.6738351254480287</v>
      </c>
      <c r="X7" s="48">
        <f t="shared" si="51"/>
        <v>0.67892976588628762</v>
      </c>
      <c r="Y7" s="48">
        <f>Y3/Y5</f>
        <v>0.6779886337199641</v>
      </c>
      <c r="Z7" s="48">
        <f>Z3/Z5</f>
        <v>0.69816889340230393</v>
      </c>
      <c r="AW7" s="48"/>
      <c r="AX7" s="48"/>
      <c r="AY7" s="48"/>
      <c r="AZ7" s="48">
        <f>AVERAGE(S7:V7)</f>
        <v>0.63826036249307527</v>
      </c>
      <c r="BA7" s="48">
        <f>AVERAGE(W7:Z7)</f>
        <v>0.68223060461414609</v>
      </c>
      <c r="BB7" s="58">
        <f>BB3/BB5</f>
        <v>0.71801117161270256</v>
      </c>
      <c r="BC7" s="58">
        <f t="shared" ref="BC7:BE7" si="52">BC3/BC5</f>
        <v>0.75289409188410639</v>
      </c>
      <c r="BD7" s="58">
        <f t="shared" si="52"/>
        <v>0.78153505604158369</v>
      </c>
      <c r="BE7" s="58">
        <f t="shared" si="52"/>
        <v>0.80539269257695212</v>
      </c>
      <c r="BF7" s="58">
        <f t="shared" ref="BF7:BG7" si="53">BF3/BF5</f>
        <v>0.82618338092162813</v>
      </c>
      <c r="BG7" s="58">
        <f t="shared" si="53"/>
        <v>0.84354656120766403</v>
      </c>
      <c r="BH7" s="58">
        <f t="shared" ref="BH7:BK7" si="54">BH3/BH5</f>
        <v>0.85731888811982149</v>
      </c>
      <c r="BI7" s="58">
        <f t="shared" si="54"/>
        <v>0.87006560391822463</v>
      </c>
      <c r="BJ7" s="58">
        <f t="shared" si="54"/>
        <v>0.87993994409669862</v>
      </c>
      <c r="BK7" s="58">
        <f t="shared" si="54"/>
        <v>0.88640482054529257</v>
      </c>
    </row>
    <row r="8" spans="2:97">
      <c r="B8" s="2" t="s">
        <v>315</v>
      </c>
      <c r="G8" s="48"/>
      <c r="H8" s="48"/>
      <c r="I8" s="48"/>
      <c r="J8" s="48"/>
      <c r="K8" s="48"/>
      <c r="L8" s="48"/>
      <c r="M8" s="48"/>
      <c r="N8" s="48"/>
      <c r="O8" s="48"/>
      <c r="P8" s="48"/>
      <c r="Q8" s="48"/>
      <c r="R8" s="48"/>
      <c r="S8" s="48">
        <f t="shared" ref="S8:X8" si="55">S4/S5</f>
        <v>0.39834024896265557</v>
      </c>
      <c r="T8" s="48">
        <f t="shared" si="55"/>
        <v>0.37931034482758619</v>
      </c>
      <c r="U8" s="48">
        <f t="shared" si="55"/>
        <v>0.33948339483394835</v>
      </c>
      <c r="V8" s="48">
        <f t="shared" si="55"/>
        <v>0.3298245614035088</v>
      </c>
      <c r="W8" s="48">
        <f t="shared" si="55"/>
        <v>0.32616487455197135</v>
      </c>
      <c r="X8" s="48">
        <f t="shared" si="55"/>
        <v>0.32107023411371238</v>
      </c>
      <c r="Y8" s="48">
        <f>Y4/Y5</f>
        <v>0.3220113662800359</v>
      </c>
      <c r="Z8" s="48">
        <f>Z4/Z5</f>
        <v>0.30183110659769607</v>
      </c>
      <c r="AW8" s="48"/>
      <c r="AX8" s="48"/>
      <c r="AY8" s="48"/>
      <c r="AZ8" s="48">
        <f t="shared" ref="AZ8" si="56">AVERAGE(S8:V8)</f>
        <v>0.36173963750692473</v>
      </c>
      <c r="BA8" s="48">
        <f>AVERAGE(W8:Z8)</f>
        <v>0.31776939538585391</v>
      </c>
      <c r="BB8" s="58">
        <f>BB4/BB5</f>
        <v>0.28198882838729739</v>
      </c>
      <c r="BC8" s="58">
        <f t="shared" ref="BC8:BE8" si="57">BC4/BC5</f>
        <v>0.24710590811589361</v>
      </c>
      <c r="BD8" s="58">
        <f t="shared" si="57"/>
        <v>0.21846494395841629</v>
      </c>
      <c r="BE8" s="58">
        <f t="shared" si="57"/>
        <v>0.19460730742304791</v>
      </c>
      <c r="BF8" s="58">
        <f t="shared" ref="BF8:BG8" si="58">BF4/BF5</f>
        <v>0.17381661907837181</v>
      </c>
      <c r="BG8" s="58">
        <f t="shared" si="58"/>
        <v>0.15645343879233592</v>
      </c>
      <c r="BH8" s="58">
        <f t="shared" ref="BH8:BK8" si="59">BH4/BH5</f>
        <v>0.14268111188017849</v>
      </c>
      <c r="BI8" s="58">
        <f t="shared" si="59"/>
        <v>0.12993439608177546</v>
      </c>
      <c r="BJ8" s="58">
        <f t="shared" si="59"/>
        <v>0.12006005590330143</v>
      </c>
      <c r="BK8" s="58">
        <f t="shared" si="59"/>
        <v>0.11359517945470743</v>
      </c>
    </row>
    <row r="9" spans="2:97">
      <c r="G9" s="48"/>
      <c r="H9" s="48"/>
      <c r="I9" s="48"/>
      <c r="J9" s="48"/>
      <c r="K9" s="48"/>
      <c r="L9" s="48"/>
      <c r="M9" s="48"/>
      <c r="N9" s="48"/>
      <c r="O9" s="48"/>
      <c r="P9" s="48"/>
      <c r="Q9" s="48"/>
      <c r="R9" s="48"/>
      <c r="S9" s="48"/>
      <c r="T9" s="48"/>
      <c r="U9" s="48"/>
      <c r="V9" s="48"/>
      <c r="W9" s="48"/>
      <c r="X9" s="48"/>
      <c r="Y9" s="48"/>
      <c r="Z9" s="48"/>
      <c r="AW9" s="48"/>
      <c r="AX9" s="48"/>
      <c r="AY9" s="48"/>
      <c r="AZ9" s="48"/>
      <c r="BA9" s="48"/>
    </row>
    <row r="10" spans="2:97">
      <c r="B10" s="2" t="s">
        <v>316</v>
      </c>
      <c r="G10" s="48"/>
      <c r="H10" s="48"/>
      <c r="I10" s="48"/>
      <c r="J10" s="48"/>
      <c r="K10" s="48"/>
      <c r="L10" s="48"/>
      <c r="M10" s="48"/>
      <c r="N10" s="48"/>
      <c r="O10" s="48"/>
      <c r="P10" s="48"/>
      <c r="Q10" s="48"/>
      <c r="R10" s="48"/>
      <c r="S10" s="48"/>
      <c r="T10" s="48"/>
      <c r="U10" s="48"/>
      <c r="V10" s="48"/>
      <c r="W10" s="48">
        <f t="shared" ref="W10:X10" si="60">W3/S3-1</f>
        <v>0.29655172413793096</v>
      </c>
      <c r="X10" s="48">
        <f t="shared" si="60"/>
        <v>0.25308641975308643</v>
      </c>
      <c r="Y10" s="48">
        <f>Y3/U3-1</f>
        <v>0.13966480446927365</v>
      </c>
      <c r="Z10" s="48">
        <f>Z3/V3-1</f>
        <v>0.1518324607329844</v>
      </c>
      <c r="AW10" s="48"/>
      <c r="AX10" s="48"/>
      <c r="AY10" s="48"/>
      <c r="AZ10" s="48"/>
      <c r="BA10" s="48">
        <f>BA3/AZ3-1</f>
        <v>0.20384047267355987</v>
      </c>
      <c r="BB10" s="58">
        <v>0.19</v>
      </c>
      <c r="BC10" s="58">
        <v>0.19900000000000001</v>
      </c>
      <c r="BD10" s="58">
        <v>0.18</v>
      </c>
      <c r="BE10" s="58">
        <v>0.18</v>
      </c>
      <c r="BF10" s="58">
        <v>0.16</v>
      </c>
      <c r="BG10" s="58">
        <v>0.14000000000000001</v>
      </c>
      <c r="BH10" s="58">
        <v>0.12</v>
      </c>
      <c r="BI10" s="58">
        <v>0.12</v>
      </c>
      <c r="BJ10" s="58">
        <v>0.1</v>
      </c>
      <c r="BK10" s="58">
        <v>7.0000000000000007E-2</v>
      </c>
    </row>
    <row r="11" spans="2:97">
      <c r="B11" s="2" t="s">
        <v>317</v>
      </c>
      <c r="G11" s="48"/>
      <c r="H11" s="48"/>
      <c r="I11" s="48"/>
      <c r="J11" s="48"/>
      <c r="K11" s="48"/>
      <c r="L11" s="48"/>
      <c r="M11" s="48"/>
      <c r="N11" s="48"/>
      <c r="O11" s="48"/>
      <c r="P11" s="48"/>
      <c r="Q11" s="48"/>
      <c r="R11" s="48"/>
      <c r="S11" s="48"/>
      <c r="T11" s="48"/>
      <c r="U11" s="48"/>
      <c r="V11" s="48"/>
      <c r="W11" s="48">
        <f t="shared" ref="W11:Y11" si="61">W4/S4-1</f>
        <v>-5.208333333333337E-2</v>
      </c>
      <c r="X11" s="48">
        <f t="shared" si="61"/>
        <v>-3.0303030303030276E-2</v>
      </c>
      <c r="Y11" s="48">
        <f t="shared" si="61"/>
        <v>5.3152173913043388E-2</v>
      </c>
      <c r="Z11" s="48">
        <f>Z4/V4-1</f>
        <v>1.1808510638297909E-2</v>
      </c>
      <c r="AW11" s="48"/>
      <c r="AX11" s="48"/>
      <c r="AY11" s="48"/>
      <c r="AZ11" s="48"/>
      <c r="BA11" s="48">
        <f>BA4/AZ4-1</f>
        <v>-5.2493438320210251E-3</v>
      </c>
      <c r="BB11" s="58">
        <v>5.0000000000000001E-3</v>
      </c>
      <c r="BC11" s="58">
        <v>2E-3</v>
      </c>
      <c r="BD11" s="58">
        <v>5.0000000000000001E-3</v>
      </c>
      <c r="BE11" s="58">
        <v>0.02</v>
      </c>
      <c r="BF11" s="58">
        <v>0.01</v>
      </c>
      <c r="BG11" s="58">
        <v>5.0000000000000001E-3</v>
      </c>
      <c r="BH11" s="58">
        <v>5.0000000000000001E-3</v>
      </c>
      <c r="BI11" s="58">
        <v>5.0000000000000001E-3</v>
      </c>
      <c r="BJ11" s="58">
        <v>5.0000000000000001E-3</v>
      </c>
      <c r="BK11" s="58">
        <v>5.0000000000000001E-3</v>
      </c>
    </row>
    <row r="12" spans="2:97">
      <c r="B12" s="2" t="s">
        <v>313</v>
      </c>
      <c r="G12" s="48"/>
      <c r="H12" s="48"/>
      <c r="I12" s="48"/>
      <c r="J12" s="48"/>
      <c r="K12" s="48"/>
      <c r="L12" s="48"/>
      <c r="M12" s="48"/>
      <c r="N12" s="48"/>
      <c r="O12" s="48"/>
      <c r="P12" s="48"/>
      <c r="Q12" s="48"/>
      <c r="R12" s="48"/>
      <c r="S12" s="48"/>
      <c r="T12" s="48"/>
      <c r="U12" s="48"/>
      <c r="V12" s="48"/>
      <c r="W12" s="48">
        <f t="shared" ref="W12:X12" si="62">W5/S5-1</f>
        <v>0.15767634854771795</v>
      </c>
      <c r="X12" s="48">
        <f t="shared" si="62"/>
        <v>0.14559386973180066</v>
      </c>
      <c r="Y12" s="48">
        <f>Y5/U5-1</f>
        <v>0.11029520295202944</v>
      </c>
      <c r="Z12" s="48">
        <f>Z5/V5-1</f>
        <v>0.10564912280701755</v>
      </c>
      <c r="AW12" s="48"/>
      <c r="AX12" s="48"/>
      <c r="AY12" s="48"/>
      <c r="AZ12" s="48"/>
      <c r="BA12" s="48">
        <f>BA5/AZ5-1</f>
        <v>0.12854442344045358</v>
      </c>
      <c r="BB12" s="58">
        <f t="shared" ref="BB12:BG12" si="63">BB5/BA5-1</f>
        <v>0.13127721943048565</v>
      </c>
      <c r="BC12" s="58">
        <f t="shared" si="63"/>
        <v>0.14344820080770249</v>
      </c>
      <c r="BD12" s="58">
        <f t="shared" si="63"/>
        <v>0.13675646607971848</v>
      </c>
      <c r="BE12" s="58">
        <f t="shared" si="63"/>
        <v>0.14504560896665342</v>
      </c>
      <c r="BF12" s="58">
        <f t="shared" si="63"/>
        <v>0.13080890388654298</v>
      </c>
      <c r="BG12" s="58">
        <f t="shared" si="63"/>
        <v>0.11653475642441991</v>
      </c>
      <c r="BH12" s="58">
        <f t="shared" ref="BH12" si="64">BH5/BG5-1</f>
        <v>0.10200785453888139</v>
      </c>
      <c r="BI12" s="58">
        <f t="shared" ref="BI12" si="65">BI5/BH5-1</f>
        <v>0.10359167213377951</v>
      </c>
      <c r="BJ12" s="58">
        <f t="shared" ref="BJ12" si="66">BJ5/BI5-1</f>
        <v>8.7656232372231413E-2</v>
      </c>
      <c r="BK12" s="58">
        <f t="shared" ref="BK12" si="67">BK5/BJ5-1</f>
        <v>6.2196096366285536E-2</v>
      </c>
    </row>
    <row r="13" spans="2:97">
      <c r="B13" s="1"/>
    </row>
    <row r="14" spans="2:97">
      <c r="B14" s="2" t="s">
        <v>311</v>
      </c>
      <c r="C14" s="47">
        <v>82.510999999999996</v>
      </c>
      <c r="D14" s="47">
        <v>86.373999999999995</v>
      </c>
      <c r="E14" s="47">
        <v>90.272000000000006</v>
      </c>
      <c r="F14" s="47">
        <f>355.22-SUM(C14:E14)</f>
        <v>96.063000000000045</v>
      </c>
      <c r="G14" s="2">
        <v>96</v>
      </c>
      <c r="H14" s="2">
        <v>78</v>
      </c>
      <c r="I14" s="2">
        <v>110</v>
      </c>
      <c r="J14" s="47">
        <f>400-SUM(G14:I14)</f>
        <v>116</v>
      </c>
      <c r="K14" s="2">
        <v>120</v>
      </c>
      <c r="L14" s="2">
        <v>128</v>
      </c>
      <c r="M14" s="2">
        <v>135</v>
      </c>
      <c r="N14" s="47">
        <f>528-SUM(K14:M14)</f>
        <v>145</v>
      </c>
      <c r="O14" s="2">
        <v>144</v>
      </c>
      <c r="P14" s="2">
        <v>141</v>
      </c>
      <c r="Q14" s="2">
        <v>149</v>
      </c>
      <c r="R14" s="47">
        <f>592-SUM(O14:Q14)</f>
        <v>158</v>
      </c>
      <c r="S14" s="2">
        <v>172</v>
      </c>
      <c r="T14" s="2">
        <v>186</v>
      </c>
      <c r="U14" s="2">
        <v>195</v>
      </c>
      <c r="V14" s="47">
        <f>757-SUM(S14:U14)</f>
        <v>204</v>
      </c>
      <c r="W14" s="2">
        <v>210</v>
      </c>
      <c r="X14" s="2">
        <v>218</v>
      </c>
      <c r="Y14" s="2">
        <v>226</v>
      </c>
      <c r="Z14" s="47">
        <f>902-SUM(W14:Y14)</f>
        <v>248</v>
      </c>
      <c r="AV14" s="2">
        <f>SUM(C14:F14)</f>
        <v>355.22</v>
      </c>
      <c r="AW14" s="2">
        <f t="shared" ref="AW14:AW41" si="68">SUM(G14:J14)</f>
        <v>400</v>
      </c>
      <c r="AX14" s="2">
        <f>SUM(K14:M14)</f>
        <v>383</v>
      </c>
      <c r="AY14" s="2">
        <f>SUM(O14:Q14)</f>
        <v>434</v>
      </c>
      <c r="AZ14" s="2">
        <f t="shared" si="47"/>
        <v>757</v>
      </c>
      <c r="BA14" s="2">
        <f t="shared" ref="BA14:BA41" si="69">SUM(W14:Z14)</f>
        <v>902</v>
      </c>
    </row>
    <row r="15" spans="2:97">
      <c r="B15" s="2" t="s">
        <v>312</v>
      </c>
      <c r="C15" s="47">
        <f>9.522+36.406</f>
        <v>45.927999999999997</v>
      </c>
      <c r="D15" s="47">
        <f>12.231+35.596</f>
        <v>47.826999999999998</v>
      </c>
      <c r="E15" s="47">
        <f>11.214+38.016</f>
        <v>49.23</v>
      </c>
      <c r="F15" s="47">
        <f>42.52+149.663-SUM(C15:E15)</f>
        <v>49.198000000000036</v>
      </c>
      <c r="G15" s="2">
        <v>41</v>
      </c>
      <c r="H15" s="2">
        <v>27</v>
      </c>
      <c r="I15" s="2">
        <v>41</v>
      </c>
      <c r="J15" s="47">
        <f>160-SUM(G15:I15)</f>
        <v>51</v>
      </c>
      <c r="K15" s="2">
        <v>49</v>
      </c>
      <c r="L15" s="2">
        <v>56</v>
      </c>
      <c r="M15" s="2">
        <v>55</v>
      </c>
      <c r="N15" s="47">
        <f>220-SUM(K15:M15)</f>
        <v>60</v>
      </c>
      <c r="O15" s="2">
        <v>60</v>
      </c>
      <c r="P15" s="2">
        <v>67</v>
      </c>
      <c r="Q15" s="2">
        <v>65</v>
      </c>
      <c r="R15" s="47">
        <f>255-SUM(O15:Q15)</f>
        <v>63</v>
      </c>
      <c r="S15" s="2">
        <v>69</v>
      </c>
      <c r="T15" s="2">
        <v>75</v>
      </c>
      <c r="U15" s="2">
        <v>76</v>
      </c>
      <c r="V15" s="47">
        <f>301-SUM(S15:U15)</f>
        <v>81</v>
      </c>
      <c r="W15" s="2">
        <v>69</v>
      </c>
      <c r="X15" s="2">
        <v>81</v>
      </c>
      <c r="Y15" s="2">
        <v>75</v>
      </c>
      <c r="Z15" s="47">
        <f>292-SUM(W15:Y15)</f>
        <v>67</v>
      </c>
      <c r="AV15" s="2">
        <f>SUM(C15:F15)</f>
        <v>192.18300000000002</v>
      </c>
      <c r="AW15" s="2">
        <f t="shared" si="68"/>
        <v>160</v>
      </c>
      <c r="AX15" s="2">
        <f>SUM(K15:M15)</f>
        <v>160</v>
      </c>
      <c r="AY15" s="2">
        <f>SUM(O15:Q15)</f>
        <v>192</v>
      </c>
      <c r="AZ15" s="2">
        <f t="shared" si="47"/>
        <v>301</v>
      </c>
      <c r="BA15" s="2">
        <f t="shared" si="69"/>
        <v>292</v>
      </c>
    </row>
    <row r="16" spans="2:97">
      <c r="B16" s="1" t="s">
        <v>310</v>
      </c>
      <c r="C16" s="47">
        <f t="shared" ref="C16:F16" si="70">SUM(C14:C15)</f>
        <v>128.43899999999999</v>
      </c>
      <c r="D16" s="47">
        <f t="shared" si="70"/>
        <v>134.20099999999999</v>
      </c>
      <c r="E16" s="47">
        <f t="shared" si="70"/>
        <v>139.50200000000001</v>
      </c>
      <c r="F16" s="47">
        <f t="shared" si="70"/>
        <v>145.26100000000008</v>
      </c>
      <c r="G16" s="2">
        <f t="shared" ref="G16:X16" si="71">SUM(G14:G15)</f>
        <v>137</v>
      </c>
      <c r="H16" s="2">
        <f t="shared" si="71"/>
        <v>105</v>
      </c>
      <c r="I16" s="2">
        <f t="shared" si="71"/>
        <v>151</v>
      </c>
      <c r="J16" s="2">
        <f t="shared" si="71"/>
        <v>167</v>
      </c>
      <c r="K16" s="2">
        <f t="shared" si="71"/>
        <v>169</v>
      </c>
      <c r="L16" s="2">
        <f t="shared" si="71"/>
        <v>184</v>
      </c>
      <c r="M16" s="2">
        <f t="shared" ref="M16" si="72">SUM(M14:M15)</f>
        <v>190</v>
      </c>
      <c r="N16" s="2">
        <f t="shared" ref="N16" si="73">SUM(N14:N15)</f>
        <v>205</v>
      </c>
      <c r="O16" s="2">
        <f t="shared" si="71"/>
        <v>204</v>
      </c>
      <c r="P16" s="2">
        <f t="shared" si="71"/>
        <v>208</v>
      </c>
      <c r="Q16" s="2">
        <f t="shared" ref="Q16" si="74">SUM(Q14:Q15)</f>
        <v>214</v>
      </c>
      <c r="R16" s="2">
        <f t="shared" ref="R16" si="75">SUM(R14:R15)</f>
        <v>221</v>
      </c>
      <c r="S16" s="2">
        <f t="shared" si="71"/>
        <v>241</v>
      </c>
      <c r="T16" s="2">
        <f t="shared" si="71"/>
        <v>261</v>
      </c>
      <c r="U16" s="2">
        <f t="shared" si="71"/>
        <v>271</v>
      </c>
      <c r="V16" s="2">
        <f t="shared" si="71"/>
        <v>285</v>
      </c>
      <c r="W16" s="2">
        <f t="shared" si="71"/>
        <v>279</v>
      </c>
      <c r="X16" s="2">
        <f t="shared" si="71"/>
        <v>299</v>
      </c>
      <c r="Y16" s="2">
        <f>SUM(Y14:Y15)</f>
        <v>301</v>
      </c>
      <c r="Z16" s="2">
        <f>SUM(Z14:Z15)</f>
        <v>315</v>
      </c>
      <c r="AV16" s="2">
        <f>SUM(C16:F16)</f>
        <v>547.40300000000002</v>
      </c>
      <c r="AW16" s="2">
        <f t="shared" si="68"/>
        <v>560</v>
      </c>
      <c r="AX16" s="2">
        <f t="shared" ref="AX16:AX41" si="76">SUM(K16:N16)</f>
        <v>748</v>
      </c>
      <c r="AY16" s="2">
        <f t="shared" ref="AY16:AY41" si="77">SUM(O16:R16)</f>
        <v>847</v>
      </c>
      <c r="AZ16" s="2">
        <f t="shared" si="47"/>
        <v>1058</v>
      </c>
      <c r="BA16" s="2">
        <f t="shared" si="69"/>
        <v>1194</v>
      </c>
    </row>
    <row r="18" spans="2:94">
      <c r="B18" s="2" t="s">
        <v>318</v>
      </c>
      <c r="C18" s="48">
        <f t="shared" ref="C18:F18" si="78">C14/C16</f>
        <v>0.64241390854802671</v>
      </c>
      <c r="D18" s="48">
        <f t="shared" si="78"/>
        <v>0.64361666455540567</v>
      </c>
      <c r="E18" s="48">
        <f t="shared" si="78"/>
        <v>0.64710183366546714</v>
      </c>
      <c r="F18" s="48">
        <f t="shared" si="78"/>
        <v>0.66131308472335992</v>
      </c>
      <c r="G18" s="48">
        <f t="shared" ref="G18:J18" si="79">G14/G16</f>
        <v>0.7007299270072993</v>
      </c>
      <c r="H18" s="48">
        <f t="shared" si="79"/>
        <v>0.74285714285714288</v>
      </c>
      <c r="I18" s="48">
        <f t="shared" si="79"/>
        <v>0.72847682119205293</v>
      </c>
      <c r="J18" s="48">
        <f t="shared" si="79"/>
        <v>0.69461077844311381</v>
      </c>
      <c r="K18" s="48">
        <f t="shared" ref="K18:Y18" si="80">K14/K16</f>
        <v>0.7100591715976331</v>
      </c>
      <c r="L18" s="48">
        <f t="shared" si="80"/>
        <v>0.69565217391304346</v>
      </c>
      <c r="M18" s="48">
        <f t="shared" si="80"/>
        <v>0.71052631578947367</v>
      </c>
      <c r="N18" s="48">
        <f t="shared" si="80"/>
        <v>0.70731707317073167</v>
      </c>
      <c r="O18" s="48">
        <f t="shared" si="80"/>
        <v>0.70588235294117652</v>
      </c>
      <c r="P18" s="48">
        <f t="shared" si="80"/>
        <v>0.67788461538461542</v>
      </c>
      <c r="Q18" s="48">
        <f t="shared" si="80"/>
        <v>0.69626168224299068</v>
      </c>
      <c r="R18" s="48">
        <f t="shared" si="80"/>
        <v>0.71493212669683259</v>
      </c>
      <c r="S18" s="48">
        <f t="shared" si="80"/>
        <v>0.7136929460580913</v>
      </c>
      <c r="T18" s="48">
        <f t="shared" si="80"/>
        <v>0.71264367816091956</v>
      </c>
      <c r="U18" s="48">
        <f t="shared" si="80"/>
        <v>0.71955719557195574</v>
      </c>
      <c r="V18" s="48">
        <f t="shared" si="80"/>
        <v>0.71578947368421053</v>
      </c>
      <c r="W18" s="48">
        <f t="shared" si="80"/>
        <v>0.75268817204301075</v>
      </c>
      <c r="X18" s="48">
        <f t="shared" si="80"/>
        <v>0.72909698996655514</v>
      </c>
      <c r="Y18" s="48">
        <f t="shared" si="80"/>
        <v>0.75083056478405319</v>
      </c>
      <c r="Z18" s="48">
        <f>Z14/Z16</f>
        <v>0.78730158730158728</v>
      </c>
      <c r="AV18" s="48">
        <f t="shared" ref="AV18:BA18" si="81">AV14/AV16</f>
        <v>0.64891862119864163</v>
      </c>
      <c r="AW18" s="48">
        <f t="shared" si="81"/>
        <v>0.7142857142857143</v>
      </c>
      <c r="AX18" s="48">
        <f t="shared" si="81"/>
        <v>0.51203208556149737</v>
      </c>
      <c r="AY18" s="48">
        <f t="shared" si="81"/>
        <v>0.51239669421487599</v>
      </c>
      <c r="AZ18" s="48">
        <f t="shared" si="81"/>
        <v>0.71550094517958407</v>
      </c>
      <c r="BA18" s="48">
        <f t="shared" si="81"/>
        <v>0.75544388609715241</v>
      </c>
    </row>
    <row r="19" spans="2:94">
      <c r="B19" s="2" t="s">
        <v>319</v>
      </c>
      <c r="C19" s="48">
        <f t="shared" ref="C19:Z19" si="82">C15/C16</f>
        <v>0.35758609145197329</v>
      </c>
      <c r="D19" s="48">
        <f t="shared" si="82"/>
        <v>0.35638333544459433</v>
      </c>
      <c r="E19" s="48">
        <f t="shared" si="82"/>
        <v>0.3528981663345328</v>
      </c>
      <c r="F19" s="48">
        <f t="shared" si="82"/>
        <v>0.33868691527664002</v>
      </c>
      <c r="G19" s="48">
        <f t="shared" si="82"/>
        <v>0.29927007299270075</v>
      </c>
      <c r="H19" s="48">
        <f t="shared" si="82"/>
        <v>0.25714285714285712</v>
      </c>
      <c r="I19" s="48">
        <f t="shared" si="82"/>
        <v>0.27152317880794702</v>
      </c>
      <c r="J19" s="48">
        <f t="shared" si="82"/>
        <v>0.30538922155688625</v>
      </c>
      <c r="K19" s="48">
        <f t="shared" si="82"/>
        <v>0.28994082840236685</v>
      </c>
      <c r="L19" s="48">
        <f t="shared" si="82"/>
        <v>0.30434782608695654</v>
      </c>
      <c r="M19" s="48">
        <f t="shared" si="82"/>
        <v>0.28947368421052633</v>
      </c>
      <c r="N19" s="48">
        <f t="shared" si="82"/>
        <v>0.29268292682926828</v>
      </c>
      <c r="O19" s="48">
        <f t="shared" si="82"/>
        <v>0.29411764705882354</v>
      </c>
      <c r="P19" s="48">
        <f t="shared" si="82"/>
        <v>0.32211538461538464</v>
      </c>
      <c r="Q19" s="48">
        <f t="shared" si="82"/>
        <v>0.30373831775700932</v>
      </c>
      <c r="R19" s="48">
        <f t="shared" si="82"/>
        <v>0.28506787330316741</v>
      </c>
      <c r="S19" s="48">
        <f t="shared" si="82"/>
        <v>0.2863070539419087</v>
      </c>
      <c r="T19" s="48">
        <f t="shared" si="82"/>
        <v>0.28735632183908044</v>
      </c>
      <c r="U19" s="48">
        <f t="shared" si="82"/>
        <v>0.28044280442804426</v>
      </c>
      <c r="V19" s="48">
        <f t="shared" si="82"/>
        <v>0.28421052631578947</v>
      </c>
      <c r="W19" s="48">
        <f t="shared" si="82"/>
        <v>0.24731182795698925</v>
      </c>
      <c r="X19" s="48">
        <f t="shared" si="82"/>
        <v>0.2709030100334448</v>
      </c>
      <c r="Y19" s="48">
        <f t="shared" si="82"/>
        <v>0.24916943521594684</v>
      </c>
      <c r="Z19" s="48">
        <f t="shared" si="82"/>
        <v>0.21269841269841269</v>
      </c>
      <c r="AV19" s="48">
        <f t="shared" ref="AV19:BA19" si="83">AV15/AV16</f>
        <v>0.35108137880135842</v>
      </c>
      <c r="AW19" s="48">
        <f t="shared" si="83"/>
        <v>0.2857142857142857</v>
      </c>
      <c r="AX19" s="48">
        <f t="shared" si="83"/>
        <v>0.21390374331550802</v>
      </c>
      <c r="AY19" s="48">
        <f t="shared" si="83"/>
        <v>0.22668240850059032</v>
      </c>
      <c r="AZ19" s="48">
        <f t="shared" si="83"/>
        <v>0.28449905482041588</v>
      </c>
      <c r="BA19" s="48">
        <f t="shared" si="83"/>
        <v>0.24455611390284757</v>
      </c>
    </row>
    <row r="20" spans="2:94">
      <c r="C20" s="48"/>
      <c r="D20" s="48"/>
      <c r="E20" s="48"/>
      <c r="F20" s="48"/>
      <c r="G20" s="48"/>
      <c r="H20" s="48"/>
      <c r="I20" s="48"/>
      <c r="J20" s="48"/>
      <c r="K20" s="48"/>
      <c r="L20" s="48"/>
      <c r="M20" s="48"/>
      <c r="N20" s="48"/>
      <c r="O20" s="48"/>
      <c r="P20" s="48"/>
      <c r="Q20" s="48"/>
      <c r="R20" s="48"/>
      <c r="S20" s="48"/>
      <c r="T20" s="48"/>
      <c r="U20" s="48"/>
      <c r="V20" s="48"/>
      <c r="W20" s="48"/>
      <c r="X20" s="48"/>
      <c r="Y20" s="48"/>
      <c r="Z20" s="48"/>
      <c r="AV20" s="48"/>
      <c r="AW20" s="48"/>
      <c r="AX20" s="48"/>
      <c r="AY20" s="48"/>
      <c r="AZ20" s="48"/>
      <c r="BA20" s="48"/>
    </row>
    <row r="21" spans="2:94">
      <c r="B21" s="2" t="s">
        <v>320</v>
      </c>
      <c r="C21" s="48"/>
      <c r="D21" s="48"/>
      <c r="E21" s="48"/>
      <c r="F21" s="48"/>
      <c r="G21" s="48">
        <f t="shared" ref="G21:P23" si="84">G14/C14-1</f>
        <v>0.16348123280532301</v>
      </c>
      <c r="H21" s="48">
        <f t="shared" si="84"/>
        <v>-9.6950471206613043E-2</v>
      </c>
      <c r="I21" s="48">
        <f t="shared" si="84"/>
        <v>0.21853952499113771</v>
      </c>
      <c r="J21" s="48">
        <f t="shared" si="84"/>
        <v>0.20754088462779574</v>
      </c>
      <c r="K21" s="48">
        <f t="shared" si="84"/>
        <v>0.25</v>
      </c>
      <c r="L21" s="48">
        <f t="shared" si="84"/>
        <v>0.64102564102564097</v>
      </c>
      <c r="M21" s="48">
        <f t="shared" si="84"/>
        <v>0.22727272727272729</v>
      </c>
      <c r="N21" s="48">
        <f t="shared" si="84"/>
        <v>0.25</v>
      </c>
      <c r="O21" s="48">
        <f t="shared" si="84"/>
        <v>0.19999999999999996</v>
      </c>
      <c r="P21" s="48">
        <f t="shared" si="84"/>
        <v>0.1015625</v>
      </c>
      <c r="Q21" s="48">
        <f t="shared" ref="Q21:Z23" si="85">Q14/M14-1</f>
        <v>0.10370370370370363</v>
      </c>
      <c r="R21" s="48">
        <f t="shared" si="85"/>
        <v>8.9655172413793061E-2</v>
      </c>
      <c r="S21" s="48">
        <f t="shared" si="85"/>
        <v>0.19444444444444442</v>
      </c>
      <c r="T21" s="48">
        <f t="shared" si="85"/>
        <v>0.31914893617021267</v>
      </c>
      <c r="U21" s="48">
        <f t="shared" si="85"/>
        <v>0.3087248322147651</v>
      </c>
      <c r="V21" s="48">
        <f t="shared" si="85"/>
        <v>0.29113924050632911</v>
      </c>
      <c r="W21" s="48">
        <f t="shared" si="85"/>
        <v>0.22093023255813948</v>
      </c>
      <c r="X21" s="48">
        <f t="shared" si="85"/>
        <v>0.17204301075268824</v>
      </c>
      <c r="Y21" s="48">
        <f t="shared" si="85"/>
        <v>0.15897435897435908</v>
      </c>
      <c r="Z21" s="48">
        <f t="shared" si="85"/>
        <v>0.21568627450980382</v>
      </c>
      <c r="AV21" s="48"/>
      <c r="AW21" s="48">
        <f t="shared" ref="AW21:BA23" si="86">AW14/AV14-1</f>
        <v>0.12606272169359833</v>
      </c>
      <c r="AX21" s="48">
        <f t="shared" si="86"/>
        <v>-4.2499999999999982E-2</v>
      </c>
      <c r="AY21" s="48">
        <f t="shared" si="86"/>
        <v>0.13315926892950403</v>
      </c>
      <c r="AZ21" s="48">
        <f t="shared" si="86"/>
        <v>0.74423963133640547</v>
      </c>
      <c r="BA21" s="48">
        <f t="shared" si="86"/>
        <v>0.19154557463672384</v>
      </c>
    </row>
    <row r="22" spans="2:94">
      <c r="B22" s="2" t="s">
        <v>321</v>
      </c>
      <c r="C22" s="48"/>
      <c r="D22" s="48"/>
      <c r="E22" s="48"/>
      <c r="F22" s="48"/>
      <c r="G22" s="48">
        <f t="shared" si="84"/>
        <v>-0.10729838007315795</v>
      </c>
      <c r="H22" s="48">
        <f t="shared" si="84"/>
        <v>-0.43546532293474394</v>
      </c>
      <c r="I22" s="48">
        <f t="shared" si="84"/>
        <v>-0.16717448710136096</v>
      </c>
      <c r="J22" s="48">
        <f t="shared" si="84"/>
        <v>3.6627505183136844E-2</v>
      </c>
      <c r="K22" s="48">
        <f t="shared" si="84"/>
        <v>0.19512195121951215</v>
      </c>
      <c r="L22" s="48">
        <f t="shared" si="84"/>
        <v>1.074074074074074</v>
      </c>
      <c r="M22" s="48">
        <f t="shared" si="84"/>
        <v>0.34146341463414642</v>
      </c>
      <c r="N22" s="48">
        <f t="shared" si="84"/>
        <v>0.17647058823529416</v>
      </c>
      <c r="O22" s="48">
        <f t="shared" si="84"/>
        <v>0.22448979591836737</v>
      </c>
      <c r="P22" s="48">
        <f t="shared" si="84"/>
        <v>0.1964285714285714</v>
      </c>
      <c r="Q22" s="48">
        <f t="shared" si="85"/>
        <v>0.18181818181818188</v>
      </c>
      <c r="R22" s="48">
        <f t="shared" si="85"/>
        <v>5.0000000000000044E-2</v>
      </c>
      <c r="S22" s="48">
        <f t="shared" si="85"/>
        <v>0.14999999999999991</v>
      </c>
      <c r="T22" s="48">
        <f t="shared" si="85"/>
        <v>0.11940298507462677</v>
      </c>
      <c r="U22" s="48">
        <f t="shared" si="85"/>
        <v>0.1692307692307693</v>
      </c>
      <c r="V22" s="48">
        <f t="shared" si="85"/>
        <v>0.28571428571428581</v>
      </c>
      <c r="W22" s="48">
        <f t="shared" si="85"/>
        <v>0</v>
      </c>
      <c r="X22" s="48">
        <f t="shared" si="85"/>
        <v>8.0000000000000071E-2</v>
      </c>
      <c r="Y22" s="48">
        <f t="shared" si="85"/>
        <v>-1.3157894736842146E-2</v>
      </c>
      <c r="Z22" s="48">
        <f t="shared" si="85"/>
        <v>-0.1728395061728395</v>
      </c>
      <c r="AV22" s="48"/>
      <c r="AW22" s="48">
        <f t="shared" si="86"/>
        <v>-0.16746018118147821</v>
      </c>
      <c r="AX22" s="48">
        <f t="shared" si="86"/>
        <v>0</v>
      </c>
      <c r="AY22" s="48">
        <f t="shared" si="86"/>
        <v>0.19999999999999996</v>
      </c>
      <c r="AZ22" s="48">
        <f t="shared" si="86"/>
        <v>0.56770833333333326</v>
      </c>
      <c r="BA22" s="48">
        <f t="shared" si="86"/>
        <v>-2.9900332225913595E-2</v>
      </c>
    </row>
    <row r="23" spans="2:94">
      <c r="B23" s="2" t="s">
        <v>313</v>
      </c>
      <c r="C23" s="48"/>
      <c r="D23" s="48"/>
      <c r="E23" s="48"/>
      <c r="F23" s="48"/>
      <c r="G23" s="48">
        <f t="shared" si="84"/>
        <v>6.6654209391228569E-2</v>
      </c>
      <c r="H23" s="48">
        <f t="shared" si="84"/>
        <v>-0.21759152316301666</v>
      </c>
      <c r="I23" s="48">
        <f t="shared" si="84"/>
        <v>8.2421757394159245E-2</v>
      </c>
      <c r="J23" s="48">
        <f t="shared" si="84"/>
        <v>0.14965475936417838</v>
      </c>
      <c r="K23" s="48">
        <f t="shared" si="84"/>
        <v>0.23357664233576636</v>
      </c>
      <c r="L23" s="48">
        <f t="shared" si="84"/>
        <v>0.75238095238095237</v>
      </c>
      <c r="M23" s="48">
        <f t="shared" si="84"/>
        <v>0.25827814569536423</v>
      </c>
      <c r="N23" s="48">
        <f t="shared" si="84"/>
        <v>0.22754491017964074</v>
      </c>
      <c r="O23" s="48">
        <f t="shared" si="84"/>
        <v>0.20710059171597628</v>
      </c>
      <c r="P23" s="48">
        <f t="shared" si="84"/>
        <v>0.13043478260869557</v>
      </c>
      <c r="Q23" s="48">
        <f t="shared" si="85"/>
        <v>0.12631578947368416</v>
      </c>
      <c r="R23" s="48">
        <f t="shared" si="85"/>
        <v>7.8048780487804947E-2</v>
      </c>
      <c r="S23" s="48">
        <f t="shared" si="85"/>
        <v>0.18137254901960786</v>
      </c>
      <c r="T23" s="48">
        <f t="shared" si="85"/>
        <v>0.25480769230769229</v>
      </c>
      <c r="U23" s="48">
        <f t="shared" si="85"/>
        <v>0.26635514018691597</v>
      </c>
      <c r="V23" s="48">
        <f t="shared" si="85"/>
        <v>0.28959276018099556</v>
      </c>
      <c r="W23" s="48">
        <f t="shared" si="85"/>
        <v>0.15767634854771795</v>
      </c>
      <c r="X23" s="48">
        <f t="shared" si="85"/>
        <v>0.14559386973180066</v>
      </c>
      <c r="Y23" s="48">
        <f t="shared" si="85"/>
        <v>0.11070110701107017</v>
      </c>
      <c r="Z23" s="48">
        <f t="shared" si="85"/>
        <v>0.10526315789473695</v>
      </c>
      <c r="AV23" s="48"/>
      <c r="AW23" s="48">
        <f t="shared" si="86"/>
        <v>2.3012296242439279E-2</v>
      </c>
      <c r="AX23" s="48">
        <f t="shared" si="86"/>
        <v>0.33571428571428563</v>
      </c>
      <c r="AY23" s="48">
        <f t="shared" si="86"/>
        <v>0.13235294117647056</v>
      </c>
      <c r="AZ23" s="48">
        <f t="shared" si="86"/>
        <v>0.2491145218417945</v>
      </c>
      <c r="BA23" s="48">
        <f t="shared" si="86"/>
        <v>0.12854442344045358</v>
      </c>
    </row>
    <row r="26" spans="2:94" s="1" customFormat="1">
      <c r="B26" s="1" t="s">
        <v>307</v>
      </c>
      <c r="C26" s="53">
        <f>C16</f>
        <v>128.43899999999999</v>
      </c>
      <c r="D26" s="53">
        <f>D16</f>
        <v>134.20099999999999</v>
      </c>
      <c r="E26" s="53">
        <f>E16</f>
        <v>139.50200000000001</v>
      </c>
      <c r="F26" s="53">
        <f>F16</f>
        <v>145.26100000000008</v>
      </c>
      <c r="G26" s="53">
        <v>137.30000000000001</v>
      </c>
      <c r="H26" s="53">
        <v>105.1</v>
      </c>
      <c r="I26" s="53">
        <v>151.1</v>
      </c>
      <c r="J26" s="53">
        <f>560.412-SUM(G26:I26)</f>
        <v>166.91200000000003</v>
      </c>
      <c r="K26" s="53">
        <v>169.2</v>
      </c>
      <c r="L26" s="53">
        <v>184.3</v>
      </c>
      <c r="M26" s="53">
        <v>190.1</v>
      </c>
      <c r="N26" s="53">
        <f>747.59-SUM(K26:M26)</f>
        <v>203.99</v>
      </c>
      <c r="O26" s="53">
        <v>203.9</v>
      </c>
      <c r="P26" s="53">
        <v>208.3</v>
      </c>
      <c r="Q26" s="53">
        <v>213.7</v>
      </c>
      <c r="R26" s="53">
        <f>847.133-SUM(O26:Q26)</f>
        <v>221.23299999999995</v>
      </c>
      <c r="S26" s="53">
        <v>241.4</v>
      </c>
      <c r="T26" s="53">
        <v>261.5</v>
      </c>
      <c r="U26" s="53">
        <v>270.89999999999998</v>
      </c>
      <c r="V26" s="53">
        <f>1058.52-SUM(S26:U26)</f>
        <v>284.72000000000003</v>
      </c>
      <c r="W26" s="53">
        <v>278.7</v>
      </c>
      <c r="X26" s="53">
        <v>299.39999999999998</v>
      </c>
      <c r="Y26" s="53">
        <v>301</v>
      </c>
      <c r="Z26" s="53">
        <f>1194.6-SUM(W26:Y26)</f>
        <v>315.5</v>
      </c>
      <c r="AA26" s="10"/>
      <c r="AB26" s="10"/>
      <c r="AC26" s="10"/>
      <c r="AD26" s="10"/>
      <c r="AE26" s="10"/>
      <c r="AF26" s="10"/>
      <c r="AG26" s="10"/>
      <c r="AH26" s="10"/>
      <c r="AI26" s="10"/>
      <c r="AJ26" s="10"/>
      <c r="AK26" s="10"/>
      <c r="AL26" s="10"/>
      <c r="AV26" s="54">
        <f t="shared" ref="AV26:AV41" si="87">SUM(C26:F26)</f>
        <v>547.40300000000002</v>
      </c>
      <c r="AW26" s="54">
        <f t="shared" si="68"/>
        <v>560.41200000000003</v>
      </c>
      <c r="AX26" s="54">
        <f t="shared" si="76"/>
        <v>747.59</v>
      </c>
      <c r="AY26" s="54">
        <f t="shared" si="77"/>
        <v>847.13300000000004</v>
      </c>
      <c r="AZ26" s="54">
        <f t="shared" si="47"/>
        <v>1058.52</v>
      </c>
      <c r="BA26" s="54">
        <f t="shared" si="69"/>
        <v>1194.5999999999999</v>
      </c>
      <c r="BB26" s="60">
        <f t="shared" ref="BB26:BG26" si="88">BB5</f>
        <v>1350.7449999999999</v>
      </c>
      <c r="BC26" s="60">
        <f t="shared" si="88"/>
        <v>1544.50694</v>
      </c>
      <c r="BD26" s="60">
        <f t="shared" si="88"/>
        <v>1755.7282509499998</v>
      </c>
      <c r="BE26" s="60">
        <f t="shared" si="88"/>
        <v>2010.3889242889998</v>
      </c>
      <c r="BF26" s="60">
        <f t="shared" si="88"/>
        <v>2273.3656958608899</v>
      </c>
      <c r="BG26" s="60">
        <f t="shared" si="88"/>
        <v>2538.2918134916704</v>
      </c>
      <c r="BH26" s="60">
        <f t="shared" ref="BH26:BK26" si="89">BH5</f>
        <v>2797.2175155795621</v>
      </c>
      <c r="BI26" s="60">
        <f t="shared" si="89"/>
        <v>3086.9859553403453</v>
      </c>
      <c r="BJ26" s="60">
        <f t="shared" si="89"/>
        <v>3357.5795135714734</v>
      </c>
      <c r="BK26" s="60">
        <f t="shared" si="89"/>
        <v>3566.4078525550308</v>
      </c>
      <c r="BL26" s="56"/>
      <c r="BM26" s="56"/>
      <c r="BN26" s="56"/>
      <c r="BO26" s="56"/>
      <c r="BP26" s="56"/>
      <c r="BQ26" s="56"/>
      <c r="BR26" s="56"/>
      <c r="BS26" s="56"/>
      <c r="BT26" s="56"/>
      <c r="BU26" s="56"/>
      <c r="BV26" s="56"/>
      <c r="BW26" s="56"/>
      <c r="BX26" s="56"/>
      <c r="BY26" s="56"/>
      <c r="BZ26" s="56"/>
      <c r="CA26" s="56"/>
      <c r="CB26" s="56"/>
      <c r="CC26" s="56"/>
      <c r="CD26" s="56"/>
      <c r="CE26" s="56"/>
      <c r="CF26" s="56"/>
      <c r="CG26" s="56"/>
      <c r="CH26" s="56"/>
      <c r="CI26" s="56"/>
      <c r="CJ26" s="56"/>
      <c r="CK26" s="56"/>
      <c r="CL26" s="56"/>
      <c r="CM26" s="56"/>
      <c r="CN26" s="56"/>
      <c r="CO26" s="56"/>
      <c r="CP26" s="56"/>
    </row>
    <row r="27" spans="2:94">
      <c r="B27" s="2" t="s">
        <v>732</v>
      </c>
      <c r="C27" s="46">
        <v>44.529000000000003</v>
      </c>
      <c r="D27" s="46">
        <v>40.273000000000003</v>
      </c>
      <c r="E27" s="46">
        <v>49.3</v>
      </c>
      <c r="F27" s="46">
        <f>175-SUM(C27:E27)</f>
        <v>40.897999999999996</v>
      </c>
      <c r="G27" s="46">
        <v>49.3</v>
      </c>
      <c r="H27" s="46">
        <v>40.200000000000003</v>
      </c>
      <c r="I27" s="46">
        <v>60.152999999999999</v>
      </c>
      <c r="J27" s="46">
        <f>222.237-SUM(G27:I27)</f>
        <v>72.584000000000003</v>
      </c>
      <c r="K27" s="46">
        <v>57.866999999999997</v>
      </c>
      <c r="L27" s="46">
        <v>65.599999999999994</v>
      </c>
      <c r="M27" s="46">
        <v>70.2</v>
      </c>
      <c r="N27" s="46">
        <f>272.208-SUM(K27:M27)</f>
        <v>78.541000000000054</v>
      </c>
      <c r="O27" s="46">
        <v>76.5</v>
      </c>
      <c r="P27" s="46">
        <v>74.3</v>
      </c>
      <c r="Q27" s="46">
        <v>78.400000000000006</v>
      </c>
      <c r="R27" s="46">
        <f>311.926-SUM(O27:Q27)</f>
        <v>82.725999999999971</v>
      </c>
      <c r="S27" s="46">
        <v>90.3</v>
      </c>
      <c r="T27" s="46">
        <v>94.6</v>
      </c>
      <c r="U27" s="46">
        <v>93.2</v>
      </c>
      <c r="V27" s="46">
        <f>375.9-SUM(S27:U27)</f>
        <v>97.800000000000011</v>
      </c>
      <c r="W27" s="46">
        <v>97.5</v>
      </c>
      <c r="X27" s="46">
        <v>136.6</v>
      </c>
      <c r="Y27" s="46">
        <v>100.7</v>
      </c>
      <c r="Z27" s="46">
        <f>439.6-SUM(W27:Y27)</f>
        <v>104.80000000000001</v>
      </c>
      <c r="AV27" s="46">
        <f t="shared" si="87"/>
        <v>175</v>
      </c>
      <c r="AW27" s="46">
        <f t="shared" si="68"/>
        <v>222.23699999999999</v>
      </c>
      <c r="AX27" s="46">
        <f t="shared" si="76"/>
        <v>272.20800000000003</v>
      </c>
      <c r="AY27" s="46">
        <f t="shared" si="77"/>
        <v>311.92599999999999</v>
      </c>
      <c r="AZ27" s="46">
        <f t="shared" si="47"/>
        <v>375.9</v>
      </c>
      <c r="BA27" s="46">
        <f t="shared" si="69"/>
        <v>439.6</v>
      </c>
      <c r="BB27" s="59">
        <f t="shared" ref="BB27:BG27" si="90">BB26*(1-BB43)</f>
        <v>452.49957499999994</v>
      </c>
      <c r="BC27" s="59">
        <f t="shared" si="90"/>
        <v>463.35208200000005</v>
      </c>
      <c r="BD27" s="59">
        <f t="shared" si="90"/>
        <v>519.69556228120007</v>
      </c>
      <c r="BE27" s="59">
        <f t="shared" si="90"/>
        <v>587.03356589238797</v>
      </c>
      <c r="BF27" s="59">
        <f t="shared" si="90"/>
        <v>654.72932040793637</v>
      </c>
      <c r="BG27" s="59">
        <f t="shared" si="90"/>
        <v>720.87487503163447</v>
      </c>
      <c r="BH27" s="59">
        <f t="shared" ref="BH27:BK27" si="91">BH26*(1-BH43)</f>
        <v>783.22090436227745</v>
      </c>
      <c r="BI27" s="59">
        <f t="shared" si="91"/>
        <v>864.35606749529677</v>
      </c>
      <c r="BJ27" s="59">
        <f t="shared" si="91"/>
        <v>940.12226380001266</v>
      </c>
      <c r="BK27" s="59">
        <f t="shared" si="91"/>
        <v>998.59419871540877</v>
      </c>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row>
    <row r="28" spans="2:94">
      <c r="B28" s="2" t="s">
        <v>322</v>
      </c>
      <c r="C28" s="46">
        <f t="shared" ref="C28" si="92">C26-C27</f>
        <v>83.91</v>
      </c>
      <c r="D28" s="46">
        <f t="shared" ref="D28" si="93">D26-D27</f>
        <v>93.927999999999997</v>
      </c>
      <c r="E28" s="46">
        <f t="shared" ref="E28" si="94">E26-E27</f>
        <v>90.202000000000012</v>
      </c>
      <c r="F28" s="46">
        <f t="shared" ref="F28" si="95">F26-F27</f>
        <v>104.36300000000008</v>
      </c>
      <c r="G28" s="46">
        <f t="shared" ref="G28:X28" si="96">G26-G27</f>
        <v>88.000000000000014</v>
      </c>
      <c r="H28" s="46">
        <f t="shared" si="96"/>
        <v>64.899999999999991</v>
      </c>
      <c r="I28" s="46">
        <f t="shared" si="96"/>
        <v>90.947000000000003</v>
      </c>
      <c r="J28" s="46">
        <f>J26-J27</f>
        <v>94.328000000000031</v>
      </c>
      <c r="K28" s="46">
        <f t="shared" si="96"/>
        <v>111.333</v>
      </c>
      <c r="L28" s="46">
        <f t="shared" si="96"/>
        <v>118.70000000000002</v>
      </c>
      <c r="M28" s="46">
        <f t="shared" si="96"/>
        <v>119.89999999999999</v>
      </c>
      <c r="N28" s="46">
        <f t="shared" si="96"/>
        <v>125.44899999999996</v>
      </c>
      <c r="O28" s="46">
        <f t="shared" si="96"/>
        <v>127.4</v>
      </c>
      <c r="P28" s="46">
        <f t="shared" si="96"/>
        <v>134</v>
      </c>
      <c r="Q28" s="46">
        <f t="shared" si="96"/>
        <v>135.29999999999998</v>
      </c>
      <c r="R28" s="46">
        <f t="shared" si="96"/>
        <v>138.50699999999998</v>
      </c>
      <c r="S28" s="46">
        <f t="shared" si="96"/>
        <v>151.10000000000002</v>
      </c>
      <c r="T28" s="46">
        <f t="shared" si="96"/>
        <v>166.9</v>
      </c>
      <c r="U28" s="46">
        <f t="shared" si="96"/>
        <v>177.7</v>
      </c>
      <c r="V28" s="46">
        <f t="shared" si="96"/>
        <v>186.92000000000002</v>
      </c>
      <c r="W28" s="46">
        <f t="shared" si="96"/>
        <v>181.2</v>
      </c>
      <c r="X28" s="46">
        <f t="shared" si="96"/>
        <v>162.79999999999998</v>
      </c>
      <c r="Y28" s="46">
        <f>Y26-Y27</f>
        <v>200.3</v>
      </c>
      <c r="Z28" s="46">
        <f t="shared" ref="Z28" si="97">Z26-Z27</f>
        <v>210.7</v>
      </c>
      <c r="AV28" s="46">
        <f t="shared" si="87"/>
        <v>372.40300000000013</v>
      </c>
      <c r="AW28" s="46">
        <f t="shared" si="68"/>
        <v>338.17500000000007</v>
      </c>
      <c r="AX28" s="46">
        <f t="shared" si="76"/>
        <v>475.38199999999995</v>
      </c>
      <c r="AY28" s="46">
        <f t="shared" si="77"/>
        <v>535.20699999999988</v>
      </c>
      <c r="AZ28" s="46">
        <f t="shared" si="47"/>
        <v>682.62</v>
      </c>
      <c r="BA28" s="46">
        <f t="shared" si="69"/>
        <v>755</v>
      </c>
      <c r="BB28" s="59">
        <f t="shared" ref="BB28:BG28" si="98">BB26-BB27</f>
        <v>898.24542499999995</v>
      </c>
      <c r="BC28" s="59">
        <f t="shared" si="98"/>
        <v>1081.1548579999999</v>
      </c>
      <c r="BD28" s="59">
        <f t="shared" si="98"/>
        <v>1236.0326886687999</v>
      </c>
      <c r="BE28" s="59">
        <f t="shared" si="98"/>
        <v>1423.3553583966118</v>
      </c>
      <c r="BF28" s="59">
        <f t="shared" si="98"/>
        <v>1618.6363754529534</v>
      </c>
      <c r="BG28" s="59">
        <f t="shared" si="98"/>
        <v>1817.4169384600359</v>
      </c>
      <c r="BH28" s="59">
        <f t="shared" ref="BH28:BK28" si="99">BH26-BH27</f>
        <v>2013.9966112172847</v>
      </c>
      <c r="BI28" s="59">
        <f t="shared" si="99"/>
        <v>2222.6298878450484</v>
      </c>
      <c r="BJ28" s="59">
        <f t="shared" si="99"/>
        <v>2417.4572497714607</v>
      </c>
      <c r="BK28" s="59">
        <f t="shared" si="99"/>
        <v>2567.813653839622</v>
      </c>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row>
    <row r="29" spans="2:94">
      <c r="B29" s="2" t="s">
        <v>323</v>
      </c>
      <c r="C29" s="46">
        <v>11.667</v>
      </c>
      <c r="D29" s="46">
        <v>13.462</v>
      </c>
      <c r="E29" s="46">
        <v>12.946</v>
      </c>
      <c r="F29" s="46">
        <f>50-SUM(C29:E29)</f>
        <v>11.925000000000004</v>
      </c>
      <c r="G29" s="46">
        <v>12.946</v>
      </c>
      <c r="H29" s="46">
        <v>22.725000000000001</v>
      </c>
      <c r="I29" s="46">
        <v>34.923000000000002</v>
      </c>
      <c r="J29" s="46">
        <f>90.049-SUM(G29:I29)</f>
        <v>19.455000000000013</v>
      </c>
      <c r="K29" s="46">
        <v>18.076000000000001</v>
      </c>
      <c r="L29" s="46">
        <v>17.738</v>
      </c>
      <c r="M29" s="46">
        <v>16.73</v>
      </c>
      <c r="N29" s="46">
        <f>104.552-SUM(K29:M29)</f>
        <v>52.00800000000001</v>
      </c>
      <c r="O29" s="46">
        <v>20.56</v>
      </c>
      <c r="P29" s="46">
        <v>19.559000000000001</v>
      </c>
      <c r="Q29" s="46">
        <v>21.32</v>
      </c>
      <c r="R29" s="46">
        <f>79.407-SUM(O29:Q29)</f>
        <v>17.967999999999996</v>
      </c>
      <c r="S29" s="46">
        <v>19.98</v>
      </c>
      <c r="T29" s="46">
        <v>21.5</v>
      </c>
      <c r="U29" s="46">
        <v>21</v>
      </c>
      <c r="V29" s="46">
        <f>84.4-SUM(S29:U29)</f>
        <v>21.92</v>
      </c>
      <c r="W29" s="46">
        <v>24.6</v>
      </c>
      <c r="X29" s="46">
        <v>24.9</v>
      </c>
      <c r="Y29" s="46">
        <v>25.2</v>
      </c>
      <c r="Z29" s="46">
        <f>94.8-SUM(W29:Y29)</f>
        <v>20.099999999999994</v>
      </c>
      <c r="AV29" s="46">
        <f t="shared" si="87"/>
        <v>50</v>
      </c>
      <c r="AW29" s="46">
        <f t="shared" si="68"/>
        <v>90.049000000000007</v>
      </c>
      <c r="AX29" s="46">
        <f t="shared" si="76"/>
        <v>104.55200000000001</v>
      </c>
      <c r="AY29" s="46">
        <f t="shared" si="77"/>
        <v>79.406999999999996</v>
      </c>
      <c r="AZ29" s="46">
        <f t="shared" si="47"/>
        <v>84.4</v>
      </c>
      <c r="BA29" s="46">
        <f t="shared" si="69"/>
        <v>94.8</v>
      </c>
      <c r="BB29" s="59">
        <f t="shared" ref="BB29:BG29" si="100">BB26*BB44</f>
        <v>108.05959999999999</v>
      </c>
      <c r="BC29" s="59">
        <f t="shared" si="100"/>
        <v>139.0056246</v>
      </c>
      <c r="BD29" s="59">
        <f t="shared" si="100"/>
        <v>158.01554258549999</v>
      </c>
      <c r="BE29" s="59">
        <f t="shared" si="100"/>
        <v>170.883058564565</v>
      </c>
      <c r="BF29" s="59">
        <f t="shared" si="100"/>
        <v>181.8692556688712</v>
      </c>
      <c r="BG29" s="59">
        <f t="shared" si="100"/>
        <v>215.754804146792</v>
      </c>
      <c r="BH29" s="59">
        <f t="shared" ref="BH29:BK29" si="101">BH26*BH44</f>
        <v>244.75653261321168</v>
      </c>
      <c r="BI29" s="59">
        <f t="shared" si="101"/>
        <v>277.82873598063105</v>
      </c>
      <c r="BJ29" s="59">
        <f t="shared" si="101"/>
        <v>302.18215622143259</v>
      </c>
      <c r="BK29" s="59">
        <f t="shared" si="101"/>
        <v>320.97670672995275</v>
      </c>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row>
    <row r="30" spans="2:94">
      <c r="B30" s="2" t="s">
        <v>324</v>
      </c>
      <c r="C30" s="46">
        <v>61.091000000000001</v>
      </c>
      <c r="D30" s="46">
        <v>67.665000000000006</v>
      </c>
      <c r="E30" s="46">
        <v>74.453000000000003</v>
      </c>
      <c r="F30" s="46">
        <f>280-SUM(C30:E30)</f>
        <v>76.790999999999997</v>
      </c>
      <c r="G30" s="46">
        <v>74.453000000000003</v>
      </c>
      <c r="H30" s="46">
        <v>59.8</v>
      </c>
      <c r="I30" s="46">
        <v>76.2</v>
      </c>
      <c r="J30" s="46">
        <f>287.068-SUM(G30:I30)</f>
        <v>76.615000000000009</v>
      </c>
      <c r="K30" s="46">
        <v>79.798000000000002</v>
      </c>
      <c r="L30" s="46">
        <v>90.63</v>
      </c>
      <c r="M30" s="46">
        <v>94.397000000000006</v>
      </c>
      <c r="N30" s="46">
        <f>378.331-SUM(K30:M30)</f>
        <v>113.50600000000003</v>
      </c>
      <c r="O30" s="46">
        <v>110.9</v>
      </c>
      <c r="P30" s="46">
        <v>114.61499999999999</v>
      </c>
      <c r="Q30" s="46">
        <v>108.57</v>
      </c>
      <c r="R30" s="46">
        <f>449.718-SUM(O30:Q30)</f>
        <v>115.63300000000004</v>
      </c>
      <c r="S30" s="46">
        <v>123.07</v>
      </c>
      <c r="T30" s="46">
        <v>127.4</v>
      </c>
      <c r="U30" s="46">
        <v>125.9</v>
      </c>
      <c r="V30" s="46">
        <f>506.4-SUM(S30:U30)</f>
        <v>130.02999999999997</v>
      </c>
      <c r="W30" s="46">
        <v>144.4</v>
      </c>
      <c r="X30" s="46">
        <v>141.9</v>
      </c>
      <c r="Y30" s="46">
        <v>139.69999999999999</v>
      </c>
      <c r="Z30" s="46">
        <f>574-SUM(W30:Y30)</f>
        <v>148</v>
      </c>
      <c r="AV30" s="46">
        <f t="shared" si="87"/>
        <v>280</v>
      </c>
      <c r="AW30" s="46">
        <f t="shared" si="68"/>
        <v>287.06799999999998</v>
      </c>
      <c r="AX30" s="46">
        <f t="shared" si="76"/>
        <v>378.33100000000002</v>
      </c>
      <c r="AY30" s="46">
        <f t="shared" si="77"/>
        <v>449.71800000000002</v>
      </c>
      <c r="AZ30" s="46">
        <f t="shared" si="47"/>
        <v>506.4</v>
      </c>
      <c r="BA30" s="46">
        <f t="shared" si="69"/>
        <v>574</v>
      </c>
      <c r="BB30" s="59">
        <f t="shared" ref="BB30:BG30" si="102">BB26*BB45</f>
        <v>607.83524999999997</v>
      </c>
      <c r="BC30" s="59">
        <f t="shared" si="102"/>
        <v>664.13798420000001</v>
      </c>
      <c r="BD30" s="59">
        <f t="shared" si="102"/>
        <v>719.84858288949988</v>
      </c>
      <c r="BE30" s="59">
        <f t="shared" si="102"/>
        <v>804.1555697156</v>
      </c>
      <c r="BF30" s="59">
        <f t="shared" si="102"/>
        <v>909.34627834435605</v>
      </c>
      <c r="BG30" s="59">
        <f t="shared" si="102"/>
        <v>1002.6252663292098</v>
      </c>
      <c r="BH30" s="59">
        <f t="shared" ref="BH30:BK30" si="103">BH26*BH45</f>
        <v>1104.9009186539272</v>
      </c>
      <c r="BI30" s="59">
        <f t="shared" si="103"/>
        <v>1219.3594523594365</v>
      </c>
      <c r="BJ30" s="59">
        <f t="shared" si="103"/>
        <v>1326.243907860732</v>
      </c>
      <c r="BK30" s="59">
        <f t="shared" si="103"/>
        <v>1408.7311017592372</v>
      </c>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row>
    <row r="31" spans="2:94">
      <c r="B31" s="2" t="s">
        <v>325</v>
      </c>
      <c r="C31" s="46">
        <v>0</v>
      </c>
      <c r="D31" s="46">
        <v>0</v>
      </c>
      <c r="E31" s="46">
        <v>0</v>
      </c>
      <c r="F31" s="46">
        <f>0-SUM(C31:E31)</f>
        <v>0</v>
      </c>
      <c r="G31" s="46">
        <v>0</v>
      </c>
      <c r="H31" s="46">
        <v>0</v>
      </c>
      <c r="I31" s="46">
        <v>0</v>
      </c>
      <c r="J31" s="46">
        <f>0-SUM(G31:I31)</f>
        <v>0</v>
      </c>
      <c r="K31" s="46">
        <v>0</v>
      </c>
      <c r="L31" s="46">
        <v>0</v>
      </c>
      <c r="M31" s="46">
        <v>0</v>
      </c>
      <c r="N31" s="46">
        <f>0-SUM(K31:M31)</f>
        <v>0</v>
      </c>
      <c r="O31" s="46">
        <v>0</v>
      </c>
      <c r="P31" s="46">
        <v>0</v>
      </c>
      <c r="Q31" s="46">
        <v>0</v>
      </c>
      <c r="R31" s="46">
        <f>0-SUM(O31:Q31)</f>
        <v>0</v>
      </c>
      <c r="S31" s="46">
        <v>0</v>
      </c>
      <c r="T31" s="46">
        <v>0</v>
      </c>
      <c r="U31" s="46">
        <v>18.2</v>
      </c>
      <c r="V31" s="46">
        <f>18.2-SUM(S31:U31)</f>
        <v>0</v>
      </c>
      <c r="W31" s="46">
        <v>0</v>
      </c>
      <c r="X31" s="46">
        <v>0</v>
      </c>
      <c r="Y31" s="46">
        <v>0</v>
      </c>
      <c r="Z31" s="46">
        <f>0-SUM(W31:Y31)</f>
        <v>0</v>
      </c>
      <c r="AV31" s="46">
        <f t="shared" si="87"/>
        <v>0</v>
      </c>
      <c r="AW31" s="46">
        <f t="shared" si="68"/>
        <v>0</v>
      </c>
      <c r="AX31" s="46">
        <f t="shared" si="76"/>
        <v>0</v>
      </c>
      <c r="AY31" s="46">
        <f t="shared" si="77"/>
        <v>0</v>
      </c>
      <c r="AZ31" s="46">
        <f t="shared" si="47"/>
        <v>18.2</v>
      </c>
      <c r="BA31" s="46">
        <f t="shared" si="69"/>
        <v>0</v>
      </c>
      <c r="BB31" s="59">
        <v>0</v>
      </c>
      <c r="BC31" s="59">
        <v>0</v>
      </c>
      <c r="BD31" s="59">
        <v>0</v>
      </c>
      <c r="BE31" s="59">
        <v>0</v>
      </c>
      <c r="BF31" s="59">
        <v>0</v>
      </c>
      <c r="BG31" s="59">
        <v>0</v>
      </c>
      <c r="BH31" s="59">
        <v>0</v>
      </c>
      <c r="BI31" s="59">
        <v>0</v>
      </c>
      <c r="BJ31" s="59">
        <v>0</v>
      </c>
      <c r="BK31" s="59">
        <v>0</v>
      </c>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row>
    <row r="32" spans="2:94">
      <c r="B32" s="2" t="s">
        <v>326</v>
      </c>
      <c r="C32" s="46">
        <v>0</v>
      </c>
      <c r="D32" s="46">
        <v>0</v>
      </c>
      <c r="E32" s="46">
        <v>0</v>
      </c>
      <c r="F32" s="46">
        <f>0-SUM(C32:E32)</f>
        <v>0</v>
      </c>
      <c r="G32" s="46">
        <v>0</v>
      </c>
      <c r="H32" s="46">
        <v>0</v>
      </c>
      <c r="I32" s="46">
        <v>0</v>
      </c>
      <c r="J32" s="46">
        <f>0-SUM(G32:I32)</f>
        <v>0</v>
      </c>
      <c r="K32" s="46">
        <v>0</v>
      </c>
      <c r="L32" s="46">
        <v>0</v>
      </c>
      <c r="M32" s="46">
        <v>0</v>
      </c>
      <c r="N32" s="46">
        <f>0-SUM(K32:M32)</f>
        <v>0</v>
      </c>
      <c r="O32" s="46">
        <v>0</v>
      </c>
      <c r="P32" s="46">
        <v>0</v>
      </c>
      <c r="Q32" s="46">
        <v>0</v>
      </c>
      <c r="R32" s="46">
        <f>0-SUM(O32:Q32)</f>
        <v>0</v>
      </c>
      <c r="S32" s="46">
        <v>0</v>
      </c>
      <c r="T32" s="46">
        <v>0</v>
      </c>
      <c r="U32" s="46">
        <v>0</v>
      </c>
      <c r="V32" s="46">
        <f>0-SUM(S32:U32)</f>
        <v>0</v>
      </c>
      <c r="W32" s="46">
        <v>0</v>
      </c>
      <c r="X32" s="46">
        <v>76.900000000000006</v>
      </c>
      <c r="Y32" s="46">
        <v>0</v>
      </c>
      <c r="Z32" s="46">
        <f>76.94-SUM(W32:Y32)</f>
        <v>3.9999999999992042E-2</v>
      </c>
      <c r="AV32" s="46">
        <f t="shared" si="87"/>
        <v>0</v>
      </c>
      <c r="AW32" s="46">
        <f t="shared" si="68"/>
        <v>0</v>
      </c>
      <c r="AX32" s="46">
        <f t="shared" si="76"/>
        <v>0</v>
      </c>
      <c r="AY32" s="46">
        <f t="shared" si="77"/>
        <v>0</v>
      </c>
      <c r="AZ32" s="46">
        <f t="shared" si="47"/>
        <v>0</v>
      </c>
      <c r="BA32" s="46">
        <f t="shared" si="69"/>
        <v>76.94</v>
      </c>
      <c r="BB32" s="59">
        <v>115.3</v>
      </c>
      <c r="BC32" s="59">
        <v>0</v>
      </c>
      <c r="BD32" s="59">
        <v>0</v>
      </c>
      <c r="BE32" s="59">
        <v>0</v>
      </c>
      <c r="BF32" s="59">
        <v>0</v>
      </c>
      <c r="BG32" s="59">
        <v>0</v>
      </c>
      <c r="BH32" s="59">
        <v>0</v>
      </c>
      <c r="BI32" s="59">
        <v>0</v>
      </c>
      <c r="BJ32" s="59">
        <v>0</v>
      </c>
      <c r="BK32" s="59">
        <v>0</v>
      </c>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row>
    <row r="33" spans="2:94">
      <c r="B33" s="2" t="s">
        <v>327</v>
      </c>
      <c r="C33" s="46">
        <f t="shared" ref="C33" si="104">C28-SUM(C29:C32)</f>
        <v>11.152000000000001</v>
      </c>
      <c r="D33" s="46">
        <f t="shared" ref="D33" si="105">D28-SUM(D29:D32)</f>
        <v>12.800999999999988</v>
      </c>
      <c r="E33" s="46">
        <f t="shared" ref="E33" si="106">E28-SUM(E29:E32)</f>
        <v>2.8030000000000115</v>
      </c>
      <c r="F33" s="46">
        <f t="shared" ref="F33" si="107">F28-SUM(F29:F32)</f>
        <v>15.647000000000077</v>
      </c>
      <c r="G33" s="46">
        <f t="shared" ref="G33:X33" si="108">G28-SUM(G29:G32)</f>
        <v>0.6010000000000133</v>
      </c>
      <c r="H33" s="46">
        <f t="shared" si="108"/>
        <v>-17.625000000000014</v>
      </c>
      <c r="I33" s="46">
        <f t="shared" si="108"/>
        <v>-20.176000000000002</v>
      </c>
      <c r="J33" s="46">
        <f>J28-SUM(J29:J32)</f>
        <v>-1.7419999999999902</v>
      </c>
      <c r="K33" s="46">
        <f t="shared" si="108"/>
        <v>13.459000000000003</v>
      </c>
      <c r="L33" s="46">
        <f t="shared" si="108"/>
        <v>10.332000000000022</v>
      </c>
      <c r="M33" s="46">
        <f t="shared" si="108"/>
        <v>8.7729999999999819</v>
      </c>
      <c r="N33" s="46">
        <f>N28-SUM(N29:N32)</f>
        <v>-40.065000000000083</v>
      </c>
      <c r="O33" s="46">
        <f t="shared" si="108"/>
        <v>-4.0600000000000023</v>
      </c>
      <c r="P33" s="46">
        <f t="shared" si="108"/>
        <v>-0.17400000000000659</v>
      </c>
      <c r="Q33" s="46">
        <f t="shared" si="108"/>
        <v>5.4099999999999966</v>
      </c>
      <c r="R33" s="46">
        <f t="shared" si="108"/>
        <v>4.9059999999999491</v>
      </c>
      <c r="S33" s="46">
        <f t="shared" si="108"/>
        <v>8.0500000000000398</v>
      </c>
      <c r="T33" s="46">
        <f t="shared" si="108"/>
        <v>18</v>
      </c>
      <c r="U33" s="46">
        <f t="shared" si="108"/>
        <v>12.599999999999994</v>
      </c>
      <c r="V33" s="46">
        <f t="shared" si="108"/>
        <v>34.970000000000027</v>
      </c>
      <c r="W33" s="46">
        <f t="shared" si="108"/>
        <v>12.199999999999989</v>
      </c>
      <c r="X33" s="46">
        <f t="shared" si="108"/>
        <v>-80.900000000000034</v>
      </c>
      <c r="Y33" s="46">
        <f>Y28-SUM(Y29:Y32)</f>
        <v>35.400000000000034</v>
      </c>
      <c r="Z33" s="46">
        <f t="shared" ref="Z33" si="109">Z28-SUM(Z29:Z32)</f>
        <v>42.56</v>
      </c>
      <c r="AV33" s="46">
        <f t="shared" si="87"/>
        <v>42.403000000000077</v>
      </c>
      <c r="AW33" s="46">
        <f t="shared" si="68"/>
        <v>-38.941999999999993</v>
      </c>
      <c r="AX33" s="46">
        <f t="shared" si="76"/>
        <v>-7.5010000000000758</v>
      </c>
      <c r="AY33" s="46">
        <f t="shared" si="77"/>
        <v>6.0819999999999368</v>
      </c>
      <c r="AZ33" s="46">
        <f t="shared" si="47"/>
        <v>73.620000000000061</v>
      </c>
      <c r="BA33" s="46">
        <f t="shared" si="69"/>
        <v>9.2599999999999909</v>
      </c>
      <c r="BB33" s="59">
        <f>BB28-SUM(BB29:BB32)+BB32</f>
        <v>182.35057500000011</v>
      </c>
      <c r="BC33" s="59">
        <f>BC28-SUM(BC29:BC32)</f>
        <v>278.01124919999984</v>
      </c>
      <c r="BD33" s="59">
        <f>BD28-SUM(BD29:BD32)</f>
        <v>358.16856319380008</v>
      </c>
      <c r="BE33" s="59">
        <f>BE28-SUM(BE29:BE32)</f>
        <v>448.31673011644682</v>
      </c>
      <c r="BF33" s="59">
        <f>BF28-SUM(BF29:BF32)</f>
        <v>527.42084143972625</v>
      </c>
      <c r="BG33" s="59">
        <f>BG28-SUM(BG29:BG32)</f>
        <v>599.03686798403419</v>
      </c>
      <c r="BH33" s="59">
        <f t="shared" ref="BH33:BK33" si="110">BH28-SUM(BH29:BH32)</f>
        <v>664.33915995014581</v>
      </c>
      <c r="BI33" s="59">
        <f t="shared" si="110"/>
        <v>725.44169950498076</v>
      </c>
      <c r="BJ33" s="59">
        <f t="shared" si="110"/>
        <v>789.03118568929631</v>
      </c>
      <c r="BK33" s="59">
        <f t="shared" si="110"/>
        <v>838.10584535043199</v>
      </c>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row>
    <row r="34" spans="2:94">
      <c r="B34" s="2" t="s">
        <v>328</v>
      </c>
      <c r="C34" s="46">
        <f>0.733+0.024</f>
        <v>0.75700000000000001</v>
      </c>
      <c r="D34" s="46">
        <f>0.784-0.071</f>
        <v>0.71300000000000008</v>
      </c>
      <c r="E34" s="46">
        <f>0.299-1.555</f>
        <v>-1.256</v>
      </c>
      <c r="F34" s="46">
        <f>4-SUM(C34:E34)</f>
        <v>3.7859999999999996</v>
      </c>
      <c r="G34" s="46">
        <f>0.299-1.555</f>
        <v>-1.256</v>
      </c>
      <c r="H34" s="46">
        <f>0.108+0.508</f>
        <v>0.61599999999999999</v>
      </c>
      <c r="I34" s="46">
        <f>0.413+0.014</f>
        <v>0.42699999999999999</v>
      </c>
      <c r="J34" s="46">
        <f>1.267-0.243-SUM(G34:I34)</f>
        <v>1.2370000000000001</v>
      </c>
      <c r="K34" s="46">
        <f>0.48-1.476</f>
        <v>-0.996</v>
      </c>
      <c r="L34" s="46">
        <f>0.299-0.408</f>
        <v>-0.10899999999999999</v>
      </c>
      <c r="M34" s="46">
        <f>0.138-1.137</f>
        <v>-0.999</v>
      </c>
      <c r="N34" s="46">
        <f>0.938-3.939-SUM(K34:M34)</f>
        <v>-0.89700000000000024</v>
      </c>
      <c r="O34" s="46">
        <f>-0.041-1.01</f>
        <v>-1.0509999999999999</v>
      </c>
      <c r="P34" s="46">
        <f>-0.07-0.9</f>
        <v>-0.97</v>
      </c>
      <c r="Q34" s="46">
        <f>-0.04-2.35</f>
        <v>-2.39</v>
      </c>
      <c r="R34" s="46">
        <f>0.137-2.327-SUM(O34:Q34)</f>
        <v>2.2209999999999996</v>
      </c>
      <c r="S34" s="46">
        <v>0.64400000000000002</v>
      </c>
      <c r="T34" s="46">
        <v>1.6</v>
      </c>
      <c r="U34" s="46">
        <v>0.7</v>
      </c>
      <c r="V34" s="46">
        <f>6.09-SUM(S34:U34)</f>
        <v>3.1459999999999999</v>
      </c>
      <c r="W34" s="46">
        <v>2.5</v>
      </c>
      <c r="X34" s="46">
        <v>3.1</v>
      </c>
      <c r="Y34" s="46">
        <v>4.4000000000000004</v>
      </c>
      <c r="Z34" s="46">
        <f>11.59-SUM(W34:Y34)</f>
        <v>1.5899999999999999</v>
      </c>
      <c r="AV34" s="46">
        <f t="shared" si="87"/>
        <v>4</v>
      </c>
      <c r="AW34" s="46">
        <f t="shared" si="68"/>
        <v>1.024</v>
      </c>
      <c r="AX34" s="46">
        <f t="shared" si="76"/>
        <v>-3.0010000000000003</v>
      </c>
      <c r="AY34" s="46">
        <f t="shared" si="77"/>
        <v>-2.19</v>
      </c>
      <c r="AZ34" s="46">
        <f t="shared" si="47"/>
        <v>6.09</v>
      </c>
      <c r="BA34" s="46">
        <f t="shared" si="69"/>
        <v>11.59</v>
      </c>
      <c r="BB34" s="59">
        <f t="shared" ref="BB34:BG34" si="111">BA49*$BD$51</f>
        <v>6.4879999999999995</v>
      </c>
      <c r="BC34" s="59">
        <f t="shared" si="111"/>
        <v>9.4716494850000021</v>
      </c>
      <c r="BD34" s="59">
        <f t="shared" si="111"/>
        <v>14.013879284222998</v>
      </c>
      <c r="BE34" s="59">
        <f t="shared" si="111"/>
        <v>19.894361875375761</v>
      </c>
      <c r="BF34" s="59">
        <f t="shared" si="111"/>
        <v>27.29209712884656</v>
      </c>
      <c r="BG34" s="59">
        <f t="shared" si="111"/>
        <v>36.056561558230008</v>
      </c>
      <c r="BH34" s="59">
        <f t="shared" ref="BH34" si="112">BG49*$BD$51</f>
        <v>46.091037744997777</v>
      </c>
      <c r="BI34" s="59">
        <f t="shared" ref="BI34" si="113">BH49*$BD$51</f>
        <v>57.315834868581042</v>
      </c>
      <c r="BJ34" s="59">
        <f t="shared" ref="BJ34" si="114">BI49*$BD$51</f>
        <v>69.683403911683314</v>
      </c>
      <c r="BK34" s="59">
        <f t="shared" ref="BK34" si="115">BJ49*$BD$51</f>
        <v>83.251094427378789</v>
      </c>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row>
    <row r="35" spans="2:94">
      <c r="B35" s="2" t="s">
        <v>329</v>
      </c>
      <c r="C35" s="46">
        <f t="shared" ref="C35" si="116">C33+C34</f>
        <v>11.909000000000001</v>
      </c>
      <c r="D35" s="46">
        <f t="shared" ref="D35" si="117">D33+D34</f>
        <v>13.513999999999989</v>
      </c>
      <c r="E35" s="46">
        <f t="shared" ref="E35" si="118">E33+E34</f>
        <v>1.5470000000000115</v>
      </c>
      <c r="F35" s="46">
        <f t="shared" ref="F35" si="119">F33+F34</f>
        <v>19.433000000000078</v>
      </c>
      <c r="G35" s="46">
        <f t="shared" ref="G35:T35" si="120">G33+G34</f>
        <v>-0.6549999999999867</v>
      </c>
      <c r="H35" s="46">
        <f t="shared" si="120"/>
        <v>-17.009000000000015</v>
      </c>
      <c r="I35" s="46">
        <f t="shared" si="120"/>
        <v>-19.749000000000002</v>
      </c>
      <c r="J35" s="46">
        <f t="shared" si="120"/>
        <v>-0.50499999999999012</v>
      </c>
      <c r="K35" s="46">
        <f t="shared" si="120"/>
        <v>12.463000000000003</v>
      </c>
      <c r="L35" s="46">
        <f t="shared" si="120"/>
        <v>10.223000000000022</v>
      </c>
      <c r="M35" s="46">
        <f t="shared" si="120"/>
        <v>7.7739999999999823</v>
      </c>
      <c r="N35" s="46">
        <f t="shared" si="120"/>
        <v>-40.962000000000081</v>
      </c>
      <c r="O35" s="46">
        <f t="shared" si="120"/>
        <v>-5.1110000000000024</v>
      </c>
      <c r="P35" s="46">
        <f t="shared" si="120"/>
        <v>-1.1440000000000066</v>
      </c>
      <c r="Q35" s="46">
        <f t="shared" si="120"/>
        <v>3.0199999999999965</v>
      </c>
      <c r="R35" s="46">
        <f t="shared" si="120"/>
        <v>7.1269999999999492</v>
      </c>
      <c r="S35" s="46">
        <f t="shared" si="120"/>
        <v>8.6940000000000399</v>
      </c>
      <c r="T35" s="46">
        <f t="shared" si="120"/>
        <v>19.600000000000001</v>
      </c>
      <c r="U35" s="46">
        <f>U33+U34</f>
        <v>13.299999999999994</v>
      </c>
      <c r="V35" s="46">
        <f t="shared" ref="V35:Z35" si="121">V33+V34</f>
        <v>38.116000000000028</v>
      </c>
      <c r="W35" s="46">
        <f t="shared" si="121"/>
        <v>14.699999999999989</v>
      </c>
      <c r="X35" s="46">
        <f t="shared" si="121"/>
        <v>-77.80000000000004</v>
      </c>
      <c r="Y35" s="46">
        <f t="shared" si="121"/>
        <v>39.800000000000033</v>
      </c>
      <c r="Z35" s="46">
        <f t="shared" si="121"/>
        <v>44.150000000000006</v>
      </c>
      <c r="AV35" s="46">
        <f t="shared" si="87"/>
        <v>46.403000000000077</v>
      </c>
      <c r="AW35" s="46">
        <f t="shared" si="68"/>
        <v>-37.917999999999992</v>
      </c>
      <c r="AX35" s="46">
        <f t="shared" si="76"/>
        <v>-10.502000000000073</v>
      </c>
      <c r="AY35" s="46">
        <f t="shared" si="77"/>
        <v>3.8919999999999368</v>
      </c>
      <c r="AZ35" s="46">
        <f t="shared" si="47"/>
        <v>79.710000000000065</v>
      </c>
      <c r="BA35" s="46">
        <f t="shared" si="69"/>
        <v>20.849999999999987</v>
      </c>
      <c r="BB35" s="59">
        <f t="shared" ref="BB35:BG35" si="122">BB33+BB34</f>
        <v>188.83857500000011</v>
      </c>
      <c r="BC35" s="59">
        <f t="shared" si="122"/>
        <v>287.48289868499984</v>
      </c>
      <c r="BD35" s="59">
        <f t="shared" si="122"/>
        <v>372.18244247802306</v>
      </c>
      <c r="BE35" s="59">
        <f t="shared" si="122"/>
        <v>468.21109199182257</v>
      </c>
      <c r="BF35" s="59">
        <f t="shared" si="122"/>
        <v>554.71293856857278</v>
      </c>
      <c r="BG35" s="59">
        <f t="shared" si="122"/>
        <v>635.09342954226418</v>
      </c>
      <c r="BH35" s="59">
        <f t="shared" ref="BH35:BK35" si="123">BH33+BH34</f>
        <v>710.43019769514353</v>
      </c>
      <c r="BI35" s="59">
        <f t="shared" si="123"/>
        <v>782.75753437356184</v>
      </c>
      <c r="BJ35" s="59">
        <f t="shared" si="123"/>
        <v>858.71458960097959</v>
      </c>
      <c r="BK35" s="59">
        <f t="shared" si="123"/>
        <v>921.35693977781079</v>
      </c>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row>
    <row r="36" spans="2:94">
      <c r="B36" s="2" t="s">
        <v>330</v>
      </c>
      <c r="C36" s="46">
        <v>1.4550000000000001</v>
      </c>
      <c r="D36" s="46">
        <v>-1.6339999999999999</v>
      </c>
      <c r="E36" s="46">
        <v>-1.6339999999999999</v>
      </c>
      <c r="F36" s="46">
        <f>-4-SUM(C36:E36)</f>
        <v>-2.1870000000000003</v>
      </c>
      <c r="G36" s="46">
        <v>-1.6339999999999999</v>
      </c>
      <c r="H36" s="46">
        <v>-4.1289999999999996</v>
      </c>
      <c r="I36" s="46">
        <v>-9.8550000000000004</v>
      </c>
      <c r="J36" s="46">
        <f>-18.761-SUM(G36:I36)</f>
        <v>-3.1429999999999989</v>
      </c>
      <c r="K36" s="46">
        <v>1.5409999999999999</v>
      </c>
      <c r="L36" s="46">
        <v>1.9</v>
      </c>
      <c r="M36" s="46">
        <v>-0.249</v>
      </c>
      <c r="N36" s="46">
        <f>-13.125-SUM(K36:M36)</f>
        <v>-16.317</v>
      </c>
      <c r="O36" s="46">
        <v>-5.1829999999999998</v>
      </c>
      <c r="P36" s="46">
        <v>2.52</v>
      </c>
      <c r="Q36" s="46">
        <v>5.3</v>
      </c>
      <c r="R36" s="46">
        <f>5.894-SUM(O36:Q36)</f>
        <v>3.2570000000000001</v>
      </c>
      <c r="S36" s="46">
        <v>0.09</v>
      </c>
      <c r="T36" s="46">
        <v>0.5</v>
      </c>
      <c r="U36" s="46">
        <v>4.09</v>
      </c>
      <c r="V36" s="46">
        <f>-11.3-SUM(S36:U36)</f>
        <v>-15.98</v>
      </c>
      <c r="W36" s="46">
        <v>3.6</v>
      </c>
      <c r="X36" s="46">
        <v>-17.600000000000001</v>
      </c>
      <c r="Y36" s="46">
        <v>10.3</v>
      </c>
      <c r="Z36" s="46">
        <f>6.86-SUM(W36:Y36)</f>
        <v>10.560000000000002</v>
      </c>
      <c r="AV36" s="46">
        <f t="shared" si="87"/>
        <v>-4</v>
      </c>
      <c r="AW36" s="46">
        <f t="shared" si="68"/>
        <v>-18.760999999999999</v>
      </c>
      <c r="AX36" s="46">
        <f t="shared" si="76"/>
        <v>-13.125</v>
      </c>
      <c r="AY36" s="46">
        <f t="shared" si="77"/>
        <v>5.8940000000000001</v>
      </c>
      <c r="AZ36" s="46">
        <f t="shared" si="47"/>
        <v>-11.3</v>
      </c>
      <c r="BA36" s="46">
        <f t="shared" si="69"/>
        <v>6.8600000000000012</v>
      </c>
      <c r="BB36" s="59">
        <f t="shared" ref="BB36:BG36" si="124">BB35*0.21</f>
        <v>39.656100750000022</v>
      </c>
      <c r="BC36" s="59">
        <f t="shared" si="124"/>
        <v>60.371408723849967</v>
      </c>
      <c r="BD36" s="59">
        <f t="shared" si="124"/>
        <v>78.158312920384844</v>
      </c>
      <c r="BE36" s="59">
        <f t="shared" si="124"/>
        <v>98.324329318282736</v>
      </c>
      <c r="BF36" s="59">
        <f t="shared" si="124"/>
        <v>116.48971709940028</v>
      </c>
      <c r="BG36" s="59">
        <f t="shared" si="124"/>
        <v>133.36962020387548</v>
      </c>
      <c r="BH36" s="59">
        <f t="shared" ref="BH36:BK36" si="125">BH35*0.21</f>
        <v>149.19034151598012</v>
      </c>
      <c r="BI36" s="59">
        <f t="shared" si="125"/>
        <v>164.37908221844799</v>
      </c>
      <c r="BJ36" s="59">
        <f t="shared" si="125"/>
        <v>180.33006381620569</v>
      </c>
      <c r="BK36" s="59">
        <f t="shared" si="125"/>
        <v>193.48495735334026</v>
      </c>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row>
    <row r="37" spans="2:94">
      <c r="B37" s="2" t="s">
        <v>625</v>
      </c>
      <c r="C37" s="46">
        <f t="shared" ref="C37" si="126">C35-C36</f>
        <v>10.454000000000001</v>
      </c>
      <c r="D37" s="46">
        <f t="shared" ref="D37" si="127">D35-D36</f>
        <v>15.147999999999989</v>
      </c>
      <c r="E37" s="46">
        <f t="shared" ref="E37" si="128">E35-E36</f>
        <v>3.1810000000000116</v>
      </c>
      <c r="F37" s="46">
        <f t="shared" ref="F37" si="129">F35-F36</f>
        <v>21.620000000000079</v>
      </c>
      <c r="G37" s="46">
        <f t="shared" ref="G37:N37" si="130">G35-G36</f>
        <v>0.97900000000001319</v>
      </c>
      <c r="H37" s="46">
        <f t="shared" si="130"/>
        <v>-12.880000000000015</v>
      </c>
      <c r="I37" s="46">
        <f t="shared" si="130"/>
        <v>-9.8940000000000019</v>
      </c>
      <c r="J37" s="46">
        <f t="shared" si="130"/>
        <v>2.6380000000000088</v>
      </c>
      <c r="K37" s="46">
        <f t="shared" si="130"/>
        <v>10.922000000000002</v>
      </c>
      <c r="L37" s="46">
        <f t="shared" si="130"/>
        <v>8.3230000000000217</v>
      </c>
      <c r="M37" s="46">
        <f t="shared" si="130"/>
        <v>8.0229999999999819</v>
      </c>
      <c r="N37" s="46">
        <f t="shared" si="130"/>
        <v>-24.645000000000081</v>
      </c>
      <c r="O37" s="46">
        <f t="shared" ref="O37:X37" si="131">O35-O36</f>
        <v>7.1999999999997399E-2</v>
      </c>
      <c r="P37" s="46">
        <f t="shared" si="131"/>
        <v>-3.6640000000000068</v>
      </c>
      <c r="Q37" s="46">
        <f t="shared" si="131"/>
        <v>-2.2800000000000034</v>
      </c>
      <c r="R37" s="46">
        <f t="shared" si="131"/>
        <v>3.869999999999949</v>
      </c>
      <c r="S37" s="46">
        <f t="shared" si="131"/>
        <v>8.6040000000000401</v>
      </c>
      <c r="T37" s="46">
        <f t="shared" si="131"/>
        <v>19.100000000000001</v>
      </c>
      <c r="U37" s="46">
        <f t="shared" si="131"/>
        <v>9.2099999999999937</v>
      </c>
      <c r="V37" s="46">
        <f t="shared" si="131"/>
        <v>54.096000000000032</v>
      </c>
      <c r="W37" s="46">
        <f t="shared" si="131"/>
        <v>11.099999999999989</v>
      </c>
      <c r="X37" s="46">
        <f t="shared" si="131"/>
        <v>-60.200000000000038</v>
      </c>
      <c r="Y37" s="46">
        <f>Y35-Y36</f>
        <v>29.500000000000032</v>
      </c>
      <c r="Z37" s="46">
        <f t="shared" ref="Z37" si="132">Z35-Z36</f>
        <v>33.590000000000003</v>
      </c>
      <c r="AV37" s="46">
        <f t="shared" si="87"/>
        <v>50.403000000000077</v>
      </c>
      <c r="AW37" s="46">
        <f t="shared" si="68"/>
        <v>-19.156999999999993</v>
      </c>
      <c r="AX37" s="46">
        <f t="shared" si="76"/>
        <v>2.6229999999999265</v>
      </c>
      <c r="AY37" s="46">
        <f t="shared" si="77"/>
        <v>-2.0020000000000633</v>
      </c>
      <c r="AZ37" s="46">
        <f t="shared" si="47"/>
        <v>91.010000000000076</v>
      </c>
      <c r="BA37" s="46">
        <f t="shared" si="69"/>
        <v>13.989999999999984</v>
      </c>
      <c r="BB37" s="59">
        <f>BB35-BB36</f>
        <v>149.1824742500001</v>
      </c>
      <c r="BC37" s="59">
        <f t="shared" ref="BB37:BG37" si="133">BC35-BC36</f>
        <v>227.11148996114986</v>
      </c>
      <c r="BD37" s="59">
        <f t="shared" si="133"/>
        <v>294.02412955763822</v>
      </c>
      <c r="BE37" s="59">
        <f t="shared" si="133"/>
        <v>369.88676267353981</v>
      </c>
      <c r="BF37" s="59">
        <f t="shared" si="133"/>
        <v>438.22322146917247</v>
      </c>
      <c r="BG37" s="59">
        <f t="shared" si="133"/>
        <v>501.72380933838872</v>
      </c>
      <c r="BH37" s="59">
        <f t="shared" ref="BH37:BK37" si="134">BH35-BH36</f>
        <v>561.23985617916344</v>
      </c>
      <c r="BI37" s="59">
        <f t="shared" si="134"/>
        <v>618.37845215511379</v>
      </c>
      <c r="BJ37" s="59">
        <f t="shared" si="134"/>
        <v>678.38452578477393</v>
      </c>
      <c r="BK37" s="59">
        <f t="shared" si="134"/>
        <v>727.8719824244705</v>
      </c>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row>
    <row r="38" spans="2:94">
      <c r="B38" s="2" t="s">
        <v>624</v>
      </c>
      <c r="C38" s="46">
        <v>-0.24399999999999999</v>
      </c>
      <c r="D38" s="46">
        <v>-0.53700000000000003</v>
      </c>
      <c r="E38" s="46">
        <v>-0.53700000000000003</v>
      </c>
      <c r="F38" s="46">
        <f>-0.2-SUM(C38:E38)</f>
        <v>1.1180000000000001</v>
      </c>
      <c r="G38" s="46">
        <v>-0.53700000000000003</v>
      </c>
      <c r="H38" s="46">
        <v>-0.94</v>
      </c>
      <c r="I38" s="46">
        <v>-1.0609999999999999</v>
      </c>
      <c r="J38" s="46">
        <f>-3.555-SUM(G38:I38)</f>
        <v>-1.0170000000000003</v>
      </c>
      <c r="K38" s="46">
        <v>-0.91</v>
      </c>
      <c r="L38" s="46">
        <v>-0.93200000000000005</v>
      </c>
      <c r="M38" s="46">
        <v>-0.81899999999999995</v>
      </c>
      <c r="N38" s="46">
        <f>-2.641-SUM(K38:M38)</f>
        <v>2.0000000000000018E-2</v>
      </c>
      <c r="O38" s="46">
        <v>0</v>
      </c>
      <c r="P38" s="46">
        <v>0</v>
      </c>
      <c r="Q38" s="46">
        <v>0</v>
      </c>
      <c r="R38" s="46">
        <v>0</v>
      </c>
      <c r="S38" s="46">
        <v>0</v>
      </c>
      <c r="T38" s="46">
        <v>0</v>
      </c>
      <c r="U38" s="46">
        <v>0</v>
      </c>
      <c r="V38" s="46">
        <v>0</v>
      </c>
      <c r="W38" s="46">
        <v>0</v>
      </c>
      <c r="X38" s="46">
        <v>0</v>
      </c>
      <c r="Y38" s="46">
        <v>0</v>
      </c>
      <c r="Z38" s="46">
        <v>0</v>
      </c>
      <c r="AV38" s="2">
        <f t="shared" si="87"/>
        <v>-0.19999999999999996</v>
      </c>
      <c r="AW38" s="2">
        <v>-3.5550000000000002</v>
      </c>
      <c r="AX38" s="2">
        <v>-2.661</v>
      </c>
      <c r="AY38" s="2">
        <v>0</v>
      </c>
      <c r="AZ38" s="2">
        <v>0</v>
      </c>
      <c r="BA38" s="2">
        <v>0</v>
      </c>
      <c r="BB38" s="59">
        <v>0</v>
      </c>
      <c r="BC38" s="59">
        <v>0</v>
      </c>
      <c r="BD38" s="59">
        <v>0</v>
      </c>
      <c r="BE38" s="59">
        <v>0</v>
      </c>
      <c r="BF38" s="59">
        <v>0</v>
      </c>
      <c r="BG38" s="59">
        <v>0</v>
      </c>
      <c r="BH38" s="59">
        <v>0</v>
      </c>
      <c r="BI38" s="59">
        <v>0</v>
      </c>
      <c r="BJ38" s="59">
        <v>0</v>
      </c>
      <c r="BK38" s="59">
        <v>0</v>
      </c>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row>
    <row r="39" spans="2:94" s="1" customFormat="1">
      <c r="B39" s="1" t="s">
        <v>626</v>
      </c>
      <c r="C39" s="53">
        <f>C37-C38</f>
        <v>10.698</v>
      </c>
      <c r="D39" s="53">
        <f>D37-D38</f>
        <v>15.68499999999999</v>
      </c>
      <c r="E39" s="53">
        <f>E37-E38</f>
        <v>3.7180000000000115</v>
      </c>
      <c r="F39" s="53">
        <f>F37-F38</f>
        <v>20.502000000000081</v>
      </c>
      <c r="G39" s="53">
        <f>G37-G38</f>
        <v>1.5160000000000133</v>
      </c>
      <c r="H39" s="53">
        <f t="shared" ref="H39:Z39" si="135">H37-H38</f>
        <v>-11.940000000000015</v>
      </c>
      <c r="I39" s="53">
        <f t="shared" si="135"/>
        <v>-8.833000000000002</v>
      </c>
      <c r="J39" s="53">
        <f t="shared" si="135"/>
        <v>3.6550000000000091</v>
      </c>
      <c r="K39" s="53">
        <f t="shared" si="135"/>
        <v>11.832000000000003</v>
      </c>
      <c r="L39" s="53">
        <f t="shared" si="135"/>
        <v>9.2550000000000221</v>
      </c>
      <c r="M39" s="53">
        <f t="shared" si="135"/>
        <v>8.841999999999981</v>
      </c>
      <c r="N39" s="53">
        <f t="shared" si="135"/>
        <v>-24.665000000000081</v>
      </c>
      <c r="O39" s="53">
        <f t="shared" si="135"/>
        <v>7.1999999999997399E-2</v>
      </c>
      <c r="P39" s="53">
        <f t="shared" si="135"/>
        <v>-3.6640000000000068</v>
      </c>
      <c r="Q39" s="53">
        <f t="shared" si="135"/>
        <v>-2.2800000000000034</v>
      </c>
      <c r="R39" s="53">
        <f t="shared" si="135"/>
        <v>3.869999999999949</v>
      </c>
      <c r="S39" s="53">
        <f t="shared" si="135"/>
        <v>8.6040000000000401</v>
      </c>
      <c r="T39" s="53">
        <f t="shared" si="135"/>
        <v>19.100000000000001</v>
      </c>
      <c r="U39" s="53">
        <f t="shared" si="135"/>
        <v>9.2099999999999937</v>
      </c>
      <c r="V39" s="53">
        <f t="shared" si="135"/>
        <v>54.096000000000032</v>
      </c>
      <c r="W39" s="53">
        <f t="shared" si="135"/>
        <v>11.099999999999989</v>
      </c>
      <c r="X39" s="53">
        <f t="shared" si="135"/>
        <v>-60.200000000000038</v>
      </c>
      <c r="Y39" s="53">
        <f t="shared" si="135"/>
        <v>29.500000000000032</v>
      </c>
      <c r="Z39" s="53">
        <f t="shared" si="135"/>
        <v>33.590000000000003</v>
      </c>
      <c r="AA39" s="10"/>
      <c r="AB39" s="10"/>
      <c r="AC39" s="10"/>
      <c r="AD39" s="10"/>
      <c r="AE39" s="10"/>
      <c r="AF39" s="10"/>
      <c r="AG39" s="10"/>
      <c r="AH39" s="10"/>
      <c r="AI39" s="10"/>
      <c r="AJ39" s="10"/>
      <c r="AK39" s="10"/>
      <c r="AL39" s="10"/>
      <c r="AV39" s="53">
        <f t="shared" si="87"/>
        <v>50.60300000000008</v>
      </c>
      <c r="AW39" s="53">
        <f t="shared" ref="AW39" si="136">AW37-AW38</f>
        <v>-15.601999999999993</v>
      </c>
      <c r="AX39" s="53">
        <f t="shared" ref="AX39" si="137">AX37-AX38</f>
        <v>5.2839999999999261</v>
      </c>
      <c r="AY39" s="53">
        <f t="shared" ref="AY39" si="138">AY37-AY38</f>
        <v>-2.0020000000000633</v>
      </c>
      <c r="AZ39" s="53">
        <f t="shared" ref="AZ39" si="139">AZ37-AZ38</f>
        <v>91.010000000000076</v>
      </c>
      <c r="BA39" s="53">
        <f t="shared" ref="BA39" si="140">BA37-BA38</f>
        <v>13.989999999999984</v>
      </c>
      <c r="BB39" s="60">
        <f>BB37-BB38</f>
        <v>149.1824742500001</v>
      </c>
      <c r="BC39" s="60">
        <f t="shared" ref="BB39:BG39" si="141">BC37-BC38</f>
        <v>227.11148996114986</v>
      </c>
      <c r="BD39" s="60">
        <f t="shared" si="141"/>
        <v>294.02412955763822</v>
      </c>
      <c r="BE39" s="60">
        <f t="shared" si="141"/>
        <v>369.88676267353981</v>
      </c>
      <c r="BF39" s="60">
        <f t="shared" si="141"/>
        <v>438.22322146917247</v>
      </c>
      <c r="BG39" s="60">
        <f t="shared" si="141"/>
        <v>501.72380933838872</v>
      </c>
      <c r="BH39" s="60">
        <f t="shared" ref="BH39:BK39" si="142">BH37-BH38</f>
        <v>561.23985617916344</v>
      </c>
      <c r="BI39" s="60">
        <f t="shared" si="142"/>
        <v>618.37845215511379</v>
      </c>
      <c r="BJ39" s="60">
        <f t="shared" si="142"/>
        <v>678.38452578477393</v>
      </c>
      <c r="BK39" s="60">
        <f t="shared" si="142"/>
        <v>727.8719824244705</v>
      </c>
      <c r="BL39" s="60">
        <f t="shared" ref="BI39:CP39" si="143">BK39*(1+$BD$52)</f>
        <v>753.3475018093269</v>
      </c>
      <c r="BM39" s="60">
        <f t="shared" si="143"/>
        <v>779.71466437265326</v>
      </c>
      <c r="BN39" s="60">
        <f t="shared" si="143"/>
        <v>807.0046776256961</v>
      </c>
      <c r="BO39" s="60">
        <f t="shared" si="143"/>
        <v>835.24984134259546</v>
      </c>
      <c r="BP39" s="60">
        <f t="shared" si="143"/>
        <v>864.48358578958619</v>
      </c>
      <c r="BQ39" s="60">
        <f t="shared" si="143"/>
        <v>894.74051129222164</v>
      </c>
      <c r="BR39" s="60">
        <f t="shared" si="143"/>
        <v>926.05642918744934</v>
      </c>
      <c r="BS39" s="60">
        <f t="shared" si="143"/>
        <v>958.46840420901003</v>
      </c>
      <c r="BT39" s="60">
        <f t="shared" si="143"/>
        <v>992.01479835632529</v>
      </c>
      <c r="BU39" s="60">
        <f t="shared" si="143"/>
        <v>1026.7353162987965</v>
      </c>
      <c r="BV39" s="60">
        <f t="shared" si="143"/>
        <v>1062.6710523692543</v>
      </c>
      <c r="BW39" s="60">
        <f t="shared" si="143"/>
        <v>1099.8645392021781</v>
      </c>
      <c r="BX39" s="60">
        <f t="shared" si="143"/>
        <v>1138.3597980742543</v>
      </c>
      <c r="BY39" s="60">
        <f t="shared" si="143"/>
        <v>1178.2023910068531</v>
      </c>
      <c r="BZ39" s="60">
        <f t="shared" si="143"/>
        <v>1219.4394746920927</v>
      </c>
      <c r="CA39" s="60">
        <f t="shared" si="143"/>
        <v>1262.1198563063158</v>
      </c>
      <c r="CB39" s="60">
        <f t="shared" si="143"/>
        <v>1306.2940512770367</v>
      </c>
      <c r="CC39" s="60">
        <f t="shared" si="143"/>
        <v>1352.0143430717328</v>
      </c>
      <c r="CD39" s="60">
        <f t="shared" si="143"/>
        <v>1399.3348450792435</v>
      </c>
      <c r="CE39" s="60">
        <f t="shared" si="143"/>
        <v>1448.3115646570168</v>
      </c>
      <c r="CF39" s="60">
        <f t="shared" si="143"/>
        <v>1499.0024694200122</v>
      </c>
      <c r="CG39" s="60">
        <f t="shared" si="143"/>
        <v>1551.4675558497124</v>
      </c>
      <c r="CH39" s="60">
        <f t="shared" si="143"/>
        <v>1605.7689203044522</v>
      </c>
      <c r="CI39" s="60">
        <f t="shared" si="143"/>
        <v>1661.970832515108</v>
      </c>
      <c r="CJ39" s="60">
        <f t="shared" si="143"/>
        <v>1720.1398116531366</v>
      </c>
      <c r="CK39" s="60">
        <f t="shared" si="143"/>
        <v>1780.3447050609961</v>
      </c>
      <c r="CL39" s="60">
        <f t="shared" si="143"/>
        <v>1842.6567697381308</v>
      </c>
      <c r="CM39" s="60">
        <f t="shared" si="143"/>
        <v>1907.1497566789653</v>
      </c>
      <c r="CN39" s="60">
        <f t="shared" si="143"/>
        <v>1973.8999981627289</v>
      </c>
      <c r="CO39" s="60">
        <f t="shared" si="143"/>
        <v>2042.9864980984244</v>
      </c>
      <c r="CP39" s="60">
        <f t="shared" si="143"/>
        <v>2114.4910255318691</v>
      </c>
    </row>
    <row r="40" spans="2:94">
      <c r="B40" s="2" t="s">
        <v>331</v>
      </c>
      <c r="C40" s="46">
        <v>34.506999999999998</v>
      </c>
      <c r="D40" s="46">
        <v>35</v>
      </c>
      <c r="E40" s="46">
        <v>35</v>
      </c>
      <c r="F40" s="46">
        <v>35</v>
      </c>
      <c r="G40" s="46">
        <v>35</v>
      </c>
      <c r="H40" s="46">
        <v>35.4</v>
      </c>
      <c r="I40" s="46">
        <v>36.207000000000001</v>
      </c>
      <c r="J40" s="46">
        <v>37.651000000000003</v>
      </c>
      <c r="K40" s="46">
        <v>36.454999999999998</v>
      </c>
      <c r="L40" s="46">
        <v>36.523000000000003</v>
      </c>
      <c r="M40" s="46">
        <v>36.616999999999997</v>
      </c>
      <c r="N40" s="46">
        <v>36.700000000000003</v>
      </c>
      <c r="O40" s="46">
        <v>37.646000000000001</v>
      </c>
      <c r="P40" s="46">
        <v>37.767000000000003</v>
      </c>
      <c r="Q40" s="46">
        <v>37.917999999999999</v>
      </c>
      <c r="R40" s="46">
        <v>37.841000000000001</v>
      </c>
      <c r="S40" s="46">
        <v>39.07</v>
      </c>
      <c r="T40" s="46">
        <v>38.15</v>
      </c>
      <c r="U40" s="46">
        <v>38.956000000000003</v>
      </c>
      <c r="V40" s="46">
        <v>38.4</v>
      </c>
      <c r="W40" s="46">
        <v>39.299999999999997</v>
      </c>
      <c r="X40" s="46">
        <v>38.799999999999997</v>
      </c>
      <c r="Y40" s="46">
        <v>38.6</v>
      </c>
      <c r="Z40" s="46">
        <v>38.630000000000003</v>
      </c>
      <c r="AV40" s="46">
        <f>F40</f>
        <v>35</v>
      </c>
      <c r="AW40" s="46">
        <f>J40</f>
        <v>37.651000000000003</v>
      </c>
      <c r="AX40" s="46">
        <f>N40</f>
        <v>36.700000000000003</v>
      </c>
      <c r="AY40" s="46">
        <f>R40</f>
        <v>37.841000000000001</v>
      </c>
      <c r="AZ40" s="46">
        <f>V40</f>
        <v>38.4</v>
      </c>
      <c r="BA40" s="46">
        <f>Z40</f>
        <v>38.630000000000003</v>
      </c>
      <c r="BB40" s="59">
        <f>$BA$40</f>
        <v>38.630000000000003</v>
      </c>
      <c r="BC40" s="59">
        <f t="shared" ref="BC40:BK40" si="144">$BA$40</f>
        <v>38.630000000000003</v>
      </c>
      <c r="BD40" s="59">
        <f t="shared" si="144"/>
        <v>38.630000000000003</v>
      </c>
      <c r="BE40" s="59">
        <f t="shared" si="144"/>
        <v>38.630000000000003</v>
      </c>
      <c r="BF40" s="59">
        <f t="shared" si="144"/>
        <v>38.630000000000003</v>
      </c>
      <c r="BG40" s="59">
        <f t="shared" si="144"/>
        <v>38.630000000000003</v>
      </c>
      <c r="BH40" s="59">
        <f t="shared" si="144"/>
        <v>38.630000000000003</v>
      </c>
      <c r="BI40" s="59">
        <f t="shared" si="144"/>
        <v>38.630000000000003</v>
      </c>
      <c r="BJ40" s="59">
        <f t="shared" si="144"/>
        <v>38.630000000000003</v>
      </c>
      <c r="BK40" s="59">
        <f t="shared" si="144"/>
        <v>38.630000000000003</v>
      </c>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row>
    <row r="41" spans="2:94">
      <c r="B41" s="2" t="s">
        <v>332</v>
      </c>
      <c r="C41" s="49">
        <f>C39/C40</f>
        <v>0.31002405309067727</v>
      </c>
      <c r="D41" s="49">
        <f>D39/D40</f>
        <v>0.44814285714285684</v>
      </c>
      <c r="E41" s="49">
        <f>E39/E40</f>
        <v>0.10622857142857176</v>
      </c>
      <c r="F41" s="49">
        <f>F39/F40</f>
        <v>0.58577142857143083</v>
      </c>
      <c r="G41" s="49">
        <f>G39/G40</f>
        <v>4.3314285714286097E-2</v>
      </c>
      <c r="H41" s="49">
        <f t="shared" ref="H41:Y41" si="145">H39/H40</f>
        <v>-0.33728813559322079</v>
      </c>
      <c r="I41" s="49">
        <f t="shared" si="145"/>
        <v>-0.24395835059518883</v>
      </c>
      <c r="J41" s="49">
        <f t="shared" si="145"/>
        <v>9.70757748798175E-2</v>
      </c>
      <c r="K41" s="49">
        <f t="shared" si="145"/>
        <v>0.32456453161431909</v>
      </c>
      <c r="L41" s="49">
        <f t="shared" si="145"/>
        <v>0.25340196588451169</v>
      </c>
      <c r="M41" s="49">
        <f t="shared" si="145"/>
        <v>0.24147254007701291</v>
      </c>
      <c r="N41" s="49">
        <f t="shared" si="145"/>
        <v>-0.67207084468665068</v>
      </c>
      <c r="O41" s="49">
        <f t="shared" si="145"/>
        <v>1.9125537905752908E-3</v>
      </c>
      <c r="P41" s="49">
        <f t="shared" si="145"/>
        <v>-9.7015913363518586E-2</v>
      </c>
      <c r="Q41" s="49">
        <f t="shared" si="145"/>
        <v>-6.01297536789916E-2</v>
      </c>
      <c r="R41" s="49">
        <f t="shared" si="145"/>
        <v>0.10227002457651618</v>
      </c>
      <c r="S41" s="49">
        <f t="shared" si="145"/>
        <v>0.22022011773739544</v>
      </c>
      <c r="T41" s="49">
        <f t="shared" si="145"/>
        <v>0.50065530799475755</v>
      </c>
      <c r="U41" s="49">
        <f t="shared" si="145"/>
        <v>0.23642057706129974</v>
      </c>
      <c r="V41" s="49">
        <f t="shared" si="145"/>
        <v>1.4087500000000008</v>
      </c>
      <c r="W41" s="49">
        <f t="shared" si="145"/>
        <v>0.2824427480916028</v>
      </c>
      <c r="X41" s="49">
        <f t="shared" si="145"/>
        <v>-1.5515463917525785</v>
      </c>
      <c r="Y41" s="49">
        <f t="shared" si="145"/>
        <v>0.76424870466321326</v>
      </c>
      <c r="Z41" s="49">
        <f>Z39/Z40</f>
        <v>0.86953145223919237</v>
      </c>
      <c r="AA41" s="56">
        <v>0.67</v>
      </c>
      <c r="AB41" s="56">
        <v>0.84</v>
      </c>
      <c r="AC41" s="56">
        <v>0.99</v>
      </c>
      <c r="AD41" s="56">
        <v>1.1599999999999999</v>
      </c>
      <c r="AE41" s="56">
        <v>1.01</v>
      </c>
      <c r="AF41" s="56">
        <v>1.1599999999999999</v>
      </c>
      <c r="AG41" s="56">
        <v>1.29</v>
      </c>
      <c r="AH41" s="56">
        <v>1.47</v>
      </c>
      <c r="AI41" s="56">
        <v>1.24</v>
      </c>
      <c r="AV41" s="49">
        <f t="shared" si="87"/>
        <v>1.4501669102335368</v>
      </c>
      <c r="AW41" s="49">
        <f t="shared" si="68"/>
        <v>-0.4408564255943061</v>
      </c>
      <c r="AX41" s="49">
        <f t="shared" si="76"/>
        <v>0.14736819288919301</v>
      </c>
      <c r="AY41" s="49">
        <f t="shared" si="77"/>
        <v>-5.2963088675418712E-2</v>
      </c>
      <c r="AZ41" s="49">
        <f t="shared" si="47"/>
        <v>2.3660460027934533</v>
      </c>
      <c r="BA41" s="49">
        <f t="shared" si="69"/>
        <v>0.36467651324142991</v>
      </c>
      <c r="BB41" s="62">
        <f t="shared" ref="BB41:BG41" si="146">BB39/BB40</f>
        <v>3.8618295172146024</v>
      </c>
      <c r="BC41" s="62">
        <f t="shared" si="146"/>
        <v>5.8791480704413628</v>
      </c>
      <c r="BD41" s="62">
        <f t="shared" si="146"/>
        <v>7.6112899186548848</v>
      </c>
      <c r="BE41" s="62">
        <f t="shared" si="146"/>
        <v>9.5751168178498514</v>
      </c>
      <c r="BF41" s="62">
        <f t="shared" si="146"/>
        <v>11.34411652780669</v>
      </c>
      <c r="BG41" s="62">
        <f t="shared" si="146"/>
        <v>12.987931901071413</v>
      </c>
      <c r="BH41" s="62">
        <f t="shared" ref="BH41:BK41" si="147">BH39/BH40</f>
        <v>14.528600988329366</v>
      </c>
      <c r="BI41" s="62">
        <f t="shared" si="147"/>
        <v>16.007725916518606</v>
      </c>
      <c r="BJ41" s="62">
        <f t="shared" si="147"/>
        <v>17.561080139393578</v>
      </c>
      <c r="BK41" s="62">
        <f t="shared" si="147"/>
        <v>18.842142956885077</v>
      </c>
    </row>
    <row r="42" spans="2:94">
      <c r="I42" s="46"/>
      <c r="J42" s="49"/>
      <c r="N42" s="49"/>
      <c r="R42" s="49"/>
      <c r="V42" s="49"/>
      <c r="Z42" s="49"/>
    </row>
    <row r="43" spans="2:94">
      <c r="B43" s="2" t="s">
        <v>609</v>
      </c>
      <c r="C43" s="48">
        <f t="shared" ref="C43:Z43" si="148">C28/C26</f>
        <v>0.65330623875925542</v>
      </c>
      <c r="D43" s="48">
        <f t="shared" si="148"/>
        <v>0.69990536583184926</v>
      </c>
      <c r="E43" s="48">
        <f t="shared" si="148"/>
        <v>0.64660004874482091</v>
      </c>
      <c r="F43" s="48">
        <f t="shared" si="148"/>
        <v>0.71845161467978347</v>
      </c>
      <c r="G43" s="48">
        <f t="shared" si="148"/>
        <v>0.64093226511289147</v>
      </c>
      <c r="H43" s="48">
        <f t="shared" si="148"/>
        <v>0.61750713606089436</v>
      </c>
      <c r="I43" s="48">
        <f t="shared" si="148"/>
        <v>0.60189940436796829</v>
      </c>
      <c r="J43" s="48">
        <f t="shared" si="148"/>
        <v>0.56513611963190191</v>
      </c>
      <c r="K43" s="48">
        <f t="shared" si="148"/>
        <v>0.65799645390070927</v>
      </c>
      <c r="L43" s="48">
        <f t="shared" si="148"/>
        <v>0.64405860010851879</v>
      </c>
      <c r="M43" s="48">
        <f t="shared" si="148"/>
        <v>0.6307206733298264</v>
      </c>
      <c r="N43" s="48">
        <f t="shared" si="148"/>
        <v>0.61497622432472154</v>
      </c>
      <c r="O43" s="48">
        <f t="shared" si="148"/>
        <v>0.62481608631682195</v>
      </c>
      <c r="P43" s="48">
        <f t="shared" si="148"/>
        <v>0.64330292846855497</v>
      </c>
      <c r="Q43" s="48">
        <f t="shared" si="148"/>
        <v>0.63313055685540476</v>
      </c>
      <c r="R43" s="48">
        <f t="shared" si="148"/>
        <v>0.6260684436770283</v>
      </c>
      <c r="S43" s="48">
        <f t="shared" si="148"/>
        <v>0.62593206296603154</v>
      </c>
      <c r="T43" s="48">
        <f t="shared" si="148"/>
        <v>0.63824091778202674</v>
      </c>
      <c r="U43" s="48">
        <f t="shared" si="148"/>
        <v>0.65596160944998161</v>
      </c>
      <c r="V43" s="48">
        <f t="shared" si="148"/>
        <v>0.65650463613374543</v>
      </c>
      <c r="W43" s="48">
        <f t="shared" si="148"/>
        <v>0.65016146393972007</v>
      </c>
      <c r="X43" s="48">
        <f t="shared" si="148"/>
        <v>0.54375417501670009</v>
      </c>
      <c r="Y43" s="48">
        <f t="shared" si="148"/>
        <v>0.6654485049833887</v>
      </c>
      <c r="Z43" s="48">
        <f t="shared" si="148"/>
        <v>0.66782884310618063</v>
      </c>
      <c r="AV43" s="48">
        <f t="shared" ref="AV43:BA43" si="149">AV28/AV26</f>
        <v>0.68030865742423796</v>
      </c>
      <c r="AW43" s="48">
        <f t="shared" si="149"/>
        <v>0.60343996916554254</v>
      </c>
      <c r="AX43" s="48">
        <f t="shared" si="149"/>
        <v>0.63588598028331023</v>
      </c>
      <c r="AY43" s="48">
        <f t="shared" si="149"/>
        <v>0.6317862720493711</v>
      </c>
      <c r="AZ43" s="48">
        <f t="shared" si="149"/>
        <v>0.64488153270604243</v>
      </c>
      <c r="BA43" s="48">
        <f t="shared" si="149"/>
        <v>0.63201071488364313</v>
      </c>
      <c r="BB43" s="58">
        <v>0.66500000000000004</v>
      </c>
      <c r="BC43" s="58">
        <v>0.7</v>
      </c>
      <c r="BD43" s="58">
        <v>0.70399999999999996</v>
      </c>
      <c r="BE43" s="58">
        <v>0.70799999999999996</v>
      </c>
      <c r="BF43" s="58">
        <v>0.71199999999999997</v>
      </c>
      <c r="BG43" s="58">
        <v>0.71599999999999997</v>
      </c>
      <c r="BH43" s="58">
        <v>0.72</v>
      </c>
      <c r="BI43" s="58">
        <v>0.72</v>
      </c>
      <c r="BJ43" s="58">
        <v>0.72</v>
      </c>
      <c r="BK43" s="58">
        <v>0.72</v>
      </c>
    </row>
    <row r="44" spans="2:94">
      <c r="B44" s="2" t="s">
        <v>612</v>
      </c>
      <c r="C44" s="48">
        <f t="shared" ref="C44:Z44" si="150">C29/C26</f>
        <v>9.0836895335528925E-2</v>
      </c>
      <c r="D44" s="48">
        <f t="shared" si="150"/>
        <v>0.10031221823980448</v>
      </c>
      <c r="E44" s="48">
        <f t="shared" si="150"/>
        <v>9.2801536895528378E-2</v>
      </c>
      <c r="F44" s="48">
        <f t="shared" si="150"/>
        <v>8.2093610810885217E-2</v>
      </c>
      <c r="G44" s="48">
        <f t="shared" si="150"/>
        <v>9.4289876183539678E-2</v>
      </c>
      <c r="H44" s="48">
        <f t="shared" si="150"/>
        <v>0.21622264509990488</v>
      </c>
      <c r="I44" s="48">
        <f t="shared" si="150"/>
        <v>0.23112508272667109</v>
      </c>
      <c r="J44" s="48">
        <f t="shared" si="150"/>
        <v>0.11655842599693257</v>
      </c>
      <c r="K44" s="48">
        <f t="shared" si="150"/>
        <v>0.10683215130023642</v>
      </c>
      <c r="L44" s="48">
        <f t="shared" si="150"/>
        <v>9.624525230602278E-2</v>
      </c>
      <c r="M44" s="48">
        <f t="shared" si="150"/>
        <v>8.8006312467122566E-2</v>
      </c>
      <c r="N44" s="48">
        <f t="shared" si="150"/>
        <v>0.25495367419971571</v>
      </c>
      <c r="O44" s="48">
        <f t="shared" si="150"/>
        <v>0.10083374203040706</v>
      </c>
      <c r="P44" s="48">
        <f t="shared" si="150"/>
        <v>9.3898223715794524E-2</v>
      </c>
      <c r="Q44" s="48">
        <f t="shared" si="150"/>
        <v>9.9766027140851671E-2</v>
      </c>
      <c r="R44" s="48">
        <f t="shared" si="150"/>
        <v>8.1217539878770353E-2</v>
      </c>
      <c r="S44" s="48">
        <f t="shared" si="150"/>
        <v>8.2767191383595687E-2</v>
      </c>
      <c r="T44" s="48">
        <f t="shared" si="150"/>
        <v>8.2217973231357558E-2</v>
      </c>
      <c r="U44" s="48">
        <f t="shared" si="150"/>
        <v>7.7519379844961253E-2</v>
      </c>
      <c r="V44" s="48">
        <f t="shared" si="150"/>
        <v>7.6987917954481594E-2</v>
      </c>
      <c r="W44" s="48">
        <f t="shared" si="150"/>
        <v>8.8266953713670618E-2</v>
      </c>
      <c r="X44" s="48">
        <f t="shared" si="150"/>
        <v>8.3166332665330661E-2</v>
      </c>
      <c r="Y44" s="48">
        <f t="shared" si="150"/>
        <v>8.3720930232558138E-2</v>
      </c>
      <c r="Z44" s="48">
        <f t="shared" si="150"/>
        <v>6.3708399366085564E-2</v>
      </c>
      <c r="AV44" s="48">
        <f t="shared" ref="AV44:BA44" si="151">AV29/AV26</f>
        <v>9.1340383593074934E-2</v>
      </c>
      <c r="AW44" s="48">
        <f t="shared" si="151"/>
        <v>0.16068356851744789</v>
      </c>
      <c r="AX44" s="48">
        <f t="shared" si="151"/>
        <v>0.13985205794620045</v>
      </c>
      <c r="AY44" s="48">
        <f t="shared" si="151"/>
        <v>9.3736166575968588E-2</v>
      </c>
      <c r="AZ44" s="48">
        <f t="shared" si="151"/>
        <v>7.9733968181989953E-2</v>
      </c>
      <c r="BA44" s="48">
        <f t="shared" si="151"/>
        <v>7.9357106981416375E-2</v>
      </c>
      <c r="BB44" s="58">
        <v>0.08</v>
      </c>
      <c r="BC44" s="58">
        <v>0.09</v>
      </c>
      <c r="BD44" s="58">
        <v>0.09</v>
      </c>
      <c r="BE44" s="58">
        <v>8.5000000000000006E-2</v>
      </c>
      <c r="BF44" s="58">
        <v>0.08</v>
      </c>
      <c r="BG44" s="58">
        <v>8.5000000000000006E-2</v>
      </c>
      <c r="BH44" s="58">
        <v>8.7499999999999994E-2</v>
      </c>
      <c r="BI44" s="58">
        <v>0.09</v>
      </c>
      <c r="BJ44" s="58">
        <v>0.09</v>
      </c>
      <c r="BK44" s="58">
        <v>0.09</v>
      </c>
    </row>
    <row r="45" spans="2:94">
      <c r="B45" s="2" t="s">
        <v>627</v>
      </c>
      <c r="C45" s="48">
        <f t="shared" ref="C45:Z45" si="152">C30/C26</f>
        <v>0.47564213361985069</v>
      </c>
      <c r="D45" s="48">
        <f t="shared" si="152"/>
        <v>0.50420637700166171</v>
      </c>
      <c r="E45" s="48">
        <f t="shared" si="152"/>
        <v>0.53370560995541283</v>
      </c>
      <c r="F45" s="48">
        <f t="shared" si="152"/>
        <v>0.52864154866068636</v>
      </c>
      <c r="G45" s="48">
        <f t="shared" si="152"/>
        <v>0.5422651128914785</v>
      </c>
      <c r="H45" s="48">
        <f t="shared" si="152"/>
        <v>0.56898192197906761</v>
      </c>
      <c r="I45" s="48">
        <f t="shared" si="152"/>
        <v>0.50430178689609539</v>
      </c>
      <c r="J45" s="48">
        <f t="shared" si="152"/>
        <v>0.45901433090490795</v>
      </c>
      <c r="K45" s="48">
        <f t="shared" si="152"/>
        <v>0.47161938534278963</v>
      </c>
      <c r="L45" s="48">
        <f t="shared" si="152"/>
        <v>0.49175257731958755</v>
      </c>
      <c r="M45" s="48">
        <f t="shared" si="152"/>
        <v>0.49656496580746978</v>
      </c>
      <c r="N45" s="48">
        <f t="shared" si="152"/>
        <v>0.55642923672729072</v>
      </c>
      <c r="O45" s="48">
        <f t="shared" si="152"/>
        <v>0.54389406571848942</v>
      </c>
      <c r="P45" s="48">
        <f t="shared" si="152"/>
        <v>0.55024003840614488</v>
      </c>
      <c r="Q45" s="48">
        <f t="shared" si="152"/>
        <v>0.5080486663547028</v>
      </c>
      <c r="R45" s="48">
        <f t="shared" si="152"/>
        <v>0.52267518860206241</v>
      </c>
      <c r="S45" s="48">
        <f t="shared" si="152"/>
        <v>0.50981772990886487</v>
      </c>
      <c r="T45" s="48">
        <f t="shared" si="152"/>
        <v>0.48718929254302107</v>
      </c>
      <c r="U45" s="48">
        <f t="shared" si="152"/>
        <v>0.46474713916574389</v>
      </c>
      <c r="V45" s="48">
        <f t="shared" si="152"/>
        <v>0.45669429615060397</v>
      </c>
      <c r="W45" s="48">
        <f t="shared" si="152"/>
        <v>0.51811984212414786</v>
      </c>
      <c r="X45" s="48">
        <f t="shared" si="152"/>
        <v>0.4739478957915832</v>
      </c>
      <c r="Y45" s="48">
        <f t="shared" si="152"/>
        <v>0.46411960132890362</v>
      </c>
      <c r="Z45" s="48">
        <f t="shared" si="152"/>
        <v>0.46909667194928684</v>
      </c>
      <c r="AV45" s="48">
        <f t="shared" ref="AV45:BA45" si="153">AV30/AV26</f>
        <v>0.51150614812121964</v>
      </c>
      <c r="AW45" s="48">
        <f t="shared" si="153"/>
        <v>0.51224456292870235</v>
      </c>
      <c r="AX45" s="48">
        <f t="shared" si="153"/>
        <v>0.50606749689000652</v>
      </c>
      <c r="AY45" s="48">
        <f t="shared" si="153"/>
        <v>0.53087059529023184</v>
      </c>
      <c r="AZ45" s="48">
        <f t="shared" si="153"/>
        <v>0.47840380909193969</v>
      </c>
      <c r="BA45" s="48">
        <f t="shared" si="153"/>
        <v>0.48049556336849158</v>
      </c>
      <c r="BB45" s="58">
        <v>0.45</v>
      </c>
      <c r="BC45" s="58">
        <v>0.43</v>
      </c>
      <c r="BD45" s="58">
        <v>0.41</v>
      </c>
      <c r="BE45" s="58">
        <v>0.4</v>
      </c>
      <c r="BF45" s="58">
        <v>0.4</v>
      </c>
      <c r="BG45" s="58">
        <v>0.39500000000000002</v>
      </c>
      <c r="BH45" s="58">
        <v>0.39500000000000002</v>
      </c>
      <c r="BI45" s="58">
        <v>0.39500000000000002</v>
      </c>
      <c r="BJ45" s="58">
        <v>0.39500000000000002</v>
      </c>
      <c r="BK45" s="58">
        <v>0.39500000000000002</v>
      </c>
    </row>
    <row r="46" spans="2:94">
      <c r="B46" s="2" t="s">
        <v>610</v>
      </c>
      <c r="C46" s="48">
        <f t="shared" ref="C46:Z46" si="154">C33/C26</f>
        <v>8.6827209803875788E-2</v>
      </c>
      <c r="D46" s="48">
        <f t="shared" si="154"/>
        <v>9.5386770590383002E-2</v>
      </c>
      <c r="E46" s="48">
        <f t="shared" si="154"/>
        <v>2.0092901893879737E-2</v>
      </c>
      <c r="F46" s="48">
        <f t="shared" si="154"/>
        <v>0.10771645520821189</v>
      </c>
      <c r="G46" s="48">
        <f t="shared" si="154"/>
        <v>4.377276037873367E-3</v>
      </c>
      <c r="H46" s="48">
        <f t="shared" si="154"/>
        <v>-0.16769743101807816</v>
      </c>
      <c r="I46" s="48">
        <f t="shared" si="154"/>
        <v>-0.13352746525479817</v>
      </c>
      <c r="J46" s="48">
        <f t="shared" si="154"/>
        <v>-1.0436637269938589E-2</v>
      </c>
      <c r="K46" s="48">
        <f t="shared" si="154"/>
        <v>7.9544917257683243E-2</v>
      </c>
      <c r="L46" s="48">
        <f t="shared" si="154"/>
        <v>5.6060770482908417E-2</v>
      </c>
      <c r="M46" s="48">
        <f t="shared" si="154"/>
        <v>4.6149395055233994E-2</v>
      </c>
      <c r="N46" s="48">
        <f t="shared" si="154"/>
        <v>-0.19640668660228483</v>
      </c>
      <c r="O46" s="48">
        <f t="shared" si="154"/>
        <v>-1.9911721432074557E-2</v>
      </c>
      <c r="P46" s="48">
        <f t="shared" si="154"/>
        <v>-8.3533365338457318E-4</v>
      </c>
      <c r="Q46" s="48">
        <f t="shared" si="154"/>
        <v>2.5315863359850244E-2</v>
      </c>
      <c r="R46" s="48">
        <f t="shared" si="154"/>
        <v>2.2175715196195642E-2</v>
      </c>
      <c r="S46" s="48">
        <f t="shared" si="154"/>
        <v>3.3347141673571001E-2</v>
      </c>
      <c r="T46" s="48">
        <f t="shared" si="154"/>
        <v>6.8833652007648183E-2</v>
      </c>
      <c r="U46" s="48">
        <f t="shared" si="154"/>
        <v>4.651162790697673E-2</v>
      </c>
      <c r="V46" s="48">
        <f t="shared" si="154"/>
        <v>0.12282242202865983</v>
      </c>
      <c r="W46" s="48">
        <f t="shared" si="154"/>
        <v>4.377466810190165E-2</v>
      </c>
      <c r="X46" s="48">
        <f t="shared" si="154"/>
        <v>-0.27020708082832345</v>
      </c>
      <c r="Y46" s="48">
        <f t="shared" si="154"/>
        <v>0.11760797342192703</v>
      </c>
      <c r="Z46" s="48">
        <f t="shared" si="154"/>
        <v>0.13489698890649762</v>
      </c>
      <c r="AV46" s="48">
        <f t="shared" ref="AV46:BG46" si="155">AV33/AV26</f>
        <v>7.7462125709943264E-2</v>
      </c>
      <c r="AW46" s="48">
        <f t="shared" si="155"/>
        <v>-6.9488162280607821E-2</v>
      </c>
      <c r="AX46" s="48">
        <f t="shared" si="155"/>
        <v>-1.0033574552896742E-2</v>
      </c>
      <c r="AY46" s="48">
        <f t="shared" si="155"/>
        <v>7.1795101831706905E-3</v>
      </c>
      <c r="AZ46" s="48">
        <f t="shared" si="155"/>
        <v>6.9549937648792706E-2</v>
      </c>
      <c r="BA46" s="48">
        <f t="shared" si="155"/>
        <v>7.7515486355265294E-3</v>
      </c>
      <c r="BB46" s="58">
        <f t="shared" si="155"/>
        <v>0.13500000000000009</v>
      </c>
      <c r="BC46" s="58">
        <f t="shared" si="155"/>
        <v>0.17999999999999991</v>
      </c>
      <c r="BD46" s="58">
        <f t="shared" si="155"/>
        <v>0.20400000000000007</v>
      </c>
      <c r="BE46" s="58">
        <f t="shared" si="155"/>
        <v>0.22299999999999995</v>
      </c>
      <c r="BF46" s="58">
        <f t="shared" si="155"/>
        <v>0.2319999999999999</v>
      </c>
      <c r="BG46" s="58">
        <f t="shared" si="155"/>
        <v>0.23599999999999999</v>
      </c>
      <c r="BH46" s="58">
        <f t="shared" ref="BH46:BK46" si="156">BH33/BH26</f>
        <v>0.23749999999999993</v>
      </c>
      <c r="BI46" s="58">
        <f t="shared" si="156"/>
        <v>0.23499999999999988</v>
      </c>
      <c r="BJ46" s="58">
        <f t="shared" si="156"/>
        <v>0.23500000000000001</v>
      </c>
      <c r="BK46" s="58">
        <f t="shared" si="156"/>
        <v>0.23499999999999993</v>
      </c>
    </row>
    <row r="47" spans="2:94">
      <c r="B47" s="2" t="s">
        <v>611</v>
      </c>
      <c r="C47" s="48">
        <f t="shared" ref="C47:Z47" si="157">C39/C26</f>
        <v>8.3292457898301919E-2</v>
      </c>
      <c r="D47" s="48">
        <f t="shared" si="157"/>
        <v>0.11687692342083882</v>
      </c>
      <c r="E47" s="48">
        <f t="shared" si="157"/>
        <v>2.665194764232779E-2</v>
      </c>
      <c r="F47" s="48">
        <f t="shared" si="157"/>
        <v>0.14113905315260167</v>
      </c>
      <c r="G47" s="48">
        <f t="shared" si="157"/>
        <v>1.1041514930808545E-2</v>
      </c>
      <c r="H47" s="48">
        <f t="shared" si="157"/>
        <v>-0.11360608943863003</v>
      </c>
      <c r="I47" s="48">
        <f t="shared" si="157"/>
        <v>-5.8457974851092005E-2</v>
      </c>
      <c r="J47" s="48">
        <f t="shared" si="157"/>
        <v>2.1897766487730112E-2</v>
      </c>
      <c r="K47" s="48">
        <f t="shared" si="157"/>
        <v>6.9929078014184423E-2</v>
      </c>
      <c r="L47" s="48">
        <f t="shared" si="157"/>
        <v>5.0217037438958334E-2</v>
      </c>
      <c r="M47" s="48">
        <f t="shared" si="157"/>
        <v>4.6512361914781593E-2</v>
      </c>
      <c r="N47" s="48">
        <f t="shared" si="157"/>
        <v>-0.12091278984263974</v>
      </c>
      <c r="O47" s="48">
        <f t="shared" si="157"/>
        <v>3.5311427170180187E-4</v>
      </c>
      <c r="P47" s="48">
        <f t="shared" si="157"/>
        <v>-1.7590014402304399E-2</v>
      </c>
      <c r="Q47" s="48">
        <f t="shared" si="157"/>
        <v>-1.0669162377164264E-2</v>
      </c>
      <c r="R47" s="48">
        <f t="shared" si="157"/>
        <v>1.7492869508617385E-2</v>
      </c>
      <c r="S47" s="48">
        <f t="shared" si="157"/>
        <v>3.5642087821044076E-2</v>
      </c>
      <c r="T47" s="48">
        <f t="shared" si="157"/>
        <v>7.304015296367114E-2</v>
      </c>
      <c r="U47" s="48">
        <f t="shared" si="157"/>
        <v>3.399778516057584E-2</v>
      </c>
      <c r="V47" s="48">
        <f t="shared" si="157"/>
        <v>0.18999719022197256</v>
      </c>
      <c r="W47" s="48">
        <f t="shared" si="157"/>
        <v>3.9827771797631827E-2</v>
      </c>
      <c r="X47" s="48">
        <f t="shared" si="157"/>
        <v>-0.20106880427521726</v>
      </c>
      <c r="Y47" s="48">
        <f t="shared" si="157"/>
        <v>9.8006644518272526E-2</v>
      </c>
      <c r="Z47" s="48">
        <f t="shared" si="157"/>
        <v>0.10646592709984153</v>
      </c>
      <c r="AV47" s="48">
        <f t="shared" ref="AV47:BG47" si="158">AV39/AV26</f>
        <v>9.244194861920757E-2</v>
      </c>
      <c r="AW47" s="48">
        <f t="shared" si="158"/>
        <v>-2.7840231829439756E-2</v>
      </c>
      <c r="AX47" s="48">
        <f t="shared" si="158"/>
        <v>7.0680453189581535E-3</v>
      </c>
      <c r="AY47" s="48">
        <f t="shared" si="158"/>
        <v>-2.3632652723953184E-3</v>
      </c>
      <c r="AZ47" s="48">
        <f t="shared" si="158"/>
        <v>8.5978536069228811E-2</v>
      </c>
      <c r="BA47" s="48">
        <f t="shared" si="158"/>
        <v>1.1711032981751201E-2</v>
      </c>
      <c r="BB47" s="58">
        <f>BB39/BB26</f>
        <v>0.11044458743138054</v>
      </c>
      <c r="BC47" s="58">
        <f t="shared" si="158"/>
        <v>0.14704465488588214</v>
      </c>
      <c r="BD47" s="58">
        <f t="shared" si="158"/>
        <v>0.16746562538852233</v>
      </c>
      <c r="BE47" s="58">
        <f t="shared" si="158"/>
        <v>0.18398766437909772</v>
      </c>
      <c r="BF47" s="58">
        <f t="shared" si="158"/>
        <v>0.19276406882845298</v>
      </c>
      <c r="BG47" s="58">
        <f t="shared" si="158"/>
        <v>0.19766198932352785</v>
      </c>
      <c r="BH47" s="58">
        <f t="shared" ref="BH47:BK47" si="159">BH39/BH26</f>
        <v>0.20064219284100929</v>
      </c>
      <c r="BI47" s="58">
        <f t="shared" si="159"/>
        <v>0.20031787027904913</v>
      </c>
      <c r="BJ47" s="58">
        <f t="shared" si="159"/>
        <v>0.2020457067487802</v>
      </c>
      <c r="BK47" s="58">
        <f t="shared" si="159"/>
        <v>0.20409106656239878</v>
      </c>
    </row>
    <row r="49" spans="2:63">
      <c r="B49" s="2" t="s">
        <v>333</v>
      </c>
      <c r="C49" s="46">
        <v>95.605999999999995</v>
      </c>
      <c r="D49" s="46">
        <v>77.260999999999996</v>
      </c>
      <c r="E49" s="46">
        <v>111.581</v>
      </c>
      <c r="F49" s="46">
        <v>72.778999999999996</v>
      </c>
      <c r="G49" s="46">
        <v>72.456000000000003</v>
      </c>
      <c r="H49" s="46">
        <v>134.381</v>
      </c>
      <c r="I49" s="2">
        <v>80.114999999999995</v>
      </c>
      <c r="J49" s="46">
        <v>69.67</v>
      </c>
      <c r="K49" s="46">
        <v>55.631999999999998</v>
      </c>
      <c r="L49" s="46">
        <v>82.277000000000001</v>
      </c>
      <c r="M49" s="2">
        <v>66.290000000000006</v>
      </c>
      <c r="N49" s="46">
        <v>59.378999999999998</v>
      </c>
      <c r="O49" s="46">
        <v>68.162999999999997</v>
      </c>
      <c r="P49" s="46">
        <v>58.234000000000002</v>
      </c>
      <c r="Q49" s="46">
        <v>54.844000000000001</v>
      </c>
      <c r="R49" s="46">
        <v>69.858000000000004</v>
      </c>
      <c r="S49" s="46">
        <v>94.688000000000002</v>
      </c>
      <c r="T49" s="46">
        <v>114.167</v>
      </c>
      <c r="U49" s="46">
        <v>100.75700000000001</v>
      </c>
      <c r="V49" s="46">
        <v>167.48599999999999</v>
      </c>
      <c r="W49" s="46">
        <v>223.114</v>
      </c>
      <c r="X49" s="46">
        <v>288.33199999999999</v>
      </c>
      <c r="Y49" s="46">
        <v>280.476</v>
      </c>
      <c r="Z49" s="46">
        <v>324.39999999999998</v>
      </c>
      <c r="AV49" s="46">
        <f>F49</f>
        <v>72.778999999999996</v>
      </c>
      <c r="AW49" s="46">
        <f>J49</f>
        <v>69.67</v>
      </c>
      <c r="AX49" s="46">
        <f>N49</f>
        <v>59.378999999999998</v>
      </c>
      <c r="AY49" s="46">
        <f>R49</f>
        <v>69.858000000000004</v>
      </c>
      <c r="AZ49" s="46">
        <f>V49</f>
        <v>167.48599999999999</v>
      </c>
      <c r="BA49" s="46">
        <f>Z49</f>
        <v>324.39999999999998</v>
      </c>
      <c r="BB49" s="59">
        <f t="shared" ref="BB49:BG49" si="160">BA49+BB39</f>
        <v>473.58247425000008</v>
      </c>
      <c r="BC49" s="59">
        <f t="shared" si="160"/>
        <v>700.69396421114993</v>
      </c>
      <c r="BD49" s="59">
        <f t="shared" si="160"/>
        <v>994.71809376878809</v>
      </c>
      <c r="BE49" s="59">
        <f t="shared" si="160"/>
        <v>1364.6048564423279</v>
      </c>
      <c r="BF49" s="59">
        <f t="shared" si="160"/>
        <v>1802.8280779115003</v>
      </c>
      <c r="BG49" s="59">
        <f t="shared" si="160"/>
        <v>2304.5518872498888</v>
      </c>
      <c r="BH49" s="59">
        <f t="shared" ref="BH49" si="161">BG49+BH39</f>
        <v>2865.7917434290521</v>
      </c>
      <c r="BI49" s="59">
        <f t="shared" ref="BI49" si="162">BH49+BI39</f>
        <v>3484.1701955841659</v>
      </c>
      <c r="BJ49" s="59">
        <f t="shared" ref="BJ49" si="163">BI49+BJ39</f>
        <v>4162.5547213689397</v>
      </c>
      <c r="BK49" s="59">
        <f t="shared" ref="BK49" si="164">BJ49+BK39</f>
        <v>4890.4267037934105</v>
      </c>
    </row>
    <row r="50" spans="2:63">
      <c r="B50" s="2" t="s">
        <v>334</v>
      </c>
      <c r="C50" s="46">
        <v>99.241</v>
      </c>
      <c r="D50" s="46">
        <v>109.996</v>
      </c>
      <c r="E50" s="46">
        <v>82.864000000000004</v>
      </c>
      <c r="F50" s="46">
        <v>116.61</v>
      </c>
      <c r="G50" s="46">
        <v>95.766000000000005</v>
      </c>
      <c r="H50" s="46">
        <v>143.91399999999999</v>
      </c>
      <c r="I50" s="2">
        <v>188.61099999999999</v>
      </c>
      <c r="J50" s="46">
        <v>195.16200000000001</v>
      </c>
      <c r="K50" s="46">
        <v>186.977</v>
      </c>
      <c r="L50" s="46">
        <v>156.72200000000001</v>
      </c>
      <c r="M50" s="2">
        <v>200.637</v>
      </c>
      <c r="N50" s="46">
        <v>195.49600000000001</v>
      </c>
      <c r="O50" s="46">
        <v>172.178</v>
      </c>
      <c r="P50" s="46">
        <v>146.13499999999999</v>
      </c>
      <c r="Q50" s="46">
        <v>129.583</v>
      </c>
      <c r="R50" s="46">
        <v>118.172</v>
      </c>
      <c r="S50" s="46">
        <v>104.40900000000001</v>
      </c>
      <c r="T50" s="46">
        <v>106.896</v>
      </c>
      <c r="U50" s="46">
        <v>148.09800000000001</v>
      </c>
      <c r="V50" s="46">
        <v>121.70099999999999</v>
      </c>
      <c r="W50" s="46">
        <v>90.36</v>
      </c>
      <c r="X50" s="46">
        <v>51.363</v>
      </c>
      <c r="Y50" s="46">
        <v>10.548</v>
      </c>
      <c r="Z50" s="46">
        <v>15.727</v>
      </c>
      <c r="AV50" s="46">
        <f t="shared" ref="AV50:AV60" si="165">F50</f>
        <v>116.61</v>
      </c>
      <c r="AW50" s="46">
        <f t="shared" ref="AW50:AW60" si="166">J50</f>
        <v>195.16200000000001</v>
      </c>
      <c r="AX50" s="46">
        <f t="shared" ref="AX50:AX60" si="167">N50</f>
        <v>195.49600000000001</v>
      </c>
      <c r="AY50" s="46">
        <f t="shared" ref="AY50:AY60" si="168">R50</f>
        <v>118.172</v>
      </c>
      <c r="AZ50" s="46">
        <f t="shared" ref="AZ50:AZ60" si="169">V50</f>
        <v>121.70099999999999</v>
      </c>
      <c r="BA50" s="46">
        <f t="shared" ref="BA50:BA60" si="170">Z50</f>
        <v>15.727</v>
      </c>
    </row>
    <row r="51" spans="2:63">
      <c r="B51" s="2" t="s">
        <v>335</v>
      </c>
      <c r="C51" s="46">
        <v>94.679000000000002</v>
      </c>
      <c r="D51" s="46">
        <v>99.010999999999996</v>
      </c>
      <c r="E51" s="46">
        <v>101.828</v>
      </c>
      <c r="F51" s="46">
        <v>105.901</v>
      </c>
      <c r="G51" s="46">
        <v>103.96299999999999</v>
      </c>
      <c r="H51" s="46">
        <v>97.613</v>
      </c>
      <c r="I51" s="2">
        <v>112.81699999999999</v>
      </c>
      <c r="J51" s="46">
        <v>114.608</v>
      </c>
      <c r="K51" s="46">
        <v>126.41500000000001</v>
      </c>
      <c r="L51" s="46">
        <v>136.61000000000001</v>
      </c>
      <c r="M51" s="2">
        <v>120.074</v>
      </c>
      <c r="N51" s="46">
        <v>133.94</v>
      </c>
      <c r="O51" s="46">
        <v>143.417</v>
      </c>
      <c r="P51" s="46">
        <v>187.38900000000001</v>
      </c>
      <c r="Q51" s="46">
        <v>189.006</v>
      </c>
      <c r="R51" s="46">
        <v>203.38399999999999</v>
      </c>
      <c r="S51" s="46">
        <v>207.364</v>
      </c>
      <c r="T51" s="46">
        <v>208.965</v>
      </c>
      <c r="U51" s="46">
        <v>206.61500000000001</v>
      </c>
      <c r="V51" s="46">
        <v>201.768</v>
      </c>
      <c r="W51" s="46">
        <v>191.989</v>
      </c>
      <c r="X51" s="46">
        <v>200.83099999999999</v>
      </c>
      <c r="Y51" s="46">
        <v>176.05099999999999</v>
      </c>
      <c r="Z51" s="46">
        <v>167.667</v>
      </c>
      <c r="AV51" s="46">
        <f t="shared" si="165"/>
        <v>105.901</v>
      </c>
      <c r="AW51" s="46">
        <f t="shared" si="166"/>
        <v>114.608</v>
      </c>
      <c r="AX51" s="46">
        <f t="shared" si="167"/>
        <v>133.94</v>
      </c>
      <c r="AY51" s="46">
        <f t="shared" si="168"/>
        <v>203.38399999999999</v>
      </c>
      <c r="AZ51" s="46">
        <f t="shared" si="169"/>
        <v>201.768</v>
      </c>
      <c r="BA51" s="46">
        <f t="shared" si="170"/>
        <v>167.667</v>
      </c>
      <c r="BC51" s="55" t="s">
        <v>662</v>
      </c>
      <c r="BD51" s="61">
        <v>0.02</v>
      </c>
    </row>
    <row r="52" spans="2:63">
      <c r="B52" s="2" t="s">
        <v>336</v>
      </c>
      <c r="C52" s="46">
        <v>121.691</v>
      </c>
      <c r="D52" s="46">
        <v>132.73500000000001</v>
      </c>
      <c r="E52" s="46">
        <v>140.35900000000001</v>
      </c>
      <c r="F52" s="46">
        <v>152.99199999999999</v>
      </c>
      <c r="G52" s="46">
        <v>166.15199999999999</v>
      </c>
      <c r="H52" s="46">
        <v>183.44200000000001</v>
      </c>
      <c r="I52" s="2">
        <v>191.547</v>
      </c>
      <c r="J52" s="46">
        <v>219.52699999999999</v>
      </c>
      <c r="K52" s="46">
        <v>245.321</v>
      </c>
      <c r="L52" s="46">
        <v>254.977</v>
      </c>
      <c r="M52" s="2">
        <v>258.31599999999997</v>
      </c>
      <c r="N52" s="46">
        <v>263.50400000000002</v>
      </c>
      <c r="O52" s="46">
        <v>274.34899999999999</v>
      </c>
      <c r="P52" s="46">
        <v>295.88299999999998</v>
      </c>
      <c r="Q52" s="46">
        <v>320.30399999999997</v>
      </c>
      <c r="R52" s="46">
        <v>334.00599999999997</v>
      </c>
      <c r="S52" s="46">
        <v>344.04199999999997</v>
      </c>
      <c r="T52" s="46">
        <v>358.77</v>
      </c>
      <c r="U52" s="46">
        <v>374.245</v>
      </c>
      <c r="V52" s="46">
        <v>388.02300000000002</v>
      </c>
      <c r="W52" s="2">
        <v>398.36599999999999</v>
      </c>
      <c r="X52" s="46">
        <v>373.79899999999998</v>
      </c>
      <c r="Y52" s="46">
        <v>393.41300000000001</v>
      </c>
      <c r="Z52" s="46">
        <v>406.73700000000002</v>
      </c>
      <c r="AV52" s="46">
        <f t="shared" si="165"/>
        <v>152.99199999999999</v>
      </c>
      <c r="AW52" s="46">
        <f t="shared" si="166"/>
        <v>219.52699999999999</v>
      </c>
      <c r="AX52" s="46">
        <f t="shared" si="167"/>
        <v>263.50400000000002</v>
      </c>
      <c r="AY52" s="46">
        <f t="shared" si="168"/>
        <v>334.00599999999997</v>
      </c>
      <c r="AZ52" s="46">
        <f t="shared" si="169"/>
        <v>388.02300000000002</v>
      </c>
      <c r="BA52" s="46">
        <f t="shared" si="170"/>
        <v>406.73700000000002</v>
      </c>
      <c r="BC52" s="55" t="s">
        <v>663</v>
      </c>
      <c r="BD52" s="61">
        <v>3.5000000000000003E-2</v>
      </c>
    </row>
    <row r="53" spans="2:63">
      <c r="B53" s="2" t="s">
        <v>337</v>
      </c>
      <c r="C53" s="46">
        <v>11.869</v>
      </c>
      <c r="D53" s="46">
        <v>15.601000000000001</v>
      </c>
      <c r="E53" s="46">
        <v>14.702</v>
      </c>
      <c r="F53" s="46">
        <v>14.852</v>
      </c>
      <c r="G53" s="46">
        <v>15.403</v>
      </c>
      <c r="H53" s="46">
        <v>16.545000000000002</v>
      </c>
      <c r="I53" s="2">
        <v>17.109000000000002</v>
      </c>
      <c r="J53" s="46">
        <v>18.734999999999999</v>
      </c>
      <c r="K53" s="46">
        <v>20.782</v>
      </c>
      <c r="L53" s="46">
        <v>22.526</v>
      </c>
      <c r="M53" s="2">
        <v>22.67</v>
      </c>
      <c r="N53" s="46">
        <v>29.155000000000001</v>
      </c>
      <c r="O53" s="46">
        <v>32.219000000000001</v>
      </c>
      <c r="P53" s="46">
        <v>30.32</v>
      </c>
      <c r="Q53" s="46">
        <v>29.888000000000002</v>
      </c>
      <c r="R53" s="46">
        <v>30.279</v>
      </c>
      <c r="S53" s="46">
        <v>35.987000000000002</v>
      </c>
      <c r="T53" s="46">
        <v>39.078000000000003</v>
      </c>
      <c r="U53" s="46">
        <v>38.761000000000003</v>
      </c>
      <c r="V53" s="46">
        <v>36.423999999999999</v>
      </c>
      <c r="W53" s="46">
        <v>31.193999999999999</v>
      </c>
      <c r="X53" s="46">
        <v>29.47</v>
      </c>
      <c r="Y53" s="46">
        <v>31.265000000000001</v>
      </c>
      <c r="Z53" s="46">
        <v>36.588999999999999</v>
      </c>
      <c r="AV53" s="46">
        <f t="shared" si="165"/>
        <v>14.852</v>
      </c>
      <c r="AW53" s="46">
        <f t="shared" si="166"/>
        <v>18.734999999999999</v>
      </c>
      <c r="AX53" s="46">
        <f t="shared" si="167"/>
        <v>29.155000000000001</v>
      </c>
      <c r="AY53" s="46">
        <f t="shared" si="168"/>
        <v>30.279</v>
      </c>
      <c r="AZ53" s="46">
        <f t="shared" si="169"/>
        <v>36.423999999999999</v>
      </c>
      <c r="BA53" s="46">
        <f t="shared" si="170"/>
        <v>36.588999999999999</v>
      </c>
      <c r="BC53" s="55" t="s">
        <v>735</v>
      </c>
      <c r="BD53" s="61">
        <v>4.4200000000000003E-2</v>
      </c>
    </row>
    <row r="54" spans="2:63">
      <c r="B54" s="2" t="s">
        <v>338</v>
      </c>
      <c r="C54" s="46">
        <v>35.380000000000003</v>
      </c>
      <c r="D54" s="46">
        <v>37.94</v>
      </c>
      <c r="E54" s="46">
        <v>45.625</v>
      </c>
      <c r="F54" s="46">
        <v>51.811999999999998</v>
      </c>
      <c r="G54" s="46">
        <v>58.698</v>
      </c>
      <c r="H54" s="46">
        <v>62.188000000000002</v>
      </c>
      <c r="I54" s="2">
        <v>64.906000000000006</v>
      </c>
      <c r="J54" s="46">
        <v>48.168999999999997</v>
      </c>
      <c r="K54" s="46">
        <v>50.314</v>
      </c>
      <c r="L54" s="46">
        <v>50.853999999999999</v>
      </c>
      <c r="M54" s="2">
        <v>56.631999999999998</v>
      </c>
      <c r="N54" s="46">
        <v>58.856000000000002</v>
      </c>
      <c r="O54" s="46">
        <v>60.326999999999998</v>
      </c>
      <c r="P54" s="46">
        <v>63.457999999999998</v>
      </c>
      <c r="Q54" s="46">
        <v>64.081999999999994</v>
      </c>
      <c r="R54" s="46">
        <v>65.015000000000001</v>
      </c>
      <c r="S54" s="46">
        <v>65.224000000000004</v>
      </c>
      <c r="T54" s="46">
        <v>65.957999999999998</v>
      </c>
      <c r="U54" s="46">
        <v>65.632000000000005</v>
      </c>
      <c r="V54" s="46">
        <v>72.691000000000003</v>
      </c>
      <c r="W54" s="46">
        <v>75.744</v>
      </c>
      <c r="X54" s="46">
        <v>57.709000000000003</v>
      </c>
      <c r="Y54" s="46">
        <v>59.918999999999997</v>
      </c>
      <c r="Z54" s="46">
        <v>62.640999999999998</v>
      </c>
      <c r="AV54" s="46">
        <f t="shared" si="165"/>
        <v>51.811999999999998</v>
      </c>
      <c r="AW54" s="46">
        <f t="shared" si="166"/>
        <v>48.168999999999997</v>
      </c>
      <c r="AX54" s="46">
        <f t="shared" si="167"/>
        <v>58.856000000000002</v>
      </c>
      <c r="AY54" s="46">
        <f t="shared" si="168"/>
        <v>65.015000000000001</v>
      </c>
      <c r="AZ54" s="46">
        <f t="shared" si="169"/>
        <v>72.691000000000003</v>
      </c>
      <c r="BA54" s="46">
        <f t="shared" si="170"/>
        <v>62.640999999999998</v>
      </c>
      <c r="BC54" s="55" t="s">
        <v>664</v>
      </c>
      <c r="BD54" s="61">
        <v>3.7499999999999999E-2</v>
      </c>
    </row>
    <row r="55" spans="2:63">
      <c r="B55" s="2" t="s">
        <v>340</v>
      </c>
      <c r="C55" s="46">
        <v>42.375999999999998</v>
      </c>
      <c r="D55" s="46">
        <v>42.475999999999999</v>
      </c>
      <c r="E55" s="46">
        <v>41.817</v>
      </c>
      <c r="F55" s="46">
        <v>43.716999999999999</v>
      </c>
      <c r="G55" s="46">
        <v>43.167999999999999</v>
      </c>
      <c r="H55" s="46">
        <v>42.668999999999997</v>
      </c>
      <c r="I55" s="2">
        <v>41.777999999999999</v>
      </c>
      <c r="J55" s="46">
        <v>41.192</v>
      </c>
      <c r="K55" s="46">
        <v>40.691000000000003</v>
      </c>
      <c r="L55" s="46">
        <v>92.790999999999997</v>
      </c>
      <c r="M55" s="2">
        <v>133.55199999999999</v>
      </c>
      <c r="N55" s="46">
        <v>131.95500000000001</v>
      </c>
      <c r="O55" s="46">
        <v>176.892</v>
      </c>
      <c r="P55" s="46">
        <v>177.423</v>
      </c>
      <c r="Q55" s="46">
        <v>174.684</v>
      </c>
      <c r="R55" s="46">
        <v>192.636</v>
      </c>
      <c r="S55" s="46">
        <v>189.839</v>
      </c>
      <c r="T55" s="46">
        <v>187.494</v>
      </c>
      <c r="U55" s="46">
        <v>184.52</v>
      </c>
      <c r="V55" s="46">
        <v>188.756</v>
      </c>
      <c r="W55" s="46">
        <v>185.845</v>
      </c>
      <c r="X55" s="46">
        <v>183.316</v>
      </c>
      <c r="Y55" s="46">
        <v>180.923</v>
      </c>
      <c r="Z55" s="46">
        <v>177.78700000000001</v>
      </c>
      <c r="AV55" s="46">
        <f t="shared" si="165"/>
        <v>43.716999999999999</v>
      </c>
      <c r="AW55" s="46">
        <f t="shared" si="166"/>
        <v>41.192</v>
      </c>
      <c r="AX55" s="46">
        <f t="shared" si="167"/>
        <v>131.95500000000001</v>
      </c>
      <c r="AY55" s="46">
        <f t="shared" si="168"/>
        <v>192.636</v>
      </c>
      <c r="AZ55" s="46">
        <f t="shared" si="169"/>
        <v>188.756</v>
      </c>
      <c r="BA55" s="46">
        <f t="shared" si="170"/>
        <v>177.78700000000001</v>
      </c>
      <c r="BC55" s="55" t="s">
        <v>666</v>
      </c>
      <c r="BD55" s="55">
        <v>0.56000000000000005</v>
      </c>
    </row>
    <row r="56" spans="2:63">
      <c r="B56" s="2" t="s">
        <v>339</v>
      </c>
      <c r="D56" s="2">
        <v>0</v>
      </c>
      <c r="E56" s="2">
        <v>0</v>
      </c>
      <c r="F56" s="46">
        <v>39.923999999999999</v>
      </c>
      <c r="G56" s="46">
        <v>39.286999999999999</v>
      </c>
      <c r="H56" s="46">
        <v>37.927</v>
      </c>
      <c r="I56" s="2">
        <v>38.798000000000002</v>
      </c>
      <c r="J56" s="46">
        <v>38.064999999999998</v>
      </c>
      <c r="K56" s="46">
        <v>37.697000000000003</v>
      </c>
      <c r="L56" s="46">
        <v>37.030999999999999</v>
      </c>
      <c r="M56" s="2">
        <v>36.844999999999999</v>
      </c>
      <c r="N56" s="46">
        <v>36.276000000000003</v>
      </c>
      <c r="O56" s="46">
        <v>35.549999999999997</v>
      </c>
      <c r="P56" s="46">
        <v>34.743000000000002</v>
      </c>
      <c r="Q56" s="46">
        <v>34.113999999999997</v>
      </c>
      <c r="R56" s="46">
        <v>33.323</v>
      </c>
      <c r="S56" s="46">
        <v>32.569000000000003</v>
      </c>
      <c r="T56" s="46">
        <v>31.751000000000001</v>
      </c>
      <c r="U56" s="46">
        <v>31.364000000000001</v>
      </c>
      <c r="V56" s="46">
        <v>31.091999999999999</v>
      </c>
      <c r="W56" s="46">
        <v>30.234000000000002</v>
      </c>
      <c r="X56" s="46">
        <v>29.366</v>
      </c>
      <c r="Y56" s="46">
        <v>28.888000000000002</v>
      </c>
      <c r="Z56" s="46">
        <v>28.018000000000001</v>
      </c>
      <c r="AV56" s="46">
        <f t="shared" si="165"/>
        <v>39.923999999999999</v>
      </c>
      <c r="AW56" s="46">
        <f t="shared" si="166"/>
        <v>38.064999999999998</v>
      </c>
      <c r="AX56" s="46">
        <f t="shared" si="167"/>
        <v>36.276000000000003</v>
      </c>
      <c r="AY56" s="46">
        <f t="shared" si="168"/>
        <v>33.323</v>
      </c>
      <c r="AZ56" s="46">
        <f t="shared" si="169"/>
        <v>31.091999999999999</v>
      </c>
      <c r="BA56" s="46">
        <f t="shared" si="170"/>
        <v>28.018000000000001</v>
      </c>
      <c r="BC56" s="55" t="s">
        <v>658</v>
      </c>
      <c r="BD56" s="61">
        <f>+BD53+(BD54*BD55)</f>
        <v>6.5200000000000008E-2</v>
      </c>
    </row>
    <row r="57" spans="2:63">
      <c r="B57" s="2" t="s">
        <v>341</v>
      </c>
      <c r="C57" s="46">
        <v>26.812999999999999</v>
      </c>
      <c r="D57" s="46">
        <v>26.030999999999999</v>
      </c>
      <c r="E57" s="46">
        <v>25.494</v>
      </c>
      <c r="F57" s="46">
        <v>25.407</v>
      </c>
      <c r="G57" s="46">
        <v>25.024000000000001</v>
      </c>
      <c r="H57" s="46">
        <v>10.645</v>
      </c>
      <c r="I57" s="2">
        <v>10.64</v>
      </c>
      <c r="J57" s="46">
        <v>10.638999999999999</v>
      </c>
      <c r="K57" s="46">
        <v>10.097</v>
      </c>
      <c r="L57" s="46">
        <v>9.8949999999999996</v>
      </c>
      <c r="M57" s="2">
        <v>9.49</v>
      </c>
      <c r="N57" s="46">
        <v>90.617999999999995</v>
      </c>
      <c r="O57" s="46">
        <v>88.471999999999994</v>
      </c>
      <c r="P57" s="46">
        <v>86.162000000000006</v>
      </c>
      <c r="Q57" s="46">
        <v>83.36</v>
      </c>
      <c r="R57" s="46">
        <v>81.161000000000001</v>
      </c>
      <c r="S57" s="46">
        <v>78.668999999999997</v>
      </c>
      <c r="T57" s="46">
        <v>76.116</v>
      </c>
      <c r="U57" s="46">
        <v>73.451999999999998</v>
      </c>
      <c r="V57" s="46">
        <v>71.055999999999997</v>
      </c>
      <c r="W57" s="46">
        <v>68.421000000000006</v>
      </c>
      <c r="X57" s="46">
        <v>6.9550000000000001</v>
      </c>
      <c r="Y57" s="46">
        <v>6.92</v>
      </c>
      <c r="Z57" s="46">
        <v>6.5129999999999999</v>
      </c>
      <c r="AV57" s="46">
        <f t="shared" si="165"/>
        <v>25.407</v>
      </c>
      <c r="AW57" s="46">
        <f t="shared" si="166"/>
        <v>10.638999999999999</v>
      </c>
      <c r="AX57" s="46">
        <f t="shared" si="167"/>
        <v>90.617999999999995</v>
      </c>
      <c r="AY57" s="46">
        <f t="shared" si="168"/>
        <v>81.161000000000001</v>
      </c>
      <c r="AZ57" s="46">
        <f t="shared" si="169"/>
        <v>71.055999999999997</v>
      </c>
      <c r="BA57" s="46">
        <f t="shared" si="170"/>
        <v>6.5129999999999999</v>
      </c>
    </row>
    <row r="58" spans="2:63">
      <c r="B58" s="2" t="s">
        <v>342</v>
      </c>
      <c r="C58" s="46">
        <v>7.6589999999999998</v>
      </c>
      <c r="D58" s="46">
        <v>7.7649999999999997</v>
      </c>
      <c r="E58" s="46">
        <v>7.452</v>
      </c>
      <c r="F58" s="46">
        <v>7.6559999999999997</v>
      </c>
      <c r="G58" s="46">
        <v>7.5090000000000003</v>
      </c>
      <c r="H58" s="46">
        <v>7.665</v>
      </c>
      <c r="I58" s="2">
        <v>8.0039999999999996</v>
      </c>
      <c r="J58" s="46">
        <v>8.3719999999999999</v>
      </c>
      <c r="K58" s="46">
        <v>8.0060000000000002</v>
      </c>
      <c r="L58" s="46">
        <v>8.109</v>
      </c>
      <c r="M58" s="2">
        <v>7.9109999999999996</v>
      </c>
      <c r="N58" s="46">
        <v>166.38800000000001</v>
      </c>
      <c r="O58" s="46">
        <v>166.232</v>
      </c>
      <c r="P58" s="46">
        <v>165.779</v>
      </c>
      <c r="Q58" s="46">
        <v>165.42599999999999</v>
      </c>
      <c r="R58" s="46">
        <v>166.04599999999999</v>
      </c>
      <c r="S58" s="46">
        <v>166.161</v>
      </c>
      <c r="T58" s="46">
        <v>166.166</v>
      </c>
      <c r="U58" s="46">
        <v>165.95400000000001</v>
      </c>
      <c r="V58" s="46">
        <v>166.27</v>
      </c>
      <c r="W58" s="46">
        <v>166.10300000000001</v>
      </c>
      <c r="X58" s="46">
        <v>166.05</v>
      </c>
      <c r="Y58" s="46">
        <v>166.35499999999999</v>
      </c>
      <c r="Z58" s="46">
        <v>165.82599999999999</v>
      </c>
      <c r="AV58" s="46">
        <f t="shared" si="165"/>
        <v>7.6559999999999997</v>
      </c>
      <c r="AW58" s="46">
        <f t="shared" si="166"/>
        <v>8.3719999999999999</v>
      </c>
      <c r="AX58" s="46">
        <f t="shared" si="167"/>
        <v>166.38800000000001</v>
      </c>
      <c r="AY58" s="46">
        <f t="shared" si="168"/>
        <v>166.04599999999999</v>
      </c>
      <c r="AZ58" s="46">
        <f t="shared" si="169"/>
        <v>166.27</v>
      </c>
      <c r="BA58" s="46">
        <f t="shared" si="170"/>
        <v>165.82599999999999</v>
      </c>
      <c r="BC58" s="55" t="s">
        <v>659</v>
      </c>
      <c r="BD58" s="59">
        <f>NPV(BD56,BB39:CP39)</f>
        <v>10864.619256230168</v>
      </c>
    </row>
    <row r="59" spans="2:63">
      <c r="B59" s="2" t="s">
        <v>343</v>
      </c>
      <c r="C59" s="46">
        <v>31.861999999999998</v>
      </c>
      <c r="D59" s="46">
        <v>34.661000000000001</v>
      </c>
      <c r="E59" s="46">
        <v>32.817999999999998</v>
      </c>
      <c r="F59" s="46">
        <v>31.305</v>
      </c>
      <c r="G59" s="46">
        <v>32.945</v>
      </c>
      <c r="H59" s="46">
        <v>36.473999999999997</v>
      </c>
      <c r="I59" s="2">
        <v>47.91</v>
      </c>
      <c r="J59" s="46">
        <v>50.139000000000003</v>
      </c>
      <c r="K59" s="46">
        <v>48.978000000000002</v>
      </c>
      <c r="L59" s="46">
        <v>47.67</v>
      </c>
      <c r="M59" s="2">
        <v>49.454000000000001</v>
      </c>
      <c r="N59" s="46">
        <v>65.697999999999993</v>
      </c>
      <c r="O59" s="46">
        <v>70.08</v>
      </c>
      <c r="P59" s="46">
        <v>68.403999999999996</v>
      </c>
      <c r="Q59" s="46">
        <v>62.826999999999998</v>
      </c>
      <c r="R59" s="46">
        <v>64.212999999999994</v>
      </c>
      <c r="S59" s="46">
        <v>65.173000000000002</v>
      </c>
      <c r="T59" s="46">
        <v>66.671000000000006</v>
      </c>
      <c r="U59" s="46">
        <v>64.236000000000004</v>
      </c>
      <c r="V59" s="46">
        <v>85.158000000000001</v>
      </c>
      <c r="W59" s="46">
        <v>84.661000000000001</v>
      </c>
      <c r="X59" s="46">
        <v>108.852</v>
      </c>
      <c r="Y59" s="46">
        <v>105.851</v>
      </c>
      <c r="Z59" s="46">
        <v>100.33199999999999</v>
      </c>
      <c r="AV59" s="46">
        <f t="shared" si="165"/>
        <v>31.305</v>
      </c>
      <c r="AW59" s="46">
        <f t="shared" si="166"/>
        <v>50.139000000000003</v>
      </c>
      <c r="AX59" s="46">
        <f t="shared" si="167"/>
        <v>65.697999999999993</v>
      </c>
      <c r="AY59" s="46">
        <f t="shared" si="168"/>
        <v>64.212999999999994</v>
      </c>
      <c r="AZ59" s="46">
        <f t="shared" si="169"/>
        <v>85.158000000000001</v>
      </c>
      <c r="BA59" s="46">
        <f t="shared" si="170"/>
        <v>100.33199999999999</v>
      </c>
      <c r="BC59" s="55" t="s">
        <v>331</v>
      </c>
      <c r="BD59" s="59">
        <f>BB40</f>
        <v>38.630000000000003</v>
      </c>
    </row>
    <row r="60" spans="2:63">
      <c r="B60" s="2" t="s">
        <v>344</v>
      </c>
      <c r="C60" s="46">
        <v>1.613</v>
      </c>
      <c r="D60" s="46">
        <v>1.6319999999999999</v>
      </c>
      <c r="E60" s="46">
        <v>9.6300000000000008</v>
      </c>
      <c r="F60" s="46">
        <v>2.9460000000000002</v>
      </c>
      <c r="G60" s="46">
        <v>3.8690000000000002</v>
      </c>
      <c r="H60" s="46">
        <v>6.7370000000000001</v>
      </c>
      <c r="I60" s="2">
        <v>8.0690000000000008</v>
      </c>
      <c r="J60" s="46">
        <v>8.7050000000000001</v>
      </c>
      <c r="K60" s="46">
        <v>9.9139999999999997</v>
      </c>
      <c r="L60" s="46">
        <v>10.756</v>
      </c>
      <c r="M60" s="2">
        <v>11.37</v>
      </c>
      <c r="N60" s="46">
        <v>12.984999999999999</v>
      </c>
      <c r="O60" s="46">
        <v>13.694000000000001</v>
      </c>
      <c r="P60" s="46">
        <v>13.97</v>
      </c>
      <c r="Q60" s="46">
        <v>13.483000000000001</v>
      </c>
      <c r="R60" s="46">
        <v>12.792999999999999</v>
      </c>
      <c r="S60" s="46">
        <v>11.173</v>
      </c>
      <c r="T60" s="46">
        <v>10.5</v>
      </c>
      <c r="U60" s="2">
        <v>14.743</v>
      </c>
      <c r="V60" s="46">
        <v>25.88</v>
      </c>
      <c r="W60" s="46">
        <v>33.814</v>
      </c>
      <c r="X60" s="46">
        <v>38.518000000000001</v>
      </c>
      <c r="Y60" s="46">
        <v>38.514000000000003</v>
      </c>
      <c r="Z60" s="46">
        <v>40.939</v>
      </c>
      <c r="AV60" s="46">
        <f t="shared" si="165"/>
        <v>2.9460000000000002</v>
      </c>
      <c r="AW60" s="46">
        <f t="shared" si="166"/>
        <v>8.7050000000000001</v>
      </c>
      <c r="AX60" s="46">
        <f t="shared" si="167"/>
        <v>12.984999999999999</v>
      </c>
      <c r="AY60" s="46">
        <f t="shared" si="168"/>
        <v>12.792999999999999</v>
      </c>
      <c r="AZ60" s="46">
        <f t="shared" si="169"/>
        <v>25.88</v>
      </c>
      <c r="BA60" s="46">
        <f t="shared" si="170"/>
        <v>40.939</v>
      </c>
      <c r="BC60" s="55" t="s">
        <v>660</v>
      </c>
      <c r="BD60" s="62">
        <f>BD58/BD59</f>
        <v>281.24823339969367</v>
      </c>
    </row>
    <row r="61" spans="2:63">
      <c r="B61" s="2" t="s">
        <v>345</v>
      </c>
      <c r="C61" s="46">
        <f t="shared" ref="C61:Z61" si="171">SUM(C49:C60)</f>
        <v>568.78899999999999</v>
      </c>
      <c r="D61" s="46">
        <f>SUM(D49:D60)</f>
        <v>585.10899999999981</v>
      </c>
      <c r="E61" s="46">
        <f t="shared" si="171"/>
        <v>614.17000000000007</v>
      </c>
      <c r="F61" s="46">
        <f t="shared" si="171"/>
        <v>665.90099999999995</v>
      </c>
      <c r="G61" s="46">
        <f t="shared" si="171"/>
        <v>664.24000000000012</v>
      </c>
      <c r="H61" s="46">
        <f t="shared" si="171"/>
        <v>780.19999999999982</v>
      </c>
      <c r="I61" s="46">
        <f t="shared" si="171"/>
        <v>810.30399999999997</v>
      </c>
      <c r="J61" s="46">
        <f t="shared" si="171"/>
        <v>822.98299999999995</v>
      </c>
      <c r="K61" s="46">
        <f t="shared" si="171"/>
        <v>840.82399999999996</v>
      </c>
      <c r="L61" s="46">
        <f t="shared" si="171"/>
        <v>910.21799999999996</v>
      </c>
      <c r="M61" s="46">
        <f t="shared" si="171"/>
        <v>973.24099999999987</v>
      </c>
      <c r="N61" s="46">
        <f t="shared" si="171"/>
        <v>1244.2499999999998</v>
      </c>
      <c r="O61" s="46">
        <f t="shared" si="171"/>
        <v>1301.5729999999999</v>
      </c>
      <c r="P61" s="46">
        <f t="shared" si="171"/>
        <v>1327.9</v>
      </c>
      <c r="Q61" s="46">
        <f t="shared" si="171"/>
        <v>1321.6009999999999</v>
      </c>
      <c r="R61" s="46">
        <f t="shared" si="171"/>
        <v>1370.886</v>
      </c>
      <c r="S61" s="46">
        <f t="shared" si="171"/>
        <v>1395.298</v>
      </c>
      <c r="T61" s="46">
        <f t="shared" si="171"/>
        <v>1432.5319999999999</v>
      </c>
      <c r="U61" s="46">
        <f t="shared" si="171"/>
        <v>1468.377</v>
      </c>
      <c r="V61" s="46">
        <f t="shared" si="171"/>
        <v>1556.3050000000003</v>
      </c>
      <c r="W61" s="46">
        <f t="shared" si="171"/>
        <v>1579.845</v>
      </c>
      <c r="X61" s="46">
        <f t="shared" si="171"/>
        <v>1534.5609999999999</v>
      </c>
      <c r="Y61" s="46">
        <f t="shared" si="171"/>
        <v>1479.1229999999998</v>
      </c>
      <c r="Z61" s="46">
        <f t="shared" si="171"/>
        <v>1533.1759999999997</v>
      </c>
      <c r="AV61" s="46">
        <f t="shared" ref="AV61" si="172">SUM(AV49:AV60)</f>
        <v>665.90099999999995</v>
      </c>
      <c r="AW61" s="46">
        <f t="shared" ref="AW61" si="173">SUM(AW49:AW60)</f>
        <v>822.98299999999995</v>
      </c>
      <c r="AX61" s="46">
        <f t="shared" ref="AX61" si="174">SUM(AX49:AX60)</f>
        <v>1244.2499999999998</v>
      </c>
      <c r="AY61" s="46">
        <f t="shared" ref="AY61" si="175">SUM(AY49:AY60)</f>
        <v>1370.886</v>
      </c>
      <c r="AZ61" s="46">
        <f t="shared" ref="AZ61" si="176">SUM(AZ49:AZ60)</f>
        <v>1556.3050000000003</v>
      </c>
      <c r="BA61" s="46">
        <f t="shared" ref="BA61" si="177">SUM(BA49:BA60)</f>
        <v>1533.1759999999997</v>
      </c>
      <c r="BC61" s="55" t="s">
        <v>661</v>
      </c>
      <c r="BD61" s="62">
        <v>276.58999999999997</v>
      </c>
      <c r="BE61" s="87" t="s">
        <v>297</v>
      </c>
    </row>
    <row r="62" spans="2:63">
      <c r="AW62" s="46"/>
      <c r="AX62" s="46"/>
      <c r="AY62" s="46"/>
      <c r="AZ62" s="46"/>
      <c r="BA62" s="46"/>
      <c r="BC62" s="55" t="s">
        <v>665</v>
      </c>
      <c r="BD62" s="61">
        <f>BD60/BD61-1</f>
        <v>1.6841655156345947E-2</v>
      </c>
      <c r="BE62" s="55" t="str">
        <f>IF(BD62&gt;0,"Upside","Downside")</f>
        <v>Upside</v>
      </c>
    </row>
    <row r="63" spans="2:63">
      <c r="B63" s="2" t="s">
        <v>346</v>
      </c>
      <c r="C63" s="46">
        <v>7.6920000000000002</v>
      </c>
      <c r="D63" s="46">
        <v>8.7430000000000003</v>
      </c>
      <c r="E63" s="46">
        <v>11.962</v>
      </c>
      <c r="F63" s="46">
        <v>15.111000000000001</v>
      </c>
      <c r="G63" s="46">
        <v>15.843</v>
      </c>
      <c r="H63" s="46">
        <v>14.432</v>
      </c>
      <c r="I63" s="46">
        <v>14.544</v>
      </c>
      <c r="J63" s="46">
        <v>14.109</v>
      </c>
      <c r="K63" s="46">
        <v>15.388999999999999</v>
      </c>
      <c r="L63" s="46">
        <v>13.712</v>
      </c>
      <c r="M63" s="2">
        <v>13.679</v>
      </c>
      <c r="N63" s="46">
        <v>13.420999999999999</v>
      </c>
      <c r="O63" s="46">
        <v>14.137</v>
      </c>
      <c r="P63" s="46">
        <v>23.096</v>
      </c>
      <c r="Q63" s="46">
        <v>25.364999999999998</v>
      </c>
      <c r="R63" s="46">
        <v>26.678999999999998</v>
      </c>
      <c r="S63" s="46">
        <v>28.199000000000002</v>
      </c>
      <c r="T63" s="46">
        <v>25.818999999999999</v>
      </c>
      <c r="U63" s="46">
        <v>27.995999999999999</v>
      </c>
      <c r="V63" s="46">
        <v>27.155000000000001</v>
      </c>
      <c r="W63" s="46">
        <v>32.454500000000003</v>
      </c>
      <c r="X63" s="46">
        <v>32.822000000000003</v>
      </c>
      <c r="Y63" s="46">
        <v>33.151000000000003</v>
      </c>
      <c r="Z63" s="46">
        <v>31.326000000000001</v>
      </c>
      <c r="AV63" s="49">
        <f>F63</f>
        <v>15.111000000000001</v>
      </c>
      <c r="AW63" s="46">
        <f>J63</f>
        <v>14.109</v>
      </c>
      <c r="AX63" s="46">
        <f>N63</f>
        <v>13.420999999999999</v>
      </c>
      <c r="AY63" s="46">
        <f>R63</f>
        <v>26.678999999999998</v>
      </c>
      <c r="AZ63" s="46">
        <f>V63</f>
        <v>27.155000000000001</v>
      </c>
      <c r="BA63" s="46">
        <f t="shared" ref="BA63" si="178">Z63</f>
        <v>31.326000000000001</v>
      </c>
      <c r="BB63" s="59"/>
      <c r="BC63" s="59"/>
      <c r="BD63" s="59"/>
      <c r="BE63" s="59"/>
      <c r="BF63" s="59"/>
      <c r="BG63" s="59"/>
    </row>
    <row r="64" spans="2:63">
      <c r="B64" s="2" t="s">
        <v>347</v>
      </c>
      <c r="C64" s="46">
        <v>58.031999999999996</v>
      </c>
      <c r="D64" s="46">
        <v>57.276000000000003</v>
      </c>
      <c r="E64" s="46">
        <v>70.162999999999997</v>
      </c>
      <c r="F64" s="46">
        <v>67.63</v>
      </c>
      <c r="G64" s="46">
        <v>65.334999999999994</v>
      </c>
      <c r="H64" s="46">
        <v>57.718000000000004</v>
      </c>
      <c r="I64" s="46">
        <v>87.691000000000003</v>
      </c>
      <c r="J64" s="46">
        <v>85.795000000000002</v>
      </c>
      <c r="K64" s="46">
        <v>90.213999999999999</v>
      </c>
      <c r="L64" s="46">
        <v>86.503</v>
      </c>
      <c r="M64" s="2">
        <v>93.22</v>
      </c>
      <c r="N64" s="46">
        <v>99.796000000000006</v>
      </c>
      <c r="O64" s="46">
        <v>105.533</v>
      </c>
      <c r="P64" s="46">
        <v>111.405</v>
      </c>
      <c r="Q64" s="46">
        <v>101.672</v>
      </c>
      <c r="R64" s="46">
        <v>106.3</v>
      </c>
      <c r="S64" s="46">
        <v>105.869</v>
      </c>
      <c r="T64" s="46">
        <v>105.60599999999999</v>
      </c>
      <c r="U64" s="46">
        <v>104.184</v>
      </c>
      <c r="V64" s="46">
        <v>110.55500000000001</v>
      </c>
      <c r="W64" s="46">
        <v>106.54900000000001</v>
      </c>
      <c r="X64" s="46">
        <v>104.071</v>
      </c>
      <c r="Y64" s="46">
        <v>105.55</v>
      </c>
      <c r="Z64" s="46">
        <v>112.429</v>
      </c>
      <c r="AV64" s="49">
        <f t="shared" ref="AV64:AV70" si="179">F64</f>
        <v>67.63</v>
      </c>
      <c r="AW64" s="46">
        <f t="shared" ref="AW64:AW70" si="180">J64</f>
        <v>85.795000000000002</v>
      </c>
      <c r="AX64" s="46">
        <f t="shared" ref="AX64:AX70" si="181">N64</f>
        <v>99.796000000000006</v>
      </c>
      <c r="AY64" s="46">
        <f t="shared" ref="AY64:AY70" si="182">R64</f>
        <v>106.3</v>
      </c>
      <c r="AZ64" s="46">
        <f t="shared" ref="AZ64:AZ69" si="183">V64</f>
        <v>110.55500000000001</v>
      </c>
      <c r="BA64" s="46">
        <f t="shared" ref="BA64:BA69" si="184">Z64</f>
        <v>112.429</v>
      </c>
    </row>
    <row r="65" spans="2:53">
      <c r="B65" s="2" t="s">
        <v>348</v>
      </c>
      <c r="C65" s="46">
        <v>3.6880000000000002</v>
      </c>
      <c r="D65" s="46">
        <v>3.742</v>
      </c>
      <c r="E65" s="46">
        <v>4.0419999999999998</v>
      </c>
      <c r="F65" s="46">
        <v>4.1420000000000003</v>
      </c>
      <c r="G65" s="46">
        <v>4.4349999999999996</v>
      </c>
      <c r="H65" s="46">
        <v>4.4459999999999997</v>
      </c>
      <c r="I65" s="46">
        <v>4.484</v>
      </c>
      <c r="J65" s="46">
        <v>4.6970000000000001</v>
      </c>
      <c r="K65" s="46">
        <v>4.8220000000000001</v>
      </c>
      <c r="L65" s="46">
        <v>6.3470000000000004</v>
      </c>
      <c r="M65" s="2">
        <v>7.5309999999999997</v>
      </c>
      <c r="N65" s="46">
        <v>8.2669999999999995</v>
      </c>
      <c r="O65" s="46">
        <v>8.66</v>
      </c>
      <c r="P65" s="46">
        <v>9.2970000000000006</v>
      </c>
      <c r="Q65" s="46">
        <v>9.4169999999999998</v>
      </c>
      <c r="R65" s="46">
        <v>10.032999999999999</v>
      </c>
      <c r="S65" s="46">
        <v>10.303000000000001</v>
      </c>
      <c r="T65" s="46">
        <v>10.715</v>
      </c>
      <c r="U65" s="46">
        <v>10.827</v>
      </c>
      <c r="V65" s="46">
        <v>11.202999999999999</v>
      </c>
      <c r="W65" s="46">
        <v>11.52</v>
      </c>
      <c r="X65" s="46">
        <v>11.776</v>
      </c>
      <c r="Y65" s="46">
        <v>12.068</v>
      </c>
      <c r="Z65" s="46">
        <v>12.221</v>
      </c>
      <c r="AV65" s="49">
        <f t="shared" si="179"/>
        <v>4.1420000000000003</v>
      </c>
      <c r="AW65" s="46">
        <f t="shared" si="180"/>
        <v>4.6970000000000001</v>
      </c>
      <c r="AX65" s="46">
        <f t="shared" si="181"/>
        <v>8.2669999999999995</v>
      </c>
      <c r="AY65" s="46">
        <f t="shared" si="182"/>
        <v>10.032999999999999</v>
      </c>
      <c r="AZ65" s="46">
        <f t="shared" si="183"/>
        <v>11.202999999999999</v>
      </c>
      <c r="BA65" s="46">
        <f t="shared" si="184"/>
        <v>12.221</v>
      </c>
    </row>
    <row r="66" spans="2:53">
      <c r="B66" s="2" t="s">
        <v>349</v>
      </c>
      <c r="C66" s="46">
        <v>0</v>
      </c>
      <c r="D66" s="46">
        <v>0</v>
      </c>
      <c r="E66" s="46">
        <v>0</v>
      </c>
      <c r="F66" s="46">
        <v>4.165</v>
      </c>
      <c r="G66" s="46">
        <v>2.4609999999999999</v>
      </c>
      <c r="H66" s="46">
        <v>1.016</v>
      </c>
      <c r="I66" s="46">
        <v>1.3360000000000001</v>
      </c>
      <c r="J66" s="46">
        <v>1.331</v>
      </c>
      <c r="K66" s="46">
        <v>1.4370000000000001</v>
      </c>
      <c r="L66" s="46">
        <v>1.484</v>
      </c>
      <c r="M66" s="2">
        <v>1.627</v>
      </c>
      <c r="N66" s="46">
        <v>1.7130000000000001</v>
      </c>
      <c r="O66" s="46">
        <v>1.7689999999999999</v>
      </c>
      <c r="P66" s="46">
        <v>1.806</v>
      </c>
      <c r="Q66" s="46">
        <v>1.8779999999999999</v>
      </c>
      <c r="R66" s="46">
        <v>1.92</v>
      </c>
      <c r="S66" s="46">
        <v>1.9570000000000001</v>
      </c>
      <c r="T66" s="46">
        <v>1.984</v>
      </c>
      <c r="U66" s="46">
        <v>2.0710000000000002</v>
      </c>
      <c r="V66" s="46">
        <v>2.2309999999999999</v>
      </c>
      <c r="W66" s="46">
        <v>2.2799999999999998</v>
      </c>
      <c r="X66" s="46">
        <v>2.3250000000000002</v>
      </c>
      <c r="Y66" s="46">
        <v>2.4159999999999999</v>
      </c>
      <c r="Z66" s="46">
        <v>2.3690000000000002</v>
      </c>
      <c r="AV66" s="49">
        <f t="shared" si="179"/>
        <v>4.165</v>
      </c>
      <c r="AW66" s="46">
        <f t="shared" si="180"/>
        <v>1.331</v>
      </c>
      <c r="AX66" s="46">
        <f t="shared" si="181"/>
        <v>1.7130000000000001</v>
      </c>
      <c r="AY66" s="46">
        <f t="shared" si="182"/>
        <v>1.92</v>
      </c>
      <c r="AZ66" s="46">
        <f t="shared" si="183"/>
        <v>2.2309999999999999</v>
      </c>
      <c r="BA66" s="46">
        <f t="shared" si="184"/>
        <v>2.3690000000000002</v>
      </c>
    </row>
    <row r="67" spans="2:53">
      <c r="B67" s="2" t="s">
        <v>350</v>
      </c>
      <c r="C67" s="46">
        <v>46.07</v>
      </c>
      <c r="D67" s="46">
        <v>46.146000000000001</v>
      </c>
      <c r="E67" s="46">
        <v>45.4</v>
      </c>
      <c r="F67" s="46">
        <v>47.241999999999997</v>
      </c>
      <c r="G67" s="46">
        <v>46.415999999999997</v>
      </c>
      <c r="H67" s="46">
        <v>45.924999999999997</v>
      </c>
      <c r="I67" s="46">
        <v>44.997999999999998</v>
      </c>
      <c r="J67" s="46">
        <v>44.183</v>
      </c>
      <c r="K67" s="46">
        <v>43.524999999999999</v>
      </c>
      <c r="L67" s="46">
        <v>94.444000000000003</v>
      </c>
      <c r="M67" s="2">
        <v>138.16900000000001</v>
      </c>
      <c r="N67" s="46">
        <v>137.04499999999999</v>
      </c>
      <c r="O67" s="46">
        <v>182.43799999999999</v>
      </c>
      <c r="P67" s="46">
        <v>183.155</v>
      </c>
      <c r="Q67" s="46">
        <v>180.89699999999999</v>
      </c>
      <c r="R67" s="46">
        <v>198.95500000000001</v>
      </c>
      <c r="S67" s="46">
        <v>196.83699999999999</v>
      </c>
      <c r="T67" s="46">
        <v>194.655</v>
      </c>
      <c r="U67" s="46">
        <v>192.11699999999999</v>
      </c>
      <c r="V67" s="46">
        <v>197.22900000000001</v>
      </c>
      <c r="W67" s="46">
        <v>194.53700000000001</v>
      </c>
      <c r="X67" s="46">
        <v>192.21600000000001</v>
      </c>
      <c r="Y67" s="46">
        <v>189.96</v>
      </c>
      <c r="Z67" s="46">
        <v>187.06800000000001</v>
      </c>
      <c r="AV67" s="49">
        <f t="shared" si="179"/>
        <v>47.241999999999997</v>
      </c>
      <c r="AW67" s="46">
        <f t="shared" si="180"/>
        <v>44.183</v>
      </c>
      <c r="AX67" s="46">
        <f t="shared" si="181"/>
        <v>137.04499999999999</v>
      </c>
      <c r="AY67" s="46">
        <f t="shared" si="182"/>
        <v>198.95500000000001</v>
      </c>
      <c r="AZ67" s="46">
        <f t="shared" si="183"/>
        <v>197.22900000000001</v>
      </c>
      <c r="BA67" s="46">
        <f t="shared" si="184"/>
        <v>187.06800000000001</v>
      </c>
    </row>
    <row r="68" spans="2:53">
      <c r="B68" s="2" t="s">
        <v>351</v>
      </c>
      <c r="C68" s="46">
        <v>0</v>
      </c>
      <c r="D68" s="46">
        <v>0</v>
      </c>
      <c r="E68" s="2">
        <v>0</v>
      </c>
      <c r="F68" s="2">
        <v>26.748000000000001</v>
      </c>
      <c r="G68" s="46">
        <v>26.483000000000001</v>
      </c>
      <c r="H68" s="46">
        <v>26.202000000000002</v>
      </c>
      <c r="I68" s="46">
        <v>27.390999999999998</v>
      </c>
      <c r="J68" s="46">
        <v>27.065999999999999</v>
      </c>
      <c r="K68" s="46">
        <v>27</v>
      </c>
      <c r="L68" s="46">
        <v>26.690999999999999</v>
      </c>
      <c r="M68" s="2">
        <v>26.774999999999999</v>
      </c>
      <c r="N68" s="46">
        <v>26.523</v>
      </c>
      <c r="O68" s="46">
        <v>26.122</v>
      </c>
      <c r="P68" s="46">
        <v>25.654</v>
      </c>
      <c r="Q68" s="46">
        <v>25.324999999999999</v>
      </c>
      <c r="R68" s="46">
        <v>24.864999999999998</v>
      </c>
      <c r="S68" s="46">
        <v>24.422999999999998</v>
      </c>
      <c r="T68" s="46">
        <v>23.922000000000001</v>
      </c>
      <c r="U68" s="46">
        <v>23.779</v>
      </c>
      <c r="V68" s="46">
        <v>23.68</v>
      </c>
      <c r="W68" s="46">
        <v>23.097999999999999</v>
      </c>
      <c r="X68" s="46">
        <v>22.501000000000001</v>
      </c>
      <c r="Y68" s="46">
        <v>22.245000000000001</v>
      </c>
      <c r="Z68" s="46">
        <v>21.731000000000002</v>
      </c>
      <c r="AV68" s="49">
        <f t="shared" si="179"/>
        <v>26.748000000000001</v>
      </c>
      <c r="AW68" s="46">
        <f t="shared" si="180"/>
        <v>27.065999999999999</v>
      </c>
      <c r="AX68" s="46">
        <f t="shared" si="181"/>
        <v>26.523</v>
      </c>
      <c r="AY68" s="46">
        <f t="shared" si="182"/>
        <v>24.864999999999998</v>
      </c>
      <c r="AZ68" s="46">
        <f t="shared" si="183"/>
        <v>23.68</v>
      </c>
      <c r="BA68" s="46">
        <f t="shared" si="184"/>
        <v>21.731000000000002</v>
      </c>
    </row>
    <row r="69" spans="2:53">
      <c r="B69" s="2" t="s">
        <v>352</v>
      </c>
      <c r="C69" s="46">
        <v>16.643999999999998</v>
      </c>
      <c r="D69" s="46">
        <v>15.019</v>
      </c>
      <c r="E69" s="46">
        <v>15.662000000000001</v>
      </c>
      <c r="F69" s="46">
        <v>15.25</v>
      </c>
      <c r="G69" s="46">
        <v>15.15</v>
      </c>
      <c r="H69" s="46">
        <v>7.3</v>
      </c>
      <c r="I69" s="46">
        <v>10.147</v>
      </c>
      <c r="J69" s="46">
        <v>8.0139999999999993</v>
      </c>
      <c r="K69" s="46">
        <v>7.9660000000000002</v>
      </c>
      <c r="L69" s="46">
        <v>7.6609999999999996</v>
      </c>
      <c r="M69" s="2">
        <v>7.6349999999999998</v>
      </c>
      <c r="N69" s="46">
        <v>3.5579999999999998</v>
      </c>
      <c r="O69" s="46">
        <v>3.6120000000000001</v>
      </c>
      <c r="P69" s="46">
        <v>3.472</v>
      </c>
      <c r="Q69" s="46">
        <v>3.2949999999999999</v>
      </c>
      <c r="R69" s="46">
        <v>3.2759999999999998</v>
      </c>
      <c r="S69" s="46">
        <v>3.2410000000000001</v>
      </c>
      <c r="T69" s="46">
        <v>3.2879999999999998</v>
      </c>
      <c r="U69" s="46">
        <v>3.2650000000000001</v>
      </c>
      <c r="V69" s="46">
        <v>5.3079999999999998</v>
      </c>
      <c r="W69" s="46">
        <v>5.8760000000000003</v>
      </c>
      <c r="X69" s="46">
        <v>7.6189999999999998</v>
      </c>
      <c r="Y69" s="46">
        <v>9.4529999999999994</v>
      </c>
      <c r="Z69" s="46">
        <v>15.103</v>
      </c>
      <c r="AV69" s="49">
        <f t="shared" si="179"/>
        <v>15.25</v>
      </c>
      <c r="AW69" s="46">
        <f t="shared" si="180"/>
        <v>8.0139999999999993</v>
      </c>
      <c r="AX69" s="46">
        <f t="shared" si="181"/>
        <v>3.5579999999999998</v>
      </c>
      <c r="AY69" s="46">
        <f t="shared" si="182"/>
        <v>3.2759999999999998</v>
      </c>
      <c r="AZ69" s="46">
        <f t="shared" si="183"/>
        <v>5.3079999999999998</v>
      </c>
      <c r="BA69" s="46">
        <f t="shared" si="184"/>
        <v>15.103</v>
      </c>
    </row>
    <row r="70" spans="2:53">
      <c r="B70" s="2" t="s">
        <v>353</v>
      </c>
      <c r="C70" s="46">
        <v>436.66300000000001</v>
      </c>
      <c r="D70" s="46">
        <v>454.18299999999999</v>
      </c>
      <c r="E70" s="46">
        <v>466.94099999999997</v>
      </c>
      <c r="F70" s="46">
        <v>485.613</v>
      </c>
      <c r="G70" s="46">
        <v>488.11700000000002</v>
      </c>
      <c r="H70" s="46">
        <v>623.16099999999994</v>
      </c>
      <c r="I70" s="46">
        <v>619.71199999999999</v>
      </c>
      <c r="J70" s="46">
        <v>637.78800000000001</v>
      </c>
      <c r="K70" s="46">
        <v>650.471</v>
      </c>
      <c r="L70" s="46">
        <v>673.37599999999998</v>
      </c>
      <c r="M70" s="2">
        <v>684.60299999999995</v>
      </c>
      <c r="N70" s="46">
        <v>953.92700000000002</v>
      </c>
      <c r="O70" s="46">
        <v>959.30200000000002</v>
      </c>
      <c r="P70" s="46">
        <v>970.01499999999999</v>
      </c>
      <c r="Q70" s="46">
        <v>973.75199999999995</v>
      </c>
      <c r="R70" s="46">
        <v>998.85799999999995</v>
      </c>
      <c r="S70" s="46">
        <v>1024.4690000000001</v>
      </c>
      <c r="T70" s="46">
        <v>1066.5429999999999</v>
      </c>
      <c r="U70" s="46">
        <v>1104.1379999999999</v>
      </c>
      <c r="V70" s="46">
        <v>1178.94</v>
      </c>
      <c r="W70" s="46">
        <v>1203.5309999999999</v>
      </c>
      <c r="X70" s="46">
        <v>1161.231</v>
      </c>
      <c r="Y70" s="46">
        <v>1104.28</v>
      </c>
      <c r="Z70" s="46">
        <v>1150.931</v>
      </c>
      <c r="AV70" s="49">
        <f t="shared" si="179"/>
        <v>485.613</v>
      </c>
      <c r="AW70" s="46">
        <f t="shared" si="180"/>
        <v>637.78800000000001</v>
      </c>
      <c r="AX70" s="46">
        <f t="shared" si="181"/>
        <v>953.92700000000002</v>
      </c>
      <c r="AY70" s="46">
        <f t="shared" si="182"/>
        <v>998.85799999999995</v>
      </c>
      <c r="AZ70" s="46">
        <f>V70</f>
        <v>1178.94</v>
      </c>
      <c r="BA70" s="46">
        <f>Z70</f>
        <v>1150.931</v>
      </c>
    </row>
    <row r="71" spans="2:53">
      <c r="B71" s="2" t="s">
        <v>354</v>
      </c>
      <c r="C71" s="46">
        <f t="shared" ref="C71" si="185">SUM(C63:C70)</f>
        <v>568.78899999999999</v>
      </c>
      <c r="D71" s="46">
        <f t="shared" ref="D71" si="186">SUM(D63:D70)</f>
        <v>585.10900000000004</v>
      </c>
      <c r="E71" s="46">
        <f t="shared" ref="E71" si="187">SUM(E63:E70)</f>
        <v>614.16999999999996</v>
      </c>
      <c r="F71" s="46">
        <f t="shared" ref="F71" si="188">SUM(F63:F70)</f>
        <v>665.90099999999995</v>
      </c>
      <c r="G71" s="46">
        <f t="shared" ref="G71:X71" si="189">SUM(G63:G70)</f>
        <v>664.24</v>
      </c>
      <c r="H71" s="46">
        <f t="shared" si="189"/>
        <v>780.19999999999993</v>
      </c>
      <c r="I71" s="46">
        <f t="shared" si="189"/>
        <v>810.303</v>
      </c>
      <c r="J71" s="46">
        <f t="shared" si="189"/>
        <v>822.98300000000006</v>
      </c>
      <c r="K71" s="46">
        <f t="shared" si="189"/>
        <v>840.82400000000007</v>
      </c>
      <c r="L71" s="46">
        <f t="shared" si="189"/>
        <v>910.21799999999996</v>
      </c>
      <c r="M71" s="46">
        <f t="shared" si="189"/>
        <v>973.23899999999992</v>
      </c>
      <c r="N71" s="46">
        <f t="shared" si="189"/>
        <v>1244.25</v>
      </c>
      <c r="O71" s="46">
        <f t="shared" si="189"/>
        <v>1301.5730000000001</v>
      </c>
      <c r="P71" s="46">
        <f t="shared" si="189"/>
        <v>1327.9</v>
      </c>
      <c r="Q71" s="46">
        <f t="shared" si="189"/>
        <v>1321.6009999999999</v>
      </c>
      <c r="R71" s="46">
        <f t="shared" si="189"/>
        <v>1370.886</v>
      </c>
      <c r="S71" s="46">
        <f t="shared" si="189"/>
        <v>1395.298</v>
      </c>
      <c r="T71" s="46">
        <f t="shared" si="189"/>
        <v>1432.5319999999999</v>
      </c>
      <c r="U71" s="46">
        <f t="shared" si="189"/>
        <v>1468.377</v>
      </c>
      <c r="V71" s="46">
        <f t="shared" si="189"/>
        <v>1556.3010000000002</v>
      </c>
      <c r="W71" s="46">
        <f t="shared" si="189"/>
        <v>1579.8454999999999</v>
      </c>
      <c r="X71" s="46">
        <f t="shared" si="189"/>
        <v>1534.5610000000001</v>
      </c>
      <c r="Y71" s="46">
        <f>SUM(Y63:Y70)</f>
        <v>1479.123</v>
      </c>
      <c r="Z71" s="46">
        <f>SUM(Z63:Z70)</f>
        <v>1533.1780000000001</v>
      </c>
      <c r="AV71" s="46">
        <f t="shared" ref="AV71:AZ71" si="190">SUM(AV63:AV70)</f>
        <v>665.90099999999995</v>
      </c>
      <c r="AW71" s="46">
        <f t="shared" si="190"/>
        <v>822.98300000000006</v>
      </c>
      <c r="AX71" s="46">
        <f t="shared" si="190"/>
        <v>1244.25</v>
      </c>
      <c r="AY71" s="46">
        <f t="shared" si="190"/>
        <v>1370.886</v>
      </c>
      <c r="AZ71" s="46">
        <f t="shared" si="190"/>
        <v>1556.3010000000002</v>
      </c>
      <c r="BA71" s="46">
        <f>SUM(BA63:BA70)</f>
        <v>1533.1780000000001</v>
      </c>
    </row>
    <row r="72" spans="2:53">
      <c r="AW72" s="46"/>
      <c r="AX72" s="46"/>
      <c r="AY72" s="46"/>
      <c r="AZ72" s="46"/>
      <c r="BA72" s="46"/>
    </row>
    <row r="73" spans="2:53">
      <c r="B73" s="2" t="s">
        <v>644</v>
      </c>
      <c r="C73" s="48">
        <f t="shared" ref="C73:Y73" si="191">SUM(C49:C53)/SUM(C63:C66)</f>
        <v>6.0952861176741786</v>
      </c>
      <c r="D73" s="48">
        <f t="shared" si="191"/>
        <v>6.2298992273619929</v>
      </c>
      <c r="E73" s="48">
        <f t="shared" si="191"/>
        <v>5.2378984994255351</v>
      </c>
      <c r="F73" s="48">
        <f t="shared" si="191"/>
        <v>5.0867015200773222</v>
      </c>
      <c r="G73" s="48">
        <f t="shared" si="191"/>
        <v>5.1518041646797013</v>
      </c>
      <c r="H73" s="48">
        <f t="shared" si="191"/>
        <v>7.4201798690924061</v>
      </c>
      <c r="I73" s="48">
        <f t="shared" si="191"/>
        <v>5.4620239692749077</v>
      </c>
      <c r="J73" s="48">
        <f t="shared" si="191"/>
        <v>5.8311180757467049</v>
      </c>
      <c r="K73" s="48">
        <f t="shared" si="191"/>
        <v>5.6777726126834862</v>
      </c>
      <c r="L73" s="48">
        <f t="shared" si="191"/>
        <v>6.0447587138811247</v>
      </c>
      <c r="M73" s="48">
        <f t="shared" si="191"/>
        <v>5.7556803984249116</v>
      </c>
      <c r="N73" s="48">
        <f t="shared" si="191"/>
        <v>5.5315795027476309</v>
      </c>
      <c r="O73" s="48">
        <f t="shared" si="191"/>
        <v>5.3061591557198744</v>
      </c>
      <c r="P73" s="48">
        <f t="shared" si="191"/>
        <v>4.9309153594681465</v>
      </c>
      <c r="Q73" s="48">
        <f t="shared" si="191"/>
        <v>5.2310745163808825</v>
      </c>
      <c r="R73" s="48">
        <f t="shared" si="191"/>
        <v>5.214162503794884</v>
      </c>
      <c r="S73" s="48">
        <f t="shared" si="191"/>
        <v>5.3748428188726685</v>
      </c>
      <c r="T73" s="48">
        <f t="shared" si="191"/>
        <v>5.7441925009020007</v>
      </c>
      <c r="U73" s="48">
        <f t="shared" si="191"/>
        <v>5.9862694550517652</v>
      </c>
      <c r="V73" s="48">
        <f t="shared" si="191"/>
        <v>6.0564891758852486</v>
      </c>
      <c r="W73" s="48">
        <f t="shared" si="191"/>
        <v>6.1191203081081245</v>
      </c>
      <c r="X73" s="48">
        <f t="shared" si="191"/>
        <v>6.2505463793263303</v>
      </c>
      <c r="Y73" s="48">
        <f t="shared" si="191"/>
        <v>5.8214120181479911</v>
      </c>
      <c r="Z73" s="48">
        <f>SUM(Z49:Z53)/SUM(Z63:Z66)</f>
        <v>6.0066310903407114</v>
      </c>
      <c r="AV73" s="48">
        <f t="shared" ref="AV73:BA73" si="192">SUM(AV49:AV53)/SUM(AV63:AV66)</f>
        <v>5.0867015200773222</v>
      </c>
      <c r="AW73" s="48">
        <f t="shared" si="192"/>
        <v>5.8311180757467049</v>
      </c>
      <c r="AX73" s="48">
        <f t="shared" si="192"/>
        <v>5.5315795027476309</v>
      </c>
      <c r="AY73" s="48">
        <f t="shared" si="192"/>
        <v>5.214162503794884</v>
      </c>
      <c r="AZ73" s="48">
        <f t="shared" si="192"/>
        <v>6.0564891758852486</v>
      </c>
      <c r="BA73" s="48">
        <f t="shared" si="192"/>
        <v>6.0066310903407114</v>
      </c>
    </row>
    <row r="74" spans="2:53">
      <c r="B74" s="2" t="s">
        <v>645</v>
      </c>
      <c r="C74" s="48">
        <f t="shared" ref="C74:Y74" si="193">(SUM(C49:C53)-C52)/SUM(C63:C66)</f>
        <v>4.3421166368927562</v>
      </c>
      <c r="D74" s="48">
        <f t="shared" si="193"/>
        <v>4.3271885437422055</v>
      </c>
      <c r="E74" s="48">
        <f t="shared" si="193"/>
        <v>3.6089802360532457</v>
      </c>
      <c r="F74" s="48">
        <f t="shared" si="193"/>
        <v>3.4063570863720241</v>
      </c>
      <c r="G74" s="48">
        <f t="shared" si="193"/>
        <v>3.2652996343983474</v>
      </c>
      <c r="H74" s="48">
        <f t="shared" si="193"/>
        <v>5.0566020718445577</v>
      </c>
      <c r="I74" s="48">
        <f t="shared" si="193"/>
        <v>3.689343389940309</v>
      </c>
      <c r="J74" s="48">
        <f t="shared" si="193"/>
        <v>3.7587792168560963</v>
      </c>
      <c r="K74" s="48">
        <f t="shared" si="193"/>
        <v>3.484704367881855</v>
      </c>
      <c r="L74" s="48">
        <f t="shared" si="193"/>
        <v>3.6848657053477223</v>
      </c>
      <c r="M74" s="48">
        <f t="shared" si="193"/>
        <v>3.5299120259872301</v>
      </c>
      <c r="N74" s="48">
        <f t="shared" si="193"/>
        <v>3.3926962507203902</v>
      </c>
      <c r="O74" s="48">
        <f t="shared" si="193"/>
        <v>3.19738814287581</v>
      </c>
      <c r="P74" s="48">
        <f t="shared" si="193"/>
        <v>2.8988077250624991</v>
      </c>
      <c r="Q74" s="48">
        <f t="shared" si="193"/>
        <v>2.9156015961599637</v>
      </c>
      <c r="R74" s="48">
        <f t="shared" si="193"/>
        <v>2.9095920845637959</v>
      </c>
      <c r="S74" s="48">
        <f t="shared" si="193"/>
        <v>3.0236728445683663</v>
      </c>
      <c r="T74" s="48">
        <f t="shared" si="193"/>
        <v>3.2548777441647472</v>
      </c>
      <c r="U74" s="48">
        <f t="shared" si="193"/>
        <v>3.406657108589862</v>
      </c>
      <c r="V74" s="48">
        <f t="shared" si="193"/>
        <v>3.4892486635261739</v>
      </c>
      <c r="W74" s="48">
        <f t="shared" si="193"/>
        <v>3.5120726946699512</v>
      </c>
      <c r="X74" s="48">
        <f t="shared" si="193"/>
        <v>3.7749579453488216</v>
      </c>
      <c r="Y74" s="48">
        <f t="shared" si="193"/>
        <v>3.2531905865456801</v>
      </c>
      <c r="Z74" s="48">
        <f>(SUM(Z49:Z53)-Z52)/SUM(Z63:Z66)</f>
        <v>3.4379550980454061</v>
      </c>
      <c r="AV74" s="48">
        <f t="shared" ref="AV74:BA74" si="194">(SUM(AV49:AV53)-AV52)/SUM(AV63:AV66)</f>
        <v>3.4063570863720241</v>
      </c>
      <c r="AW74" s="48">
        <f t="shared" si="194"/>
        <v>3.7587792168560963</v>
      </c>
      <c r="AX74" s="48">
        <f t="shared" si="194"/>
        <v>3.3926962507203902</v>
      </c>
      <c r="AY74" s="48">
        <f t="shared" si="194"/>
        <v>2.9095920845637959</v>
      </c>
      <c r="AZ74" s="48">
        <f t="shared" si="194"/>
        <v>3.4892486635261739</v>
      </c>
      <c r="BA74" s="48">
        <f t="shared" si="194"/>
        <v>3.4379550980454061</v>
      </c>
    </row>
    <row r="75" spans="2:53">
      <c r="B75" s="2" t="s">
        <v>646</v>
      </c>
      <c r="C75" s="48">
        <f t="shared" ref="C75:Y75" si="195">C49/SUM(C63:C66)</f>
        <v>1.3773699072206536</v>
      </c>
      <c r="D75" s="48">
        <f t="shared" si="195"/>
        <v>1.1075099267499031</v>
      </c>
      <c r="E75" s="48">
        <f t="shared" si="195"/>
        <v>1.2949388977218657</v>
      </c>
      <c r="F75" s="48">
        <f t="shared" si="195"/>
        <v>0.79934759687197954</v>
      </c>
      <c r="G75" s="48">
        <f t="shared" si="195"/>
        <v>0.82267184413107164</v>
      </c>
      <c r="H75" s="48">
        <f t="shared" si="195"/>
        <v>1.731446168118332</v>
      </c>
      <c r="I75" s="48">
        <f t="shared" si="195"/>
        <v>0.74142797649345238</v>
      </c>
      <c r="J75" s="48">
        <f t="shared" si="195"/>
        <v>0.65768606275724051</v>
      </c>
      <c r="K75" s="48">
        <f t="shared" si="195"/>
        <v>0.49732706370349183</v>
      </c>
      <c r="L75" s="48">
        <f t="shared" si="195"/>
        <v>0.76149973159580187</v>
      </c>
      <c r="M75" s="48">
        <f t="shared" si="195"/>
        <v>0.57118484882428466</v>
      </c>
      <c r="N75" s="48">
        <f t="shared" si="195"/>
        <v>0.48198413922416938</v>
      </c>
      <c r="O75" s="48">
        <f t="shared" si="195"/>
        <v>0.52393177503285948</v>
      </c>
      <c r="P75" s="48">
        <f t="shared" si="195"/>
        <v>0.39994780363176835</v>
      </c>
      <c r="Q75" s="48">
        <f t="shared" si="195"/>
        <v>0.39646647196599494</v>
      </c>
      <c r="R75" s="48">
        <f t="shared" si="195"/>
        <v>0.48200535423508972</v>
      </c>
      <c r="S75" s="48">
        <f t="shared" si="195"/>
        <v>0.64709419933300527</v>
      </c>
      <c r="T75" s="48">
        <f t="shared" si="195"/>
        <v>0.79214426466098642</v>
      </c>
      <c r="U75" s="48">
        <f t="shared" si="195"/>
        <v>0.69450226774562651</v>
      </c>
      <c r="V75" s="48">
        <f t="shared" si="195"/>
        <v>1.1081220557878579</v>
      </c>
      <c r="W75" s="48">
        <f t="shared" si="195"/>
        <v>1.4601367115282045</v>
      </c>
      <c r="X75" s="48">
        <f t="shared" si="195"/>
        <v>1.9095593202378902</v>
      </c>
      <c r="Y75" s="48">
        <f t="shared" si="195"/>
        <v>1.8309625616085126</v>
      </c>
      <c r="Z75" s="48">
        <f>Z49/SUM(Z63:Z66)</f>
        <v>2.048691149073226</v>
      </c>
      <c r="AV75" s="48">
        <f t="shared" ref="AV75:BA75" si="196">AV49/SUM(AV63:AV66)</f>
        <v>0.79934759687197954</v>
      </c>
      <c r="AW75" s="48">
        <f t="shared" si="196"/>
        <v>0.65768606275724051</v>
      </c>
      <c r="AX75" s="48">
        <f t="shared" si="196"/>
        <v>0.48198413922416938</v>
      </c>
      <c r="AY75" s="48">
        <f t="shared" si="196"/>
        <v>0.48200535423508972</v>
      </c>
      <c r="AZ75" s="48">
        <f t="shared" si="196"/>
        <v>1.1081220557878579</v>
      </c>
      <c r="BA75" s="48">
        <f t="shared" si="196"/>
        <v>2.048691149073226</v>
      </c>
    </row>
    <row r="76" spans="2:53">
      <c r="B76" s="2" t="s">
        <v>641</v>
      </c>
      <c r="C76" s="48">
        <f t="shared" ref="C76:Z76" si="197">C39/C61</f>
        <v>1.8808380612142642E-2</v>
      </c>
      <c r="D76" s="48">
        <f t="shared" si="197"/>
        <v>2.6806971008820572E-2</v>
      </c>
      <c r="E76" s="48">
        <f t="shared" si="197"/>
        <v>6.0536984873895026E-3</v>
      </c>
      <c r="F76" s="48">
        <f t="shared" si="197"/>
        <v>3.0788360431956225E-2</v>
      </c>
      <c r="G76" s="48">
        <f t="shared" si="197"/>
        <v>2.282307599662792E-3</v>
      </c>
      <c r="H76" s="48">
        <f t="shared" si="197"/>
        <v>-1.5303768264547575E-2</v>
      </c>
      <c r="I76" s="48">
        <f t="shared" si="197"/>
        <v>-1.0900847089487405E-2</v>
      </c>
      <c r="J76" s="48">
        <f t="shared" si="197"/>
        <v>4.4411609960351662E-3</v>
      </c>
      <c r="K76" s="48">
        <f t="shared" si="197"/>
        <v>1.4071910411691393E-2</v>
      </c>
      <c r="L76" s="48">
        <f t="shared" si="197"/>
        <v>1.0167893845210732E-2</v>
      </c>
      <c r="M76" s="48">
        <f t="shared" si="197"/>
        <v>9.0851084161065777E-3</v>
      </c>
      <c r="N76" s="48">
        <f t="shared" si="197"/>
        <v>-1.9823186658629765E-2</v>
      </c>
      <c r="O76" s="48">
        <f t="shared" si="197"/>
        <v>5.5317680990614748E-5</v>
      </c>
      <c r="P76" s="48">
        <f t="shared" si="197"/>
        <v>-2.7592439189698067E-3</v>
      </c>
      <c r="Q76" s="48">
        <f t="shared" si="197"/>
        <v>-1.7251802926904591E-3</v>
      </c>
      <c r="R76" s="48">
        <f t="shared" si="197"/>
        <v>2.8229918461490956E-3</v>
      </c>
      <c r="S76" s="48">
        <f t="shared" si="197"/>
        <v>6.1664246634052658E-3</v>
      </c>
      <c r="T76" s="48">
        <f t="shared" si="197"/>
        <v>1.333303549240087E-2</v>
      </c>
      <c r="U76" s="48">
        <f t="shared" si="197"/>
        <v>6.272231177688015E-3</v>
      </c>
      <c r="V76" s="48">
        <f t="shared" si="197"/>
        <v>3.4759253488230148E-2</v>
      </c>
      <c r="W76" s="48">
        <f t="shared" si="197"/>
        <v>7.0260057157505891E-3</v>
      </c>
      <c r="X76" s="48">
        <f t="shared" si="197"/>
        <v>-3.922946041245675E-2</v>
      </c>
      <c r="Y76" s="48">
        <f t="shared" si="197"/>
        <v>1.9944250748585503E-2</v>
      </c>
      <c r="Z76" s="48">
        <f t="shared" si="197"/>
        <v>2.1908769769419825E-2</v>
      </c>
      <c r="AV76" s="48">
        <f t="shared" ref="AV76" si="198">AV39/AV61</f>
        <v>7.5991776555373966E-2</v>
      </c>
      <c r="AW76" s="48">
        <f t="shared" ref="AW76" si="199">AW39/AW61</f>
        <v>-1.8957864257220371E-2</v>
      </c>
      <c r="AX76" s="48">
        <f t="shared" ref="AX76" si="200">AX39/AX61</f>
        <v>4.2467349809121374E-3</v>
      </c>
      <c r="AY76" s="48">
        <f t="shared" ref="AY76" si="201">AY39/AY61</f>
        <v>-1.4603694253206053E-3</v>
      </c>
      <c r="AZ76" s="48">
        <f t="shared" ref="AZ76:BA76" si="202">AZ39/AZ61</f>
        <v>5.8478254583773787E-2</v>
      </c>
      <c r="BA76" s="48">
        <f t="shared" si="202"/>
        <v>9.124849332366269E-3</v>
      </c>
    </row>
    <row r="77" spans="2:53">
      <c r="B77" s="2" t="s">
        <v>642</v>
      </c>
      <c r="C77" s="48">
        <f t="shared" ref="C77:Z77" si="203">C39/C70</f>
        <v>2.4499442361729757E-2</v>
      </c>
      <c r="D77" s="48">
        <f t="shared" si="203"/>
        <v>3.4534537840473972E-2</v>
      </c>
      <c r="E77" s="48">
        <f t="shared" si="203"/>
        <v>7.9624620669421012E-3</v>
      </c>
      <c r="F77" s="48">
        <f t="shared" si="203"/>
        <v>4.2218803862334987E-2</v>
      </c>
      <c r="G77" s="48">
        <f t="shared" si="203"/>
        <v>3.1058127457146817E-3</v>
      </c>
      <c r="H77" s="48">
        <f t="shared" si="203"/>
        <v>-1.916037749474055E-2</v>
      </c>
      <c r="I77" s="48">
        <f t="shared" si="203"/>
        <v>-1.4253395125477644E-2</v>
      </c>
      <c r="J77" s="48">
        <f t="shared" si="203"/>
        <v>5.7307443852816437E-3</v>
      </c>
      <c r="K77" s="48">
        <f t="shared" si="203"/>
        <v>1.8189896244413667E-2</v>
      </c>
      <c r="L77" s="48">
        <f t="shared" si="203"/>
        <v>1.3744178586703451E-2</v>
      </c>
      <c r="M77" s="48">
        <f t="shared" si="203"/>
        <v>1.2915514539083208E-2</v>
      </c>
      <c r="N77" s="48">
        <f t="shared" si="203"/>
        <v>-2.5856276214008073E-2</v>
      </c>
      <c r="O77" s="48">
        <f t="shared" si="203"/>
        <v>7.5054570927609243E-5</v>
      </c>
      <c r="P77" s="48">
        <f t="shared" si="203"/>
        <v>-3.7772611763735682E-3</v>
      </c>
      <c r="Q77" s="48">
        <f t="shared" si="203"/>
        <v>-2.341458605476552E-3</v>
      </c>
      <c r="R77" s="48">
        <f t="shared" si="203"/>
        <v>3.8744245928850241E-3</v>
      </c>
      <c r="S77" s="48">
        <f t="shared" si="203"/>
        <v>8.3984971726816914E-3</v>
      </c>
      <c r="T77" s="48">
        <f t="shared" si="203"/>
        <v>1.7908326246574215E-2</v>
      </c>
      <c r="U77" s="48">
        <f t="shared" si="203"/>
        <v>8.3413486357683496E-3</v>
      </c>
      <c r="V77" s="48">
        <f t="shared" si="203"/>
        <v>4.588528678304242E-2</v>
      </c>
      <c r="W77" s="48">
        <f t="shared" si="203"/>
        <v>9.2228617293613462E-3</v>
      </c>
      <c r="X77" s="48">
        <f t="shared" si="203"/>
        <v>-5.1841537127410513E-2</v>
      </c>
      <c r="Y77" s="48">
        <f t="shared" si="203"/>
        <v>2.6714239142246562E-2</v>
      </c>
      <c r="Z77" s="48">
        <f t="shared" si="203"/>
        <v>2.9185068435901025E-2</v>
      </c>
      <c r="AV77" s="48">
        <f t="shared" ref="AV77" si="204">AV39/AV70</f>
        <v>0.1042043767362078</v>
      </c>
      <c r="AW77" s="48">
        <f t="shared" ref="AW77" si="205">AW39/AW70</f>
        <v>-2.4462674117418315E-2</v>
      </c>
      <c r="AX77" s="48">
        <f t="shared" ref="AX77" si="206">AX39/AX70</f>
        <v>5.5392079268119319E-3</v>
      </c>
      <c r="AY77" s="48">
        <f t="shared" ref="AY77" si="207">AY39/AY70</f>
        <v>-2.0042888979214897E-3</v>
      </c>
      <c r="AZ77" s="48">
        <f t="shared" ref="AZ77:BA77" si="208">AZ39/AZ70</f>
        <v>7.7196464620761088E-2</v>
      </c>
      <c r="BA77" s="48">
        <f t="shared" si="208"/>
        <v>1.2155376821025746E-2</v>
      </c>
    </row>
    <row r="78" spans="2:53">
      <c r="B78" s="2" t="s">
        <v>647</v>
      </c>
      <c r="C78" s="48">
        <f t="shared" ref="C78:Z78" si="209">C26/C61</f>
        <v>0.2258113289813973</v>
      </c>
      <c r="D78" s="48">
        <f t="shared" si="209"/>
        <v>0.229360683223126</v>
      </c>
      <c r="E78" s="48">
        <f t="shared" si="209"/>
        <v>0.22713906573098652</v>
      </c>
      <c r="F78" s="48">
        <f t="shared" si="209"/>
        <v>0.2181420361284937</v>
      </c>
      <c r="G78" s="48">
        <f t="shared" si="209"/>
        <v>0.20670239672407562</v>
      </c>
      <c r="H78" s="48">
        <f t="shared" si="209"/>
        <v>0.13470904896180469</v>
      </c>
      <c r="I78" s="48">
        <f t="shared" si="209"/>
        <v>0.18647322486375484</v>
      </c>
      <c r="J78" s="48">
        <f t="shared" si="209"/>
        <v>0.2028134238495814</v>
      </c>
      <c r="K78" s="48">
        <f t="shared" si="209"/>
        <v>0.20123117323006956</v>
      </c>
      <c r="L78" s="48">
        <f t="shared" si="209"/>
        <v>0.20247896657723757</v>
      </c>
      <c r="M78" s="48">
        <f t="shared" si="209"/>
        <v>0.19532674846209727</v>
      </c>
      <c r="N78" s="48">
        <f t="shared" si="209"/>
        <v>0.16394615230058271</v>
      </c>
      <c r="O78" s="48">
        <f t="shared" si="209"/>
        <v>0.15665659936092716</v>
      </c>
      <c r="P78" s="48">
        <f t="shared" si="209"/>
        <v>0.15686422170344153</v>
      </c>
      <c r="Q78" s="48">
        <f t="shared" si="209"/>
        <v>0.16169781953857482</v>
      </c>
      <c r="R78" s="48">
        <f t="shared" si="209"/>
        <v>0.16137957496101057</v>
      </c>
      <c r="S78" s="48">
        <f t="shared" si="209"/>
        <v>0.17300963665109534</v>
      </c>
      <c r="T78" s="48">
        <f t="shared" si="209"/>
        <v>0.18254391524936267</v>
      </c>
      <c r="U78" s="48">
        <f t="shared" si="209"/>
        <v>0.18448940564991143</v>
      </c>
      <c r="V78" s="48">
        <f t="shared" si="209"/>
        <v>0.18294614487520119</v>
      </c>
      <c r="W78" s="48">
        <f t="shared" si="209"/>
        <v>0.17640971107925144</v>
      </c>
      <c r="X78" s="48">
        <f t="shared" si="209"/>
        <v>0.19510465859617179</v>
      </c>
      <c r="Y78" s="48">
        <f t="shared" si="209"/>
        <v>0.20349896526522815</v>
      </c>
      <c r="Z78" s="48">
        <f t="shared" si="209"/>
        <v>0.20578198458624455</v>
      </c>
      <c r="AV78" s="48">
        <f t="shared" ref="AV78:BA78" si="210">AV26/AV61</f>
        <v>0.82204862284333569</v>
      </c>
      <c r="AW78" s="48">
        <f t="shared" si="210"/>
        <v>0.68095209743093121</v>
      </c>
      <c r="AX78" s="48">
        <f t="shared" si="210"/>
        <v>0.6008358448864779</v>
      </c>
      <c r="AY78" s="48">
        <f t="shared" si="210"/>
        <v>0.61794562056947122</v>
      </c>
      <c r="AZ78" s="48">
        <f t="shared" si="210"/>
        <v>0.68014945656539028</v>
      </c>
      <c r="BA78" s="48">
        <f t="shared" si="210"/>
        <v>0.77916690582164094</v>
      </c>
    </row>
    <row r="79" spans="2:53">
      <c r="B79" s="2" t="s">
        <v>643</v>
      </c>
      <c r="C79" s="48"/>
      <c r="D79" s="48">
        <f t="shared" ref="D79:Z79" si="211">D27/AVERAGE(A52:D52)</f>
        <v>0.31657928041945399</v>
      </c>
      <c r="E79" s="48">
        <f t="shared" si="211"/>
        <v>0.3746342946160568</v>
      </c>
      <c r="F79" s="48">
        <f t="shared" si="211"/>
        <v>0.29864707718651928</v>
      </c>
      <c r="G79" s="48">
        <f t="shared" si="211"/>
        <v>0.33297424346293208</v>
      </c>
      <c r="H79" s="48">
        <f t="shared" si="211"/>
        <v>0.25009915311574088</v>
      </c>
      <c r="I79" s="48">
        <f t="shared" si="211"/>
        <v>0.34663673964499597</v>
      </c>
      <c r="J79" s="48">
        <f t="shared" si="211"/>
        <v>0.38168557110329349</v>
      </c>
      <c r="K79" s="48">
        <f t="shared" si="211"/>
        <v>0.27561062444260015</v>
      </c>
      <c r="L79" s="48">
        <f t="shared" si="211"/>
        <v>0.28791755726530988</v>
      </c>
      <c r="M79" s="48">
        <f t="shared" si="211"/>
        <v>0.28707517627826667</v>
      </c>
      <c r="N79" s="48">
        <f t="shared" si="211"/>
        <v>0.30736568576230944</v>
      </c>
      <c r="O79" s="48">
        <f t="shared" si="211"/>
        <v>0.29111084473517479</v>
      </c>
      <c r="P79" s="48">
        <f t="shared" si="211"/>
        <v>0.27214821272247108</v>
      </c>
      <c r="Q79" s="48">
        <f t="shared" si="211"/>
        <v>0.2717410141762851</v>
      </c>
      <c r="R79" s="48">
        <f t="shared" si="211"/>
        <v>0.27022674599972879</v>
      </c>
      <c r="S79" s="48">
        <f t="shared" si="211"/>
        <v>0.27908378308421578</v>
      </c>
      <c r="T79" s="48">
        <f t="shared" si="211"/>
        <v>0.27882533773676943</v>
      </c>
      <c r="U79" s="48">
        <f t="shared" si="211"/>
        <v>0.26419798407300027</v>
      </c>
      <c r="V79" s="48">
        <f t="shared" si="211"/>
        <v>0.26701613563764443</v>
      </c>
      <c r="W79" s="48">
        <f t="shared" si="211"/>
        <v>0.25667959278769831</v>
      </c>
      <c r="X79" s="48">
        <f t="shared" si="211"/>
        <v>0.35609244587414374</v>
      </c>
      <c r="Y79" s="48">
        <f t="shared" si="211"/>
        <v>0.25926862817415797</v>
      </c>
      <c r="Z79" s="48">
        <f t="shared" si="211"/>
        <v>0.26661324225743571</v>
      </c>
      <c r="AV79" s="48">
        <f t="shared" ref="AV79:BA79" si="212">AV27/AVERAGE(AS52:AV52)</f>
        <v>1.1438506588579795</v>
      </c>
      <c r="AW79" s="48">
        <f t="shared" si="212"/>
        <v>1.1931579328839603</v>
      </c>
      <c r="AX79" s="48">
        <f t="shared" si="212"/>
        <v>1.283953567716891</v>
      </c>
      <c r="AY79" s="48">
        <f t="shared" si="212"/>
        <v>1.2862543284788392</v>
      </c>
      <c r="AZ79" s="48">
        <f t="shared" si="212"/>
        <v>1.2477387018073789</v>
      </c>
      <c r="BA79" s="48">
        <f t="shared" si="212"/>
        <v>1.2629734175124079</v>
      </c>
    </row>
    <row r="80" spans="2:53">
      <c r="AW80" s="46"/>
      <c r="AX80" s="46"/>
      <c r="AY80" s="46"/>
      <c r="AZ80" s="46"/>
      <c r="BA80" s="46"/>
    </row>
    <row r="81" spans="2:53">
      <c r="B81" s="2" t="s">
        <v>613</v>
      </c>
      <c r="C81" s="46">
        <v>-5.92</v>
      </c>
      <c r="D81" s="46">
        <f>-27.609-C81</f>
        <v>-21.689</v>
      </c>
      <c r="E81" s="46">
        <f>-31.159-SUM(C81:D81)</f>
        <v>-3.5499999999999972</v>
      </c>
      <c r="F81" s="46">
        <f>-33.242-SUM(C81:E81)</f>
        <v>-2.0829999999999984</v>
      </c>
      <c r="G81" s="46">
        <v>-5.92</v>
      </c>
      <c r="H81" s="46">
        <f>-27.609-G81</f>
        <v>-21.689</v>
      </c>
      <c r="I81" s="46">
        <f>-31.159-SUM(G81:H81)</f>
        <v>-3.5499999999999972</v>
      </c>
      <c r="J81" s="46">
        <f>-33.242-SUM(G81:I81)</f>
        <v>-2.0829999999999984</v>
      </c>
      <c r="K81" s="46">
        <v>-14.368</v>
      </c>
      <c r="L81" s="46">
        <f>-17.678-K81</f>
        <v>-3.3100000000000005</v>
      </c>
      <c r="M81" s="46">
        <f>18.772-SUM(K81:L81)</f>
        <v>36.450000000000003</v>
      </c>
      <c r="N81" s="46">
        <f>9.502-SUM(K81:M81)</f>
        <v>-9.2700000000000014</v>
      </c>
      <c r="O81" s="46">
        <v>-4.5140000000000002</v>
      </c>
      <c r="P81" s="46">
        <f>-44.089-O81</f>
        <v>-39.574999999999996</v>
      </c>
      <c r="Q81" s="46">
        <f>-56.998-SUM(O81:P81)</f>
        <v>-12.908999999999999</v>
      </c>
      <c r="R81" s="46">
        <f>-55.661-SUM(O81:Q81)</f>
        <v>1.3369999999999962</v>
      </c>
      <c r="S81" s="46">
        <v>13.129</v>
      </c>
      <c r="T81" s="46">
        <f>30.228-S81</f>
        <v>17.099000000000004</v>
      </c>
      <c r="U81" s="46">
        <f>61.072-SUM(S81:T81)</f>
        <v>30.844000000000001</v>
      </c>
      <c r="V81" s="46">
        <f>97.333-SUM(S81:U81)</f>
        <v>36.260999999999996</v>
      </c>
      <c r="W81" s="46">
        <v>38.295000000000002</v>
      </c>
      <c r="X81" s="46">
        <f>60.906-W81</f>
        <v>22.610999999999997</v>
      </c>
      <c r="Y81" s="46">
        <f>117.373-SUM(W81:X81)</f>
        <v>56.467000000000006</v>
      </c>
      <c r="Z81" s="46">
        <f>168.481-SUM(W81:Y81)</f>
        <v>51.10799999999999</v>
      </c>
      <c r="AV81" s="49">
        <f t="shared" ref="AV81:AV85" si="213">SUM(C81:F81)</f>
        <v>-33.241999999999997</v>
      </c>
      <c r="AW81" s="46">
        <f t="shared" ref="AW81:AW83" si="214">SUM(G81:J81)</f>
        <v>-33.241999999999997</v>
      </c>
      <c r="AX81" s="46">
        <f t="shared" ref="AX81:AX83" si="215">SUM(K81:N81)</f>
        <v>9.5020000000000007</v>
      </c>
      <c r="AY81" s="46">
        <f t="shared" ref="AY81:AY83" si="216">SUM(O81:R81)</f>
        <v>-55.661000000000001</v>
      </c>
      <c r="AZ81" s="46">
        <f t="shared" ref="AZ81:AZ85" si="217">SUM(S81:V81)</f>
        <v>97.332999999999998</v>
      </c>
      <c r="BA81" s="46">
        <f t="shared" ref="BA81:BA85" si="218">SUM(W81:Z81)</f>
        <v>168.48099999999999</v>
      </c>
    </row>
    <row r="82" spans="2:53">
      <c r="B82" s="2" t="s">
        <v>614</v>
      </c>
      <c r="C82" s="46">
        <v>-10.131</v>
      </c>
      <c r="D82" s="46">
        <f>-16.85-C82</f>
        <v>-6.7190000000000012</v>
      </c>
      <c r="E82" s="46">
        <f>-21.003-SUM(C82:D82)</f>
        <v>-4.1529999999999987</v>
      </c>
      <c r="F82" s="46">
        <f>-24.756-SUM(C82:E82)</f>
        <v>-3.7530000000000001</v>
      </c>
      <c r="G82" s="46">
        <v>-10.131</v>
      </c>
      <c r="H82" s="46">
        <f>-16.85-G82</f>
        <v>-6.7190000000000012</v>
      </c>
      <c r="I82" s="46">
        <f>-21.003-SUM(G82:H82)</f>
        <v>-4.1529999999999987</v>
      </c>
      <c r="J82" s="46">
        <f>-24.756-SUM(G82:I82)</f>
        <v>-3.7530000000000001</v>
      </c>
      <c r="K82" s="46">
        <v>-3.9910000000000001</v>
      </c>
      <c r="L82" s="46">
        <f>-7.286-K82</f>
        <v>-3.2949999999999995</v>
      </c>
      <c r="M82" s="46">
        <f>-13.088-SUM(K82:L82)</f>
        <v>-5.8019999999999996</v>
      </c>
      <c r="N82" s="46">
        <f>-21.18-SUM(K82:M82)</f>
        <v>-8.0920000000000005</v>
      </c>
      <c r="O82" s="46">
        <v>-4.9569999999999999</v>
      </c>
      <c r="P82" s="46">
        <f>-9.388-O82</f>
        <v>-4.431</v>
      </c>
      <c r="Q82" s="46">
        <f>-15.736-SUM(O82:P82)</f>
        <v>-6.3480000000000008</v>
      </c>
      <c r="R82" s="46">
        <f>-19.298-SUM(O82:Q82)</f>
        <v>-3.5619999999999976</v>
      </c>
      <c r="S82" s="46">
        <v>-3.8940000000000001</v>
      </c>
      <c r="T82" s="46">
        <f>-8.236-S82</f>
        <v>-4.3420000000000005</v>
      </c>
      <c r="U82" s="46">
        <f>-12.568-SUM(S82:T82)</f>
        <v>-4.331999999999999</v>
      </c>
      <c r="V82" s="46">
        <f>-16.213-SUM(S82:U82)</f>
        <v>-3.6450000000000014</v>
      </c>
      <c r="W82" s="46">
        <v>-5.8239999999999998</v>
      </c>
      <c r="X82" s="46">
        <f>-10.36-W82</f>
        <v>-4.5359999999999996</v>
      </c>
      <c r="Y82" s="46">
        <f>-15.811-SUM(W82:X82)</f>
        <v>-5.4510000000000005</v>
      </c>
      <c r="Z82" s="46">
        <f>-21.182-SUM(W82:Y82)</f>
        <v>-5.3709999999999987</v>
      </c>
      <c r="AV82" s="49">
        <f t="shared" si="213"/>
        <v>-24.756</v>
      </c>
      <c r="AW82" s="46">
        <f t="shared" si="214"/>
        <v>-24.756</v>
      </c>
      <c r="AX82" s="46">
        <f t="shared" si="215"/>
        <v>-21.18</v>
      </c>
      <c r="AY82" s="46">
        <f t="shared" si="216"/>
        <v>-19.297999999999998</v>
      </c>
      <c r="AZ82" s="46">
        <f t="shared" si="217"/>
        <v>-16.213000000000001</v>
      </c>
      <c r="BA82" s="46">
        <f t="shared" si="218"/>
        <v>-21.181999999999999</v>
      </c>
    </row>
    <row r="83" spans="2:53">
      <c r="B83" s="2" t="s">
        <v>615</v>
      </c>
      <c r="C83" s="46">
        <f t="shared" ref="C83" si="219">C81+C82</f>
        <v>-16.051000000000002</v>
      </c>
      <c r="D83" s="46">
        <f t="shared" ref="D83" si="220">D81+D82</f>
        <v>-28.408000000000001</v>
      </c>
      <c r="E83" s="46">
        <f t="shared" ref="E83" si="221">E81+E82</f>
        <v>-7.7029999999999959</v>
      </c>
      <c r="F83" s="46">
        <f t="shared" ref="F83" si="222">F81+F82</f>
        <v>-5.8359999999999985</v>
      </c>
      <c r="G83" s="46">
        <f t="shared" ref="G83:Y83" si="223">G81+G82</f>
        <v>-16.051000000000002</v>
      </c>
      <c r="H83" s="46">
        <f t="shared" si="223"/>
        <v>-28.408000000000001</v>
      </c>
      <c r="I83" s="46">
        <f t="shared" si="223"/>
        <v>-7.7029999999999959</v>
      </c>
      <c r="J83" s="46">
        <f t="shared" si="223"/>
        <v>-5.8359999999999985</v>
      </c>
      <c r="K83" s="46">
        <f t="shared" si="223"/>
        <v>-18.359000000000002</v>
      </c>
      <c r="L83" s="46">
        <f t="shared" si="223"/>
        <v>-6.6050000000000004</v>
      </c>
      <c r="M83" s="46">
        <f t="shared" si="223"/>
        <v>30.648000000000003</v>
      </c>
      <c r="N83" s="46">
        <f t="shared" si="223"/>
        <v>-17.362000000000002</v>
      </c>
      <c r="O83" s="46">
        <f t="shared" si="223"/>
        <v>-9.4710000000000001</v>
      </c>
      <c r="P83" s="46">
        <f t="shared" si="223"/>
        <v>-44.005999999999993</v>
      </c>
      <c r="Q83" s="46">
        <f t="shared" si="223"/>
        <v>-19.256999999999998</v>
      </c>
      <c r="R83" s="46">
        <f t="shared" si="223"/>
        <v>-2.2250000000000014</v>
      </c>
      <c r="S83" s="46">
        <f t="shared" si="223"/>
        <v>9.2349999999999994</v>
      </c>
      <c r="T83" s="46">
        <f t="shared" si="223"/>
        <v>12.757000000000003</v>
      </c>
      <c r="U83" s="46">
        <f t="shared" si="223"/>
        <v>26.512</v>
      </c>
      <c r="V83" s="46">
        <f t="shared" si="223"/>
        <v>32.615999999999993</v>
      </c>
      <c r="W83" s="46">
        <f t="shared" si="223"/>
        <v>32.471000000000004</v>
      </c>
      <c r="X83" s="46">
        <f t="shared" si="223"/>
        <v>18.074999999999996</v>
      </c>
      <c r="Y83" s="46">
        <f t="shared" si="223"/>
        <v>51.016000000000005</v>
      </c>
      <c r="Z83" s="46">
        <f>Z81+Z82</f>
        <v>45.736999999999995</v>
      </c>
      <c r="AV83" s="49">
        <f t="shared" si="213"/>
        <v>-57.997999999999998</v>
      </c>
      <c r="AW83" s="46">
        <f t="shared" si="214"/>
        <v>-57.997999999999998</v>
      </c>
      <c r="AX83" s="46">
        <f t="shared" si="215"/>
        <v>-11.678000000000001</v>
      </c>
      <c r="AY83" s="46">
        <f t="shared" si="216"/>
        <v>-74.958999999999975</v>
      </c>
      <c r="AZ83" s="46">
        <f t="shared" si="217"/>
        <v>81.12</v>
      </c>
      <c r="BA83" s="46">
        <f t="shared" si="218"/>
        <v>147.29900000000001</v>
      </c>
    </row>
    <row r="84" spans="2:53">
      <c r="B84" s="2" t="s">
        <v>331</v>
      </c>
      <c r="C84" s="46">
        <f t="shared" ref="C84:Z84" si="224">C40</f>
        <v>34.506999999999998</v>
      </c>
      <c r="D84" s="46">
        <f t="shared" si="224"/>
        <v>35</v>
      </c>
      <c r="E84" s="46">
        <f t="shared" si="224"/>
        <v>35</v>
      </c>
      <c r="F84" s="46">
        <f t="shared" si="224"/>
        <v>35</v>
      </c>
      <c r="G84" s="46">
        <f t="shared" si="224"/>
        <v>35</v>
      </c>
      <c r="H84" s="46">
        <f t="shared" si="224"/>
        <v>35.4</v>
      </c>
      <c r="I84" s="46">
        <f t="shared" si="224"/>
        <v>36.207000000000001</v>
      </c>
      <c r="J84" s="46">
        <f t="shared" si="224"/>
        <v>37.651000000000003</v>
      </c>
      <c r="K84" s="46">
        <f t="shared" si="224"/>
        <v>36.454999999999998</v>
      </c>
      <c r="L84" s="46">
        <f t="shared" si="224"/>
        <v>36.523000000000003</v>
      </c>
      <c r="M84" s="46">
        <f t="shared" si="224"/>
        <v>36.616999999999997</v>
      </c>
      <c r="N84" s="46">
        <f t="shared" si="224"/>
        <v>36.700000000000003</v>
      </c>
      <c r="O84" s="46">
        <f t="shared" si="224"/>
        <v>37.646000000000001</v>
      </c>
      <c r="P84" s="46">
        <f t="shared" si="224"/>
        <v>37.767000000000003</v>
      </c>
      <c r="Q84" s="46">
        <f t="shared" si="224"/>
        <v>37.917999999999999</v>
      </c>
      <c r="R84" s="46">
        <f t="shared" si="224"/>
        <v>37.841000000000001</v>
      </c>
      <c r="S84" s="46">
        <f t="shared" si="224"/>
        <v>39.07</v>
      </c>
      <c r="T84" s="46">
        <f t="shared" si="224"/>
        <v>38.15</v>
      </c>
      <c r="U84" s="46">
        <f t="shared" si="224"/>
        <v>38.956000000000003</v>
      </c>
      <c r="V84" s="46">
        <f t="shared" si="224"/>
        <v>38.4</v>
      </c>
      <c r="W84" s="46">
        <f t="shared" si="224"/>
        <v>39.299999999999997</v>
      </c>
      <c r="X84" s="46">
        <f t="shared" si="224"/>
        <v>38.799999999999997</v>
      </c>
      <c r="Y84" s="46">
        <f t="shared" si="224"/>
        <v>38.6</v>
      </c>
      <c r="Z84" s="46">
        <f t="shared" si="224"/>
        <v>38.630000000000003</v>
      </c>
      <c r="AV84" s="49">
        <f t="shared" si="213"/>
        <v>139.50700000000001</v>
      </c>
      <c r="AW84" s="46">
        <f>J84</f>
        <v>37.651000000000003</v>
      </c>
      <c r="AX84" s="46">
        <f>N84</f>
        <v>36.700000000000003</v>
      </c>
      <c r="AY84" s="46">
        <f>R84</f>
        <v>37.841000000000001</v>
      </c>
      <c r="AZ84" s="46">
        <f>V84</f>
        <v>38.4</v>
      </c>
      <c r="BA84" s="46">
        <f>Z84</f>
        <v>38.630000000000003</v>
      </c>
    </row>
    <row r="85" spans="2:53">
      <c r="B85" s="2" t="s">
        <v>616</v>
      </c>
      <c r="C85" s="49">
        <f t="shared" ref="C85:F85" si="225">C83/C84</f>
        <v>-0.46515199814530395</v>
      </c>
      <c r="D85" s="49">
        <f t="shared" si="225"/>
        <v>-0.81165714285714285</v>
      </c>
      <c r="E85" s="49">
        <f t="shared" si="225"/>
        <v>-0.22008571428571416</v>
      </c>
      <c r="F85" s="49">
        <f t="shared" si="225"/>
        <v>-0.16674285714285711</v>
      </c>
      <c r="G85" s="49">
        <f t="shared" ref="G85:Y85" si="226">G83/G84</f>
        <v>-0.45860000000000006</v>
      </c>
      <c r="H85" s="49">
        <f t="shared" si="226"/>
        <v>-0.80248587570621477</v>
      </c>
      <c r="I85" s="49">
        <f t="shared" si="226"/>
        <v>-0.2127489159554781</v>
      </c>
      <c r="J85" s="49">
        <f t="shared" si="226"/>
        <v>-0.15500252317335525</v>
      </c>
      <c r="K85" s="49">
        <f t="shared" si="226"/>
        <v>-0.50360718694280626</v>
      </c>
      <c r="L85" s="49">
        <f t="shared" si="226"/>
        <v>-0.18084494701968623</v>
      </c>
      <c r="M85" s="49">
        <f t="shared" si="226"/>
        <v>0.83698828413032211</v>
      </c>
      <c r="N85" s="49">
        <f t="shared" si="226"/>
        <v>-0.47307901907356947</v>
      </c>
      <c r="O85" s="49">
        <f t="shared" si="226"/>
        <v>-0.25158051320193381</v>
      </c>
      <c r="P85" s="49">
        <f t="shared" si="226"/>
        <v>-1.1651971297693751</v>
      </c>
      <c r="Q85" s="49">
        <f t="shared" si="226"/>
        <v>-0.50785906429664007</v>
      </c>
      <c r="R85" s="49">
        <f t="shared" si="226"/>
        <v>-5.8798657540762703E-2</v>
      </c>
      <c r="S85" s="49">
        <f t="shared" si="226"/>
        <v>0.23637061684156641</v>
      </c>
      <c r="T85" s="49">
        <f t="shared" si="226"/>
        <v>0.33439056356487556</v>
      </c>
      <c r="U85" s="49">
        <f t="shared" si="226"/>
        <v>0.68056268610740323</v>
      </c>
      <c r="V85" s="49">
        <f t="shared" si="226"/>
        <v>0.84937499999999988</v>
      </c>
      <c r="W85" s="49">
        <f t="shared" si="226"/>
        <v>0.82623409669211212</v>
      </c>
      <c r="X85" s="49">
        <f t="shared" si="226"/>
        <v>0.46585051546391743</v>
      </c>
      <c r="Y85" s="49">
        <f t="shared" si="226"/>
        <v>1.321658031088083</v>
      </c>
      <c r="Z85" s="49">
        <f>Z83/Z84</f>
        <v>1.1839761843127101</v>
      </c>
      <c r="AV85" s="49">
        <f t="shared" si="213"/>
        <v>-1.663637712431018</v>
      </c>
      <c r="AW85" s="49">
        <f>SUM(G85:J85)</f>
        <v>-1.6288373148350481</v>
      </c>
      <c r="AX85" s="49">
        <f>SUM(K85:N85)</f>
        <v>-0.32054286890573985</v>
      </c>
      <c r="AY85" s="49">
        <f>SUM(O85:R85)</f>
        <v>-1.9834353648087115</v>
      </c>
      <c r="AZ85" s="49">
        <f t="shared" si="217"/>
        <v>2.1006988665138451</v>
      </c>
      <c r="BA85" s="49">
        <f t="shared" si="218"/>
        <v>3.7977188275568228</v>
      </c>
    </row>
  </sheetData>
  <pageMargins left="0.7" right="0.7" top="0.75" bottom="0.75" header="0.3" footer="0.3"/>
  <ignoredErrors>
    <ignoredError sqref="N26:N27 Z73:Z75 C76:Z78 C73:Y75 D79:Y79" formulaRange="1"/>
    <ignoredError sqref="AV24:AV25" evalError="1"/>
    <ignoredError sqref="AV26:AV39 AV41" evalError="1" formulaRange="1"/>
    <ignoredError sqref="F38 F34"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dimension ref="B1:CL320"/>
  <sheetViews>
    <sheetView topLeftCell="P1" zoomScale="85" zoomScaleNormal="85" workbookViewId="0">
      <selection activeCell="AF25" sqref="AF25"/>
    </sheetView>
  </sheetViews>
  <sheetFormatPr defaultColWidth="9.140625" defaultRowHeight="14.25"/>
  <cols>
    <col min="1" max="1" width="3" style="2" customWidth="1"/>
    <col min="2" max="28" width="9.140625" style="2"/>
    <col min="29" max="29" width="9" style="2" customWidth="1"/>
    <col min="30" max="39" width="9.140625" style="2"/>
    <col min="40" max="40" width="10.5703125" style="2" customWidth="1"/>
    <col min="41" max="16384" width="9.140625" style="2"/>
  </cols>
  <sheetData>
    <row r="1" spans="2:90">
      <c r="BR1" s="2">
        <v>0</v>
      </c>
      <c r="CL1" s="2" t="s">
        <v>365</v>
      </c>
    </row>
    <row r="2" spans="2:90" ht="15">
      <c r="B2" s="1" t="s">
        <v>668</v>
      </c>
      <c r="Q2" s="1" t="s">
        <v>273</v>
      </c>
      <c r="AZ2" s="2" t="s">
        <v>669</v>
      </c>
    </row>
    <row r="4" spans="2:90">
      <c r="Q4" s="2" t="s">
        <v>635</v>
      </c>
      <c r="AZ4" s="2" t="s">
        <v>670</v>
      </c>
    </row>
    <row r="6" spans="2:90">
      <c r="Q6" s="2" t="s">
        <v>370</v>
      </c>
    </row>
    <row r="7" spans="2:90">
      <c r="R7" s="2" t="s">
        <v>371</v>
      </c>
    </row>
    <row r="8" spans="2:90">
      <c r="R8" s="2" t="s">
        <v>677</v>
      </c>
    </row>
    <row r="9" spans="2:90">
      <c r="R9" s="2" t="s">
        <v>678</v>
      </c>
    </row>
    <row r="10" spans="2:90">
      <c r="S10" s="2" t="s">
        <v>632</v>
      </c>
    </row>
    <row r="12" spans="2:90">
      <c r="Q12" s="2" t="s">
        <v>679</v>
      </c>
    </row>
    <row r="13" spans="2:90">
      <c r="R13" s="2" t="s">
        <v>491</v>
      </c>
    </row>
    <row r="14" spans="2:90">
      <c r="R14" s="2" t="s">
        <v>492</v>
      </c>
    </row>
    <row r="15" spans="2:90">
      <c r="S15" s="2" t="s">
        <v>680</v>
      </c>
    </row>
    <row r="17" spans="2:19" ht="15">
      <c r="Q17" s="1" t="s">
        <v>589</v>
      </c>
    </row>
    <row r="18" spans="2:19" ht="15">
      <c r="R18" s="66" t="s">
        <v>527</v>
      </c>
    </row>
    <row r="19" spans="2:19" ht="15">
      <c r="S19" s="66" t="s">
        <v>690</v>
      </c>
    </row>
    <row r="20" spans="2:19" ht="15">
      <c r="S20" s="66" t="s">
        <v>689</v>
      </c>
    </row>
    <row r="22" spans="2:19">
      <c r="Q22" s="2" t="s">
        <v>617</v>
      </c>
    </row>
    <row r="23" spans="2:19">
      <c r="R23" s="2" t="s">
        <v>681</v>
      </c>
    </row>
    <row r="24" spans="2:19">
      <c r="R24" s="2" t="s">
        <v>682</v>
      </c>
    </row>
    <row r="25" spans="2:19">
      <c r="R25" s="2" t="s">
        <v>650</v>
      </c>
    </row>
    <row r="32" spans="2:19" ht="15">
      <c r="B32" s="1" t="s">
        <v>618</v>
      </c>
    </row>
    <row r="33" spans="12:12" ht="15">
      <c r="L33" s="1" t="s">
        <v>634</v>
      </c>
    </row>
    <row r="34" spans="12:12">
      <c r="L34" s="2" t="s">
        <v>633</v>
      </c>
    </row>
    <row r="35" spans="12:12">
      <c r="L35" s="2" t="s">
        <v>491</v>
      </c>
    </row>
    <row r="36" spans="12:12">
      <c r="L36" s="2" t="s">
        <v>672</v>
      </c>
    </row>
    <row r="52" spans="17:19">
      <c r="Q52" s="2" t="s">
        <v>653</v>
      </c>
    </row>
    <row r="53" spans="17:19">
      <c r="R53" s="2" t="s">
        <v>654</v>
      </c>
    </row>
    <row r="54" spans="17:19">
      <c r="R54" s="2" t="s">
        <v>692</v>
      </c>
    </row>
    <row r="55" spans="17:19">
      <c r="S55" s="2" t="s">
        <v>693</v>
      </c>
    </row>
    <row r="56" spans="17:19">
      <c r="R56" s="2" t="s">
        <v>694</v>
      </c>
    </row>
    <row r="57" spans="17:19">
      <c r="S57" s="2" t="s">
        <v>695</v>
      </c>
    </row>
    <row r="58" spans="17:19">
      <c r="S58" s="2" t="s">
        <v>696</v>
      </c>
    </row>
    <row r="59" spans="17:19">
      <c r="S59" s="2" t="s">
        <v>721</v>
      </c>
    </row>
    <row r="66" spans="2:11">
      <c r="J66" s="8" t="s">
        <v>267</v>
      </c>
      <c r="K66" s="9">
        <f>MAX(H70:H319)</f>
        <v>0.10256286732825903</v>
      </c>
    </row>
    <row r="67" spans="2:11">
      <c r="J67" s="8" t="s">
        <v>268</v>
      </c>
      <c r="K67" s="9">
        <f>MIN(H70:H319)</f>
        <v>-6.2064121218202817E-2</v>
      </c>
    </row>
    <row r="68" spans="2:11">
      <c r="J68" s="8" t="s">
        <v>269</v>
      </c>
      <c r="K68" s="9">
        <f>_xlfn.STDEV.S(H69:H319)</f>
        <v>2.2347756251435032E-2</v>
      </c>
    </row>
    <row r="69" spans="2:11" ht="15">
      <c r="B69" s="1" t="s">
        <v>271</v>
      </c>
      <c r="J69" s="8" t="s">
        <v>270</v>
      </c>
      <c r="K69" s="9">
        <f>AVERAGE(H70:H319)</f>
        <v>7.6048643097733661E-4</v>
      </c>
    </row>
    <row r="70" spans="2:11">
      <c r="B70" s="6" t="s">
        <v>266</v>
      </c>
      <c r="C70" s="6" t="s">
        <v>265</v>
      </c>
      <c r="D70" s="6" t="s">
        <v>264</v>
      </c>
      <c r="E70" s="6" t="s">
        <v>263</v>
      </c>
      <c r="F70" s="6" t="s">
        <v>262</v>
      </c>
      <c r="G70" s="6" t="s">
        <v>261</v>
      </c>
      <c r="H70" s="8" t="s">
        <v>272</v>
      </c>
      <c r="I70" s="63"/>
      <c r="J70" s="63" t="s">
        <v>691</v>
      </c>
      <c r="K70" s="9">
        <f>3*K68</f>
        <v>6.7043268754305094E-2</v>
      </c>
    </row>
    <row r="71" spans="2:11">
      <c r="B71" s="5">
        <v>267.56</v>
      </c>
      <c r="C71" s="5">
        <v>269.59500000000003</v>
      </c>
      <c r="D71" s="5">
        <v>264.45</v>
      </c>
      <c r="E71" s="5">
        <v>267.70999999999998</v>
      </c>
      <c r="F71" s="5">
        <v>303460</v>
      </c>
      <c r="G71" s="5" t="s">
        <v>260</v>
      </c>
      <c r="H71" s="7">
        <f>B71/E71-1</f>
        <v>-5.6030779574900436E-4</v>
      </c>
      <c r="I71" s="2" t="s">
        <v>683</v>
      </c>
    </row>
    <row r="72" spans="2:11">
      <c r="B72" s="5">
        <v>269.62</v>
      </c>
      <c r="C72" s="5">
        <v>275.02999999999997</v>
      </c>
      <c r="D72" s="5">
        <v>267.77</v>
      </c>
      <c r="E72" s="5">
        <v>274.44</v>
      </c>
      <c r="F72" s="5">
        <v>471362</v>
      </c>
      <c r="G72" s="5" t="s">
        <v>259</v>
      </c>
      <c r="H72" s="7">
        <f t="shared" ref="H72:H73" si="0">B72/E72-1</f>
        <v>-1.7563037458096509E-2</v>
      </c>
      <c r="I72" s="2" t="s">
        <v>667</v>
      </c>
    </row>
    <row r="73" spans="2:11">
      <c r="B73" s="5">
        <v>275.14999999999998</v>
      </c>
      <c r="C73" s="5">
        <v>282.33999999999997</v>
      </c>
      <c r="D73" s="5">
        <v>272.98</v>
      </c>
      <c r="E73" s="5">
        <v>282.33999999999997</v>
      </c>
      <c r="F73" s="5">
        <v>433245</v>
      </c>
      <c r="G73" s="5" t="s">
        <v>258</v>
      </c>
      <c r="H73" s="7">
        <f t="shared" si="0"/>
        <v>-2.5465750513565144E-2</v>
      </c>
    </row>
    <row r="74" spans="2:11">
      <c r="B74" s="5">
        <v>283.42</v>
      </c>
      <c r="C74" s="5">
        <v>288.56990000000002</v>
      </c>
      <c r="D74" s="5">
        <v>280.45</v>
      </c>
      <c r="E74" s="5">
        <v>286.88</v>
      </c>
      <c r="F74" s="5">
        <v>542655</v>
      </c>
      <c r="G74" s="5" t="s">
        <v>257</v>
      </c>
      <c r="H74" s="7">
        <f t="shared" ref="H74:H105" si="1">B74/E74-1</f>
        <v>-1.2060791968767304E-2</v>
      </c>
    </row>
    <row r="75" spans="2:11">
      <c r="B75" s="5">
        <v>286.23</v>
      </c>
      <c r="C75" s="5">
        <v>287.70999999999998</v>
      </c>
      <c r="D75" s="5">
        <v>282.43</v>
      </c>
      <c r="E75" s="5">
        <v>285.02</v>
      </c>
      <c r="F75" s="5">
        <v>259517</v>
      </c>
      <c r="G75" s="5" t="s">
        <v>256</v>
      </c>
      <c r="H75" s="7">
        <f t="shared" si="1"/>
        <v>4.2453161181672527E-3</v>
      </c>
    </row>
    <row r="76" spans="2:11">
      <c r="B76" s="5">
        <v>280.38</v>
      </c>
      <c r="C76" s="5">
        <v>282.08</v>
      </c>
      <c r="D76" s="5">
        <v>273</v>
      </c>
      <c r="E76" s="5">
        <v>277.98</v>
      </c>
      <c r="F76" s="5">
        <v>737372</v>
      </c>
      <c r="G76" s="5" t="s">
        <v>255</v>
      </c>
      <c r="H76" s="7">
        <f t="shared" si="1"/>
        <v>8.6337146557304845E-3</v>
      </c>
    </row>
    <row r="77" spans="2:11">
      <c r="B77" s="5">
        <v>281.33</v>
      </c>
      <c r="C77" s="5">
        <v>283.40499999999997</v>
      </c>
      <c r="D77" s="5">
        <v>276.31</v>
      </c>
      <c r="E77" s="5">
        <v>276.31</v>
      </c>
      <c r="F77" s="5">
        <v>353789</v>
      </c>
      <c r="G77" s="5" t="s">
        <v>254</v>
      </c>
      <c r="H77" s="7">
        <f t="shared" si="1"/>
        <v>1.8167999710470006E-2</v>
      </c>
    </row>
    <row r="78" spans="2:11">
      <c r="B78" s="5">
        <v>279.48</v>
      </c>
      <c r="C78" s="5">
        <v>281.16000000000003</v>
      </c>
      <c r="D78" s="5">
        <v>271.07</v>
      </c>
      <c r="E78" s="5">
        <v>276.07</v>
      </c>
      <c r="F78" s="5">
        <v>532310</v>
      </c>
      <c r="G78" s="5" t="s">
        <v>253</v>
      </c>
      <c r="H78" s="7">
        <f t="shared" si="1"/>
        <v>1.2351939725432137E-2</v>
      </c>
    </row>
    <row r="79" spans="2:11">
      <c r="B79" s="5">
        <v>275.29000000000002</v>
      </c>
      <c r="C79" s="5">
        <v>276.685</v>
      </c>
      <c r="D79" s="5">
        <v>272.45999999999998</v>
      </c>
      <c r="E79" s="5">
        <v>275.12</v>
      </c>
      <c r="F79" s="5">
        <v>431903</v>
      </c>
      <c r="G79" s="5" t="s">
        <v>252</v>
      </c>
      <c r="H79" s="7">
        <f t="shared" si="1"/>
        <v>6.1791218377438284E-4</v>
      </c>
    </row>
    <row r="80" spans="2:11">
      <c r="B80" s="5">
        <v>276.07</v>
      </c>
      <c r="C80" s="5">
        <v>278.27</v>
      </c>
      <c r="D80" s="5">
        <v>268.846</v>
      </c>
      <c r="E80" s="5">
        <v>270.23</v>
      </c>
      <c r="F80" s="5">
        <v>242610</v>
      </c>
      <c r="G80" s="5" t="s">
        <v>251</v>
      </c>
      <c r="H80" s="7">
        <f t="shared" si="1"/>
        <v>2.1611220071790616E-2</v>
      </c>
    </row>
    <row r="81" spans="2:19">
      <c r="B81" s="5">
        <v>272.62</v>
      </c>
      <c r="C81" s="5">
        <v>274.86</v>
      </c>
      <c r="D81" s="5">
        <v>264.92500000000001</v>
      </c>
      <c r="E81" s="5">
        <v>268.19</v>
      </c>
      <c r="F81" s="5">
        <v>307499</v>
      </c>
      <c r="G81" s="5" t="s">
        <v>250</v>
      </c>
      <c r="H81" s="7">
        <f t="shared" si="1"/>
        <v>1.6518140124538672E-2</v>
      </c>
    </row>
    <row r="82" spans="2:19">
      <c r="B82" s="5">
        <v>260.63</v>
      </c>
      <c r="C82" s="5">
        <v>266.93</v>
      </c>
      <c r="D82" s="5">
        <v>256.54000000000002</v>
      </c>
      <c r="E82" s="5">
        <v>266.93</v>
      </c>
      <c r="F82" s="5">
        <v>281756</v>
      </c>
      <c r="G82" s="5" t="s">
        <v>249</v>
      </c>
      <c r="H82" s="7">
        <f t="shared" si="1"/>
        <v>-2.3601693327838791E-2</v>
      </c>
    </row>
    <row r="83" spans="2:19">
      <c r="B83" s="5">
        <v>267.13</v>
      </c>
      <c r="C83" s="5">
        <v>272.71499999999997</v>
      </c>
      <c r="D83" s="5">
        <v>264.11</v>
      </c>
      <c r="E83" s="5">
        <v>266.01</v>
      </c>
      <c r="F83" s="5">
        <v>470259</v>
      </c>
      <c r="G83" s="5" t="s">
        <v>248</v>
      </c>
      <c r="H83" s="7">
        <f t="shared" si="1"/>
        <v>4.2103680312770564E-3</v>
      </c>
    </row>
    <row r="84" spans="2:19">
      <c r="B84" s="5">
        <v>262.33999999999997</v>
      </c>
      <c r="C84" s="5">
        <v>265.38</v>
      </c>
      <c r="D84" s="5">
        <v>254.5</v>
      </c>
      <c r="E84" s="5">
        <v>257.24</v>
      </c>
      <c r="F84" s="5">
        <v>508894</v>
      </c>
      <c r="G84" s="5" t="s">
        <v>247</v>
      </c>
      <c r="H84" s="7">
        <f t="shared" si="1"/>
        <v>1.982584357020678E-2</v>
      </c>
    </row>
    <row r="85" spans="2:19">
      <c r="B85" s="5">
        <v>257.24</v>
      </c>
      <c r="C85" s="5">
        <v>272.50209999999998</v>
      </c>
      <c r="D85" s="5">
        <v>256.17</v>
      </c>
      <c r="E85" s="5">
        <v>272.05</v>
      </c>
      <c r="F85" s="5">
        <v>693380</v>
      </c>
      <c r="G85" s="5" t="s">
        <v>246</v>
      </c>
      <c r="H85" s="7">
        <f t="shared" si="1"/>
        <v>-5.4438522330453987E-2</v>
      </c>
    </row>
    <row r="86" spans="2:19">
      <c r="B86" s="5">
        <v>274.79000000000002</v>
      </c>
      <c r="C86" s="5">
        <v>278.81</v>
      </c>
      <c r="D86" s="5">
        <v>269.42</v>
      </c>
      <c r="E86" s="5">
        <v>275.58999999999997</v>
      </c>
      <c r="F86" s="5">
        <v>347006</v>
      </c>
      <c r="G86" s="5" t="s">
        <v>245</v>
      </c>
      <c r="H86" s="7">
        <f t="shared" si="1"/>
        <v>-2.902862948582885E-3</v>
      </c>
    </row>
    <row r="87" spans="2:19">
      <c r="B87" s="5">
        <v>277.69</v>
      </c>
      <c r="C87" s="5">
        <v>287.86</v>
      </c>
      <c r="D87" s="5">
        <v>276.23</v>
      </c>
      <c r="E87" s="5">
        <v>282.24</v>
      </c>
      <c r="F87" s="5">
        <v>263249</v>
      </c>
      <c r="G87" s="5" t="s">
        <v>244</v>
      </c>
      <c r="H87" s="7">
        <f t="shared" si="1"/>
        <v>-1.6121031746031744E-2</v>
      </c>
      <c r="Q87" s="2" t="s">
        <v>636</v>
      </c>
    </row>
    <row r="88" spans="2:19">
      <c r="B88" s="5">
        <v>286.38</v>
      </c>
      <c r="C88" s="5">
        <v>287.35000000000002</v>
      </c>
      <c r="D88" s="5">
        <v>280.44</v>
      </c>
      <c r="E88" s="5">
        <v>281.76</v>
      </c>
      <c r="F88" s="5">
        <v>393198</v>
      </c>
      <c r="G88" s="5" t="s">
        <v>243</v>
      </c>
      <c r="H88" s="7">
        <f t="shared" si="1"/>
        <v>1.6396933560477001E-2</v>
      </c>
      <c r="R88" s="2" t="s">
        <v>637</v>
      </c>
    </row>
    <row r="89" spans="2:19">
      <c r="B89" s="5">
        <v>283.62</v>
      </c>
      <c r="C89" s="5">
        <v>287.69</v>
      </c>
      <c r="D89" s="5">
        <v>278.62</v>
      </c>
      <c r="E89" s="5">
        <v>282.88</v>
      </c>
      <c r="F89" s="5">
        <v>437027</v>
      </c>
      <c r="G89" s="5" t="s">
        <v>242</v>
      </c>
      <c r="H89" s="7">
        <f t="shared" si="1"/>
        <v>2.6159502262443901E-3</v>
      </c>
      <c r="R89" s="2" t="s">
        <v>639</v>
      </c>
    </row>
    <row r="90" spans="2:19">
      <c r="B90" s="5">
        <v>285.88</v>
      </c>
      <c r="C90" s="5">
        <v>292.14</v>
      </c>
      <c r="D90" s="5">
        <v>281.89</v>
      </c>
      <c r="E90" s="5">
        <v>285.48</v>
      </c>
      <c r="F90" s="5">
        <v>434432</v>
      </c>
      <c r="G90" s="5" t="s">
        <v>241</v>
      </c>
      <c r="H90" s="7">
        <f t="shared" si="1"/>
        <v>1.4011489421323908E-3</v>
      </c>
      <c r="S90" s="2" t="s">
        <v>684</v>
      </c>
    </row>
    <row r="91" spans="2:19">
      <c r="B91" s="5">
        <v>285.44</v>
      </c>
      <c r="C91" s="5">
        <v>285.44</v>
      </c>
      <c r="D91" s="5">
        <v>278.41000000000003</v>
      </c>
      <c r="E91" s="5">
        <v>280.22000000000003</v>
      </c>
      <c r="F91" s="5">
        <v>323048</v>
      </c>
      <c r="G91" s="5" t="s">
        <v>240</v>
      </c>
      <c r="H91" s="7">
        <f t="shared" si="1"/>
        <v>1.8628220683748475E-2</v>
      </c>
      <c r="S91" s="2" t="s">
        <v>640</v>
      </c>
    </row>
    <row r="92" spans="2:19">
      <c r="B92" s="5">
        <v>281.45999999999998</v>
      </c>
      <c r="C92" s="5">
        <v>292.78500000000003</v>
      </c>
      <c r="D92" s="5">
        <v>280.77</v>
      </c>
      <c r="E92" s="5">
        <v>291.8</v>
      </c>
      <c r="F92" s="5">
        <v>361612</v>
      </c>
      <c r="G92" s="5" t="s">
        <v>239</v>
      </c>
      <c r="H92" s="7">
        <f t="shared" si="1"/>
        <v>-3.543522960932155E-2</v>
      </c>
      <c r="S92" s="2" t="s">
        <v>648</v>
      </c>
    </row>
    <row r="93" spans="2:19">
      <c r="B93" s="5">
        <v>291.83999999999997</v>
      </c>
      <c r="C93" s="5">
        <v>294.27999999999997</v>
      </c>
      <c r="D93" s="5">
        <v>280.74</v>
      </c>
      <c r="E93" s="5">
        <v>280.74</v>
      </c>
      <c r="F93" s="5">
        <v>448981</v>
      </c>
      <c r="G93" s="5" t="s">
        <v>238</v>
      </c>
      <c r="H93" s="7">
        <f t="shared" si="1"/>
        <v>3.9538362898055013E-2</v>
      </c>
      <c r="S93" s="2" t="s">
        <v>651</v>
      </c>
    </row>
    <row r="94" spans="2:19">
      <c r="B94" s="5">
        <v>281.62</v>
      </c>
      <c r="C94" s="5">
        <v>288.48500000000001</v>
      </c>
      <c r="D94" s="5">
        <v>275.27</v>
      </c>
      <c r="E94" s="5">
        <v>288.18</v>
      </c>
      <c r="F94" s="5">
        <v>502240</v>
      </c>
      <c r="G94" s="5" t="s">
        <v>237</v>
      </c>
      <c r="H94" s="7">
        <f t="shared" si="1"/>
        <v>-2.2763550558678625E-2</v>
      </c>
      <c r="R94" s="2" t="s">
        <v>638</v>
      </c>
    </row>
    <row r="95" spans="2:19">
      <c r="B95" s="5">
        <v>287.7</v>
      </c>
      <c r="C95" s="5">
        <v>294.58999999999997</v>
      </c>
      <c r="D95" s="5">
        <v>286.2</v>
      </c>
      <c r="E95" s="5">
        <v>291.27999999999997</v>
      </c>
      <c r="F95" s="5">
        <v>561488</v>
      </c>
      <c r="G95" s="5" t="s">
        <v>236</v>
      </c>
      <c r="H95" s="7">
        <f t="shared" si="1"/>
        <v>-1.2290579511123223E-2</v>
      </c>
      <c r="S95" s="2" t="s">
        <v>649</v>
      </c>
    </row>
    <row r="96" spans="2:19">
      <c r="B96" s="5">
        <v>291.68</v>
      </c>
      <c r="C96" s="5">
        <v>304.11</v>
      </c>
      <c r="D96" s="5">
        <v>290.55</v>
      </c>
      <c r="E96" s="5">
        <v>303</v>
      </c>
      <c r="F96" s="5">
        <v>635329</v>
      </c>
      <c r="G96" s="5" t="s">
        <v>235</v>
      </c>
      <c r="H96" s="7">
        <f t="shared" si="1"/>
        <v>-3.7359735973597319E-2</v>
      </c>
      <c r="R96" s="2" t="s">
        <v>685</v>
      </c>
    </row>
    <row r="97" spans="2:8">
      <c r="B97" s="5">
        <v>303.12</v>
      </c>
      <c r="C97" s="5">
        <v>309.08</v>
      </c>
      <c r="D97" s="5">
        <v>300</v>
      </c>
      <c r="E97" s="5">
        <v>303.22000000000003</v>
      </c>
      <c r="F97" s="5">
        <v>683701</v>
      </c>
      <c r="G97" s="5" t="s">
        <v>234</v>
      </c>
      <c r="H97" s="7">
        <f t="shared" si="1"/>
        <v>-3.2979354923823312E-4</v>
      </c>
    </row>
    <row r="98" spans="2:8">
      <c r="B98" s="5">
        <v>303.76</v>
      </c>
      <c r="C98" s="5">
        <v>310</v>
      </c>
      <c r="D98" s="5">
        <v>290.11</v>
      </c>
      <c r="E98" s="5">
        <v>296.10000000000002</v>
      </c>
      <c r="F98" s="5">
        <v>1816341</v>
      </c>
      <c r="G98" s="5" t="s">
        <v>233</v>
      </c>
      <c r="H98" s="7">
        <f t="shared" si="1"/>
        <v>2.5869638635595882E-2</v>
      </c>
    </row>
    <row r="99" spans="2:8">
      <c r="B99" s="5">
        <v>271.14</v>
      </c>
      <c r="C99" s="5">
        <v>273.55500000000001</v>
      </c>
      <c r="D99" s="5">
        <v>264.815</v>
      </c>
      <c r="E99" s="5">
        <v>266.5</v>
      </c>
      <c r="F99" s="5">
        <v>716997</v>
      </c>
      <c r="G99" s="5" t="s">
        <v>232</v>
      </c>
      <c r="H99" s="7">
        <f t="shared" si="1"/>
        <v>1.7410881801125599E-2</v>
      </c>
    </row>
    <row r="100" spans="2:8">
      <c r="B100" s="5">
        <v>268.67</v>
      </c>
      <c r="C100" s="5">
        <v>274.75290000000001</v>
      </c>
      <c r="D100" s="5">
        <v>266.86</v>
      </c>
      <c r="E100" s="5">
        <v>272.85000000000002</v>
      </c>
      <c r="F100" s="5">
        <v>400891</v>
      </c>
      <c r="G100" s="5" t="s">
        <v>231</v>
      </c>
      <c r="H100" s="7">
        <f t="shared" si="1"/>
        <v>-1.5319772768920714E-2</v>
      </c>
    </row>
    <row r="101" spans="2:8">
      <c r="B101" s="5">
        <v>272.89</v>
      </c>
      <c r="C101" s="5">
        <v>273.07</v>
      </c>
      <c r="D101" s="5">
        <v>267.36660000000001</v>
      </c>
      <c r="E101" s="5">
        <v>267.97000000000003</v>
      </c>
      <c r="F101" s="5">
        <v>301641</v>
      </c>
      <c r="G101" s="5" t="s">
        <v>230</v>
      </c>
      <c r="H101" s="7">
        <f t="shared" si="1"/>
        <v>1.8360264208679977E-2</v>
      </c>
    </row>
    <row r="102" spans="2:8">
      <c r="B102" s="5">
        <v>267.06</v>
      </c>
      <c r="C102" s="5">
        <v>267.64</v>
      </c>
      <c r="D102" s="5">
        <v>260.51</v>
      </c>
      <c r="E102" s="5">
        <v>264</v>
      </c>
      <c r="F102" s="5">
        <v>350865</v>
      </c>
      <c r="G102" s="5" t="s">
        <v>229</v>
      </c>
      <c r="H102" s="7">
        <f t="shared" si="1"/>
        <v>1.1590909090909207E-2</v>
      </c>
    </row>
    <row r="103" spans="2:8">
      <c r="B103" s="5">
        <v>268.3</v>
      </c>
      <c r="C103" s="5">
        <v>270.91500000000002</v>
      </c>
      <c r="D103" s="5">
        <v>258.82</v>
      </c>
      <c r="E103" s="5">
        <v>259.14999999999998</v>
      </c>
      <c r="F103" s="5">
        <v>779003</v>
      </c>
      <c r="G103" s="5" t="s">
        <v>228</v>
      </c>
      <c r="H103" s="7">
        <f t="shared" si="1"/>
        <v>3.5307736831950765E-2</v>
      </c>
    </row>
    <row r="104" spans="2:8">
      <c r="B104" s="5">
        <v>261.05</v>
      </c>
      <c r="C104" s="5">
        <v>262.315</v>
      </c>
      <c r="D104" s="5">
        <v>259.43</v>
      </c>
      <c r="E104" s="5">
        <v>260.31</v>
      </c>
      <c r="F104" s="5">
        <v>300754</v>
      </c>
      <c r="G104" s="5" t="s">
        <v>227</v>
      </c>
      <c r="H104" s="7">
        <f t="shared" si="1"/>
        <v>2.8427643962967153E-3</v>
      </c>
    </row>
    <row r="105" spans="2:8">
      <c r="B105" s="5">
        <v>260.67</v>
      </c>
      <c r="C105" s="5">
        <v>263.11</v>
      </c>
      <c r="D105" s="5">
        <v>259.20999999999998</v>
      </c>
      <c r="E105" s="5">
        <v>261.08999999999997</v>
      </c>
      <c r="F105" s="5">
        <v>266249</v>
      </c>
      <c r="G105" s="5" t="s">
        <v>226</v>
      </c>
      <c r="H105" s="7">
        <f t="shared" si="1"/>
        <v>-1.6086406986095536E-3</v>
      </c>
    </row>
    <row r="106" spans="2:8">
      <c r="B106" s="5">
        <v>261.5</v>
      </c>
      <c r="C106" s="5">
        <v>265.56</v>
      </c>
      <c r="D106" s="5">
        <v>259.79000000000002</v>
      </c>
      <c r="E106" s="5">
        <v>265.56</v>
      </c>
      <c r="F106" s="5">
        <v>342922</v>
      </c>
      <c r="G106" s="5" t="s">
        <v>225</v>
      </c>
      <c r="H106" s="7">
        <f t="shared" ref="H106:H135" si="2">B106/E106-1</f>
        <v>-1.528844705527943E-2</v>
      </c>
    </row>
    <row r="107" spans="2:8">
      <c r="B107" s="5">
        <v>265.94</v>
      </c>
      <c r="C107" s="5">
        <v>266.64999999999998</v>
      </c>
      <c r="D107" s="5">
        <v>263.05</v>
      </c>
      <c r="E107" s="5">
        <v>266.44</v>
      </c>
      <c r="F107" s="5">
        <v>367115</v>
      </c>
      <c r="G107" s="5" t="s">
        <v>224</v>
      </c>
      <c r="H107" s="7">
        <f t="shared" si="2"/>
        <v>-1.8765951058399288E-3</v>
      </c>
    </row>
    <row r="108" spans="2:8">
      <c r="B108" s="5">
        <v>262.11</v>
      </c>
      <c r="C108" s="5">
        <v>266.48989999999998</v>
      </c>
      <c r="D108" s="5">
        <v>259.58</v>
      </c>
      <c r="E108" s="5">
        <v>264.64999999999998</v>
      </c>
      <c r="F108" s="5">
        <v>886098</v>
      </c>
      <c r="G108" s="5" t="s">
        <v>223</v>
      </c>
      <c r="H108" s="7">
        <f t="shared" si="2"/>
        <v>-9.5975817116945583E-3</v>
      </c>
    </row>
    <row r="109" spans="2:8">
      <c r="B109" s="5">
        <v>265</v>
      </c>
      <c r="C109" s="5">
        <v>267</v>
      </c>
      <c r="D109" s="5">
        <v>263.16000000000003</v>
      </c>
      <c r="E109" s="5">
        <v>264.89999999999998</v>
      </c>
      <c r="F109" s="5">
        <v>536800</v>
      </c>
      <c r="G109" s="5" t="s">
        <v>222</v>
      </c>
      <c r="H109" s="7">
        <f t="shared" si="2"/>
        <v>3.7750094375255117E-4</v>
      </c>
    </row>
    <row r="110" spans="2:8">
      <c r="B110" s="5">
        <v>266.97000000000003</v>
      </c>
      <c r="C110" s="5">
        <v>271.53100000000001</v>
      </c>
      <c r="D110" s="5">
        <v>266.62</v>
      </c>
      <c r="E110" s="5">
        <v>270.07</v>
      </c>
      <c r="F110" s="5">
        <v>490013</v>
      </c>
      <c r="G110" s="5" t="s">
        <v>221</v>
      </c>
      <c r="H110" s="7">
        <f t="shared" si="2"/>
        <v>-1.1478505572629194E-2</v>
      </c>
    </row>
    <row r="111" spans="2:8">
      <c r="B111" s="5">
        <v>269</v>
      </c>
      <c r="C111" s="5">
        <v>272.5</v>
      </c>
      <c r="D111" s="5">
        <v>267.27999999999997</v>
      </c>
      <c r="E111" s="5">
        <v>270.20999999999998</v>
      </c>
      <c r="F111" s="5">
        <v>259519</v>
      </c>
      <c r="G111" s="5" t="s">
        <v>220</v>
      </c>
      <c r="H111" s="7">
        <f t="shared" si="2"/>
        <v>-4.4779985936863609E-3</v>
      </c>
    </row>
    <row r="112" spans="2:8">
      <c r="B112" s="5">
        <v>269.73</v>
      </c>
      <c r="C112" s="5">
        <v>271.57</v>
      </c>
      <c r="D112" s="5">
        <v>266.37</v>
      </c>
      <c r="E112" s="5">
        <v>271.57</v>
      </c>
      <c r="F112" s="5">
        <v>371690</v>
      </c>
      <c r="G112" s="5" t="s">
        <v>219</v>
      </c>
      <c r="H112" s="7">
        <f t="shared" si="2"/>
        <v>-6.7754170195528651E-3</v>
      </c>
    </row>
    <row r="113" spans="2:18">
      <c r="B113" s="5">
        <v>270.82</v>
      </c>
      <c r="C113" s="5">
        <v>275.18</v>
      </c>
      <c r="D113" s="5">
        <v>269.51</v>
      </c>
      <c r="E113" s="5">
        <v>273.10000000000002</v>
      </c>
      <c r="F113" s="5">
        <v>317563</v>
      </c>
      <c r="G113" s="5" t="s">
        <v>218</v>
      </c>
      <c r="H113" s="7">
        <f t="shared" si="2"/>
        <v>-8.3485902599781392E-3</v>
      </c>
    </row>
    <row r="114" spans="2:18">
      <c r="B114" s="5">
        <v>272.73</v>
      </c>
      <c r="C114" s="5">
        <v>275</v>
      </c>
      <c r="D114" s="5">
        <v>270.54500000000002</v>
      </c>
      <c r="E114" s="5">
        <v>274.04000000000002</v>
      </c>
      <c r="F114" s="5">
        <v>258097</v>
      </c>
      <c r="G114" s="5" t="s">
        <v>217</v>
      </c>
      <c r="H114" s="7">
        <f t="shared" si="2"/>
        <v>-4.7803240402860547E-3</v>
      </c>
    </row>
    <row r="115" spans="2:18">
      <c r="B115" s="5">
        <v>274.06</v>
      </c>
      <c r="C115" s="5">
        <v>275.49</v>
      </c>
      <c r="D115" s="5">
        <v>271.0136</v>
      </c>
      <c r="E115" s="5">
        <v>272.36</v>
      </c>
      <c r="F115" s="5">
        <v>409593</v>
      </c>
      <c r="G115" s="5" t="s">
        <v>216</v>
      </c>
      <c r="H115" s="7">
        <f t="shared" si="2"/>
        <v>6.2417388750182212E-3</v>
      </c>
    </row>
    <row r="116" spans="2:18">
      <c r="B116" s="5">
        <v>273.77999999999997</v>
      </c>
      <c r="C116" s="5">
        <v>275.64999999999998</v>
      </c>
      <c r="D116" s="5">
        <v>270.04000000000002</v>
      </c>
      <c r="E116" s="5">
        <v>275.64999999999998</v>
      </c>
      <c r="F116" s="5">
        <v>639072</v>
      </c>
      <c r="G116" s="5" t="s">
        <v>215</v>
      </c>
      <c r="H116" s="7">
        <f t="shared" si="2"/>
        <v>-6.7839651732268802E-3</v>
      </c>
    </row>
    <row r="117" spans="2:18">
      <c r="B117" s="5">
        <v>275.83999999999997</v>
      </c>
      <c r="C117" s="5">
        <v>277.89</v>
      </c>
      <c r="D117" s="5">
        <v>266.23</v>
      </c>
      <c r="E117" s="5">
        <v>267.43</v>
      </c>
      <c r="F117" s="5">
        <v>745591</v>
      </c>
      <c r="G117" s="5" t="s">
        <v>214</v>
      </c>
      <c r="H117" s="7">
        <f t="shared" si="2"/>
        <v>3.1447481583965819E-2</v>
      </c>
    </row>
    <row r="118" spans="2:18">
      <c r="B118" s="5">
        <v>268.2</v>
      </c>
      <c r="C118" s="5">
        <v>270.69</v>
      </c>
      <c r="D118" s="5">
        <v>265.14</v>
      </c>
      <c r="E118" s="5">
        <v>270</v>
      </c>
      <c r="F118" s="5">
        <v>448904</v>
      </c>
      <c r="G118" s="5" t="s">
        <v>213</v>
      </c>
      <c r="H118" s="7">
        <f t="shared" si="2"/>
        <v>-6.6666666666667096E-3</v>
      </c>
    </row>
    <row r="119" spans="2:18">
      <c r="B119" s="5">
        <v>263.69</v>
      </c>
      <c r="C119" s="5">
        <v>264.93</v>
      </c>
      <c r="D119" s="5">
        <v>259.31</v>
      </c>
      <c r="E119" s="5">
        <v>264.93</v>
      </c>
      <c r="F119" s="5">
        <v>433780</v>
      </c>
      <c r="G119" s="5" t="s">
        <v>212</v>
      </c>
      <c r="H119" s="7">
        <f t="shared" si="2"/>
        <v>-4.6804816366587954E-3</v>
      </c>
    </row>
    <row r="120" spans="2:18">
      <c r="B120" s="5">
        <v>262.31</v>
      </c>
      <c r="C120" s="5">
        <v>263.77</v>
      </c>
      <c r="D120" s="5">
        <v>257.89</v>
      </c>
      <c r="E120" s="5">
        <v>261.17</v>
      </c>
      <c r="F120" s="5">
        <v>490394</v>
      </c>
      <c r="G120" s="5" t="s">
        <v>211</v>
      </c>
      <c r="H120" s="7">
        <f t="shared" si="2"/>
        <v>4.3649730060879577E-3</v>
      </c>
    </row>
    <row r="121" spans="2:18">
      <c r="B121" s="5">
        <v>261.77</v>
      </c>
      <c r="C121" s="5">
        <v>262.74</v>
      </c>
      <c r="D121" s="5">
        <v>253.93</v>
      </c>
      <c r="E121" s="5">
        <v>254.64</v>
      </c>
      <c r="F121" s="5">
        <v>617648</v>
      </c>
      <c r="G121" s="5" t="s">
        <v>210</v>
      </c>
      <c r="H121" s="7">
        <f t="shared" si="2"/>
        <v>2.8000314169022822E-2</v>
      </c>
    </row>
    <row r="122" spans="2:18">
      <c r="B122" s="5">
        <v>252.89</v>
      </c>
      <c r="C122" s="5">
        <v>254</v>
      </c>
      <c r="D122" s="5">
        <v>245.27</v>
      </c>
      <c r="E122" s="5">
        <v>248.32</v>
      </c>
      <c r="F122" s="5">
        <v>450393</v>
      </c>
      <c r="G122" s="5" t="s">
        <v>209</v>
      </c>
      <c r="H122" s="7">
        <f t="shared" si="2"/>
        <v>1.8403672680412431E-2</v>
      </c>
    </row>
    <row r="123" spans="2:18">
      <c r="B123" s="5">
        <v>246.93</v>
      </c>
      <c r="C123" s="5">
        <v>248.54</v>
      </c>
      <c r="D123" s="5">
        <v>237.65</v>
      </c>
      <c r="E123" s="5">
        <v>238.63</v>
      </c>
      <c r="F123" s="5">
        <v>425411</v>
      </c>
      <c r="G123" s="5" t="s">
        <v>208</v>
      </c>
      <c r="H123" s="7">
        <f t="shared" si="2"/>
        <v>3.4781879897749723E-2</v>
      </c>
    </row>
    <row r="124" spans="2:18">
      <c r="B124" s="5">
        <v>250.62</v>
      </c>
      <c r="C124" s="5">
        <v>255.625</v>
      </c>
      <c r="D124" s="5">
        <v>247.94</v>
      </c>
      <c r="E124" s="5">
        <v>254.45</v>
      </c>
      <c r="F124" s="5">
        <v>467204</v>
      </c>
      <c r="G124" s="5" t="s">
        <v>207</v>
      </c>
      <c r="H124" s="7">
        <f t="shared" si="2"/>
        <v>-1.5052073098840602E-2</v>
      </c>
    </row>
    <row r="125" spans="2:18">
      <c r="B125" s="5">
        <v>257.81</v>
      </c>
      <c r="C125" s="5">
        <v>258.52</v>
      </c>
      <c r="D125" s="5">
        <v>248.70500000000001</v>
      </c>
      <c r="E125" s="5">
        <v>252.19</v>
      </c>
      <c r="F125" s="5">
        <v>445238</v>
      </c>
      <c r="G125" s="5" t="s">
        <v>206</v>
      </c>
      <c r="H125" s="7">
        <f t="shared" si="2"/>
        <v>2.2284785280938912E-2</v>
      </c>
      <c r="Q125" s="2" t="s">
        <v>652</v>
      </c>
    </row>
    <row r="126" spans="2:18">
      <c r="B126" s="5">
        <v>252.23</v>
      </c>
      <c r="C126" s="5">
        <v>260.875</v>
      </c>
      <c r="D126" s="5">
        <v>238</v>
      </c>
      <c r="E126" s="5">
        <v>240.2</v>
      </c>
      <c r="F126" s="5">
        <v>1052684</v>
      </c>
      <c r="G126" s="5" t="s">
        <v>205</v>
      </c>
      <c r="H126" s="7">
        <f t="shared" si="2"/>
        <v>5.0083263946711032E-2</v>
      </c>
      <c r="R126" s="2" t="s">
        <v>686</v>
      </c>
    </row>
    <row r="127" spans="2:18">
      <c r="B127" s="5">
        <v>237.28</v>
      </c>
      <c r="C127" s="5">
        <v>252.9</v>
      </c>
      <c r="D127" s="5">
        <v>222.59</v>
      </c>
      <c r="E127" s="5">
        <v>243.35</v>
      </c>
      <c r="F127" s="5">
        <v>1023630</v>
      </c>
      <c r="G127" s="5" t="s">
        <v>204</v>
      </c>
      <c r="H127" s="7">
        <f t="shared" si="2"/>
        <v>-2.4943497020751937E-2</v>
      </c>
      <c r="R127" s="2" t="s">
        <v>687</v>
      </c>
    </row>
    <row r="128" spans="2:18">
      <c r="B128" s="5">
        <v>241.97</v>
      </c>
      <c r="C128" s="5">
        <v>243.375</v>
      </c>
      <c r="D128" s="5">
        <v>239.76</v>
      </c>
      <c r="E128" s="5">
        <v>241.28</v>
      </c>
      <c r="F128" s="5">
        <v>170597</v>
      </c>
      <c r="G128" s="5" t="s">
        <v>203</v>
      </c>
      <c r="H128" s="7">
        <f t="shared" si="2"/>
        <v>2.8597480106100637E-3</v>
      </c>
      <c r="Q128" s="2" t="s">
        <v>688</v>
      </c>
    </row>
    <row r="129" spans="2:18">
      <c r="B129" s="5">
        <v>239.99</v>
      </c>
      <c r="C129" s="5">
        <v>243.15</v>
      </c>
      <c r="D129" s="5">
        <v>237.63499999999999</v>
      </c>
      <c r="E129" s="5">
        <v>238.84</v>
      </c>
      <c r="F129" s="5">
        <v>145808</v>
      </c>
      <c r="G129" s="5" t="s">
        <v>202</v>
      </c>
      <c r="H129" s="7">
        <f t="shared" si="2"/>
        <v>4.8149388712108721E-3</v>
      </c>
      <c r="R129" s="2" t="s">
        <v>655</v>
      </c>
    </row>
    <row r="130" spans="2:18">
      <c r="B130" s="5">
        <v>237.48</v>
      </c>
      <c r="C130" s="5">
        <v>241.89</v>
      </c>
      <c r="D130" s="5">
        <v>236.62</v>
      </c>
      <c r="E130" s="5">
        <v>241.04</v>
      </c>
      <c r="F130" s="5">
        <v>189833</v>
      </c>
      <c r="G130" s="5" t="s">
        <v>201</v>
      </c>
      <c r="H130" s="7">
        <f t="shared" si="2"/>
        <v>-1.4769332890806508E-2</v>
      </c>
    </row>
    <row r="131" spans="2:18">
      <c r="B131" s="5">
        <v>238.18</v>
      </c>
      <c r="C131" s="5">
        <v>240.51</v>
      </c>
      <c r="D131" s="5">
        <v>234.55</v>
      </c>
      <c r="E131" s="5">
        <v>238.35</v>
      </c>
      <c r="F131" s="5">
        <v>196502</v>
      </c>
      <c r="G131" s="5" t="s">
        <v>200</v>
      </c>
      <c r="H131" s="7">
        <f t="shared" si="2"/>
        <v>-7.132368365847519E-4</v>
      </c>
    </row>
    <row r="132" spans="2:18">
      <c r="B132" s="5">
        <v>239.85</v>
      </c>
      <c r="C132" s="5">
        <v>241.89</v>
      </c>
      <c r="D132" s="5">
        <v>236.93</v>
      </c>
      <c r="E132" s="5">
        <v>238.47</v>
      </c>
      <c r="F132" s="5">
        <v>294374</v>
      </c>
      <c r="G132" s="5" t="s">
        <v>199</v>
      </c>
      <c r="H132" s="7">
        <f t="shared" si="2"/>
        <v>5.7868914328846888E-3</v>
      </c>
    </row>
    <row r="133" spans="2:18">
      <c r="B133" s="5">
        <v>240.54</v>
      </c>
      <c r="C133" s="5">
        <v>241.92</v>
      </c>
      <c r="D133" s="5">
        <v>238.54</v>
      </c>
      <c r="E133" s="5">
        <v>238.79</v>
      </c>
      <c r="F133" s="5">
        <v>180617</v>
      </c>
      <c r="G133" s="5" t="s">
        <v>198</v>
      </c>
      <c r="H133" s="7">
        <f t="shared" si="2"/>
        <v>7.3286151011349165E-3</v>
      </c>
    </row>
    <row r="134" spans="2:18">
      <c r="B134" s="5">
        <v>240.36</v>
      </c>
      <c r="C134" s="5">
        <v>241.82</v>
      </c>
      <c r="D134" s="5">
        <v>239.59</v>
      </c>
      <c r="E134" s="5">
        <v>241.82</v>
      </c>
      <c r="F134" s="5">
        <v>88821</v>
      </c>
      <c r="G134" s="5" t="s">
        <v>197</v>
      </c>
      <c r="H134" s="7">
        <f t="shared" si="2"/>
        <v>-6.0375485898601644E-3</v>
      </c>
    </row>
    <row r="135" spans="2:18">
      <c r="B135" s="5">
        <v>240.55</v>
      </c>
      <c r="C135" s="5">
        <v>245.74</v>
      </c>
      <c r="D135" s="5">
        <v>237.68010000000001</v>
      </c>
      <c r="E135" s="5">
        <v>243</v>
      </c>
      <c r="F135" s="5">
        <v>213495</v>
      </c>
      <c r="G135" s="5" t="s">
        <v>196</v>
      </c>
      <c r="H135" s="7">
        <f t="shared" si="2"/>
        <v>-1.0082304526748964E-2</v>
      </c>
    </row>
    <row r="136" spans="2:18">
      <c r="B136" s="5">
        <v>242.54</v>
      </c>
      <c r="C136" s="5">
        <v>245.89</v>
      </c>
      <c r="D136" s="5">
        <v>241.23500000000001</v>
      </c>
      <c r="E136" s="5">
        <v>242</v>
      </c>
      <c r="F136" s="5">
        <v>948331</v>
      </c>
      <c r="G136" s="5" t="s">
        <v>195</v>
      </c>
      <c r="H136" s="7">
        <f t="shared" ref="H136:H199" si="3">B136/E136-1</f>
        <v>2.2314049586775742E-3</v>
      </c>
    </row>
    <row r="137" spans="2:18">
      <c r="B137" s="5">
        <v>243.52</v>
      </c>
      <c r="C137" s="5">
        <v>245.56</v>
      </c>
      <c r="D137" s="5">
        <v>235.75479999999999</v>
      </c>
      <c r="E137" s="5">
        <v>238.71</v>
      </c>
      <c r="F137" s="5">
        <v>439284</v>
      </c>
      <c r="G137" s="5" t="s">
        <v>194</v>
      </c>
      <c r="H137" s="7">
        <f t="shared" si="3"/>
        <v>2.0149972770307167E-2</v>
      </c>
    </row>
    <row r="138" spans="2:18">
      <c r="B138" s="5">
        <v>238.9</v>
      </c>
      <c r="C138" s="5">
        <v>247.92500000000001</v>
      </c>
      <c r="D138" s="5">
        <v>238.7</v>
      </c>
      <c r="E138" s="5">
        <v>246.54</v>
      </c>
      <c r="F138" s="5">
        <v>472034</v>
      </c>
      <c r="G138" s="5" t="s">
        <v>193</v>
      </c>
      <c r="H138" s="7">
        <f t="shared" si="3"/>
        <v>-3.0988886184797559E-2</v>
      </c>
    </row>
    <row r="139" spans="2:18">
      <c r="B139" s="5">
        <v>247.55</v>
      </c>
      <c r="C139" s="5">
        <v>251.28</v>
      </c>
      <c r="D139" s="5">
        <v>244.64</v>
      </c>
      <c r="E139" s="5">
        <v>250.08</v>
      </c>
      <c r="F139" s="5">
        <v>336442</v>
      </c>
      <c r="G139" s="5" t="s">
        <v>192</v>
      </c>
      <c r="H139" s="7">
        <f t="shared" si="3"/>
        <v>-1.0116762635956511E-2</v>
      </c>
    </row>
    <row r="140" spans="2:18">
      <c r="B140" s="5">
        <v>247.24</v>
      </c>
      <c r="C140" s="5">
        <v>250.37</v>
      </c>
      <c r="D140" s="5">
        <v>243.7354</v>
      </c>
      <c r="E140" s="5">
        <v>245</v>
      </c>
      <c r="F140" s="5">
        <v>324263</v>
      </c>
      <c r="G140" s="5" t="s">
        <v>191</v>
      </c>
      <c r="H140" s="7">
        <f t="shared" si="3"/>
        <v>9.1428571428571193E-3</v>
      </c>
    </row>
    <row r="141" spans="2:18">
      <c r="B141" s="5">
        <v>245.55</v>
      </c>
      <c r="C141" s="5">
        <v>251.74</v>
      </c>
      <c r="D141" s="5">
        <v>244.37</v>
      </c>
      <c r="E141" s="5">
        <v>251.59</v>
      </c>
      <c r="F141" s="5">
        <v>240273</v>
      </c>
      <c r="G141" s="5" t="s">
        <v>190</v>
      </c>
      <c r="H141" s="7">
        <f t="shared" si="3"/>
        <v>-2.4007313486227533E-2</v>
      </c>
    </row>
    <row r="142" spans="2:18">
      <c r="B142" s="5">
        <v>252.26</v>
      </c>
      <c r="C142" s="5">
        <v>254.57499999999999</v>
      </c>
      <c r="D142" s="5">
        <v>243.36</v>
      </c>
      <c r="E142" s="5">
        <v>251.08</v>
      </c>
      <c r="F142" s="5">
        <v>409509</v>
      </c>
      <c r="G142" s="5" t="s">
        <v>189</v>
      </c>
      <c r="H142" s="7">
        <f t="shared" si="3"/>
        <v>4.6996973076309789E-3</v>
      </c>
    </row>
    <row r="143" spans="2:18">
      <c r="B143" s="5">
        <v>253.66</v>
      </c>
      <c r="C143" s="5">
        <v>259.27</v>
      </c>
      <c r="D143" s="5">
        <v>247.55500000000001</v>
      </c>
      <c r="E143" s="5">
        <v>250</v>
      </c>
      <c r="F143" s="5">
        <v>679290</v>
      </c>
      <c r="G143" s="5" t="s">
        <v>188</v>
      </c>
      <c r="H143" s="7">
        <f t="shared" si="3"/>
        <v>1.4639999999999986E-2</v>
      </c>
    </row>
    <row r="144" spans="2:18">
      <c r="B144" s="5">
        <v>242.27</v>
      </c>
      <c r="C144" s="5">
        <v>245.3</v>
      </c>
      <c r="D144" s="5">
        <v>240.47</v>
      </c>
      <c r="E144" s="5">
        <v>244.29</v>
      </c>
      <c r="F144" s="5">
        <v>239072</v>
      </c>
      <c r="G144" s="5" t="s">
        <v>187</v>
      </c>
      <c r="H144" s="7">
        <f t="shared" si="3"/>
        <v>-8.2688607802201552E-3</v>
      </c>
    </row>
    <row r="145" spans="2:8">
      <c r="B145" s="5">
        <v>240.86</v>
      </c>
      <c r="C145" s="5">
        <v>241.97499999999999</v>
      </c>
      <c r="D145" s="5">
        <v>236.62</v>
      </c>
      <c r="E145" s="5">
        <v>237.6</v>
      </c>
      <c r="F145" s="5">
        <v>170697</v>
      </c>
      <c r="G145" s="5" t="s">
        <v>186</v>
      </c>
      <c r="H145" s="7">
        <f t="shared" si="3"/>
        <v>1.37205387205388E-2</v>
      </c>
    </row>
    <row r="146" spans="2:8">
      <c r="B146" s="5">
        <v>237.23</v>
      </c>
      <c r="C146" s="5">
        <v>245.3</v>
      </c>
      <c r="D146" s="5">
        <v>236.60499999999999</v>
      </c>
      <c r="E146" s="5">
        <v>244.97</v>
      </c>
      <c r="F146" s="5">
        <v>203865</v>
      </c>
      <c r="G146" s="5" t="s">
        <v>185</v>
      </c>
      <c r="H146" s="7">
        <f t="shared" si="3"/>
        <v>-3.159570559660374E-2</v>
      </c>
    </row>
    <row r="147" spans="2:8">
      <c r="B147" s="5">
        <v>242.7</v>
      </c>
      <c r="C147" s="5">
        <v>248.60499999999999</v>
      </c>
      <c r="D147" s="5">
        <v>242.3</v>
      </c>
      <c r="E147" s="5">
        <v>247.42</v>
      </c>
      <c r="F147" s="5">
        <v>194691</v>
      </c>
      <c r="G147" s="5" t="s">
        <v>184</v>
      </c>
      <c r="H147" s="7">
        <f t="shared" si="3"/>
        <v>-1.9076873332794397E-2</v>
      </c>
    </row>
    <row r="148" spans="2:8">
      <c r="B148" s="5">
        <v>249.08</v>
      </c>
      <c r="C148" s="5">
        <v>250.63</v>
      </c>
      <c r="D148" s="5">
        <v>244.1</v>
      </c>
      <c r="E148" s="5">
        <v>244.88</v>
      </c>
      <c r="F148" s="5">
        <v>233870</v>
      </c>
      <c r="G148" s="5" t="s">
        <v>183</v>
      </c>
      <c r="H148" s="7">
        <f t="shared" si="3"/>
        <v>1.7151257758902361E-2</v>
      </c>
    </row>
    <row r="149" spans="2:8">
      <c r="B149" s="5">
        <v>245.24</v>
      </c>
      <c r="C149" s="5">
        <v>246.77</v>
      </c>
      <c r="D149" s="5">
        <v>242.7</v>
      </c>
      <c r="E149" s="5">
        <v>244.11</v>
      </c>
      <c r="F149" s="5">
        <v>281939</v>
      </c>
      <c r="G149" s="5" t="s">
        <v>182</v>
      </c>
      <c r="H149" s="7">
        <f t="shared" si="3"/>
        <v>4.6290606693704106E-3</v>
      </c>
    </row>
    <row r="150" spans="2:8">
      <c r="B150" s="5">
        <v>244.84</v>
      </c>
      <c r="C150" s="5">
        <v>245.66</v>
      </c>
      <c r="D150" s="5">
        <v>241.91</v>
      </c>
      <c r="E150" s="5">
        <v>243.01</v>
      </c>
      <c r="F150" s="5">
        <v>224078</v>
      </c>
      <c r="G150" s="5" t="s">
        <v>181</v>
      </c>
      <c r="H150" s="7">
        <f t="shared" si="3"/>
        <v>7.5305542981771723E-3</v>
      </c>
    </row>
    <row r="151" spans="2:8">
      <c r="B151" s="5">
        <v>244.12</v>
      </c>
      <c r="C151" s="5">
        <v>246.61</v>
      </c>
      <c r="D151" s="5">
        <v>242.3</v>
      </c>
      <c r="E151" s="5">
        <v>242.56</v>
      </c>
      <c r="F151" s="5">
        <v>114677</v>
      </c>
      <c r="G151" s="5" t="s">
        <v>180</v>
      </c>
      <c r="H151" s="7">
        <f t="shared" si="3"/>
        <v>6.4313984168864469E-3</v>
      </c>
    </row>
    <row r="152" spans="2:8">
      <c r="B152" s="5">
        <v>244.15</v>
      </c>
      <c r="C152" s="5">
        <v>250.81</v>
      </c>
      <c r="D152" s="5">
        <v>240.3</v>
      </c>
      <c r="E152" s="5">
        <v>249.86</v>
      </c>
      <c r="F152" s="5">
        <v>271479</v>
      </c>
      <c r="G152" s="5" t="s">
        <v>179</v>
      </c>
      <c r="H152" s="7">
        <f t="shared" si="3"/>
        <v>-2.2852797566637384E-2</v>
      </c>
    </row>
    <row r="153" spans="2:8">
      <c r="B153" s="5">
        <v>248.96</v>
      </c>
      <c r="C153" s="5">
        <v>250.94499999999999</v>
      </c>
      <c r="D153" s="5">
        <v>244.02</v>
      </c>
      <c r="E153" s="5">
        <v>245.68</v>
      </c>
      <c r="F153" s="5">
        <v>297557</v>
      </c>
      <c r="G153" s="5" t="s">
        <v>178</v>
      </c>
      <c r="H153" s="7">
        <f t="shared" si="3"/>
        <v>1.3350700097688017E-2</v>
      </c>
    </row>
    <row r="154" spans="2:8">
      <c r="B154" s="5">
        <v>244.68</v>
      </c>
      <c r="C154" s="5">
        <v>249.86</v>
      </c>
      <c r="D154" s="5">
        <v>243.875</v>
      </c>
      <c r="E154" s="5">
        <v>247.29</v>
      </c>
      <c r="F154" s="5">
        <v>422387</v>
      </c>
      <c r="G154" s="5" t="s">
        <v>177</v>
      </c>
      <c r="H154" s="7">
        <f t="shared" si="3"/>
        <v>-1.0554409802256415E-2</v>
      </c>
    </row>
    <row r="155" spans="2:8">
      <c r="B155" s="5">
        <v>244.84</v>
      </c>
      <c r="C155" s="5">
        <v>245.21</v>
      </c>
      <c r="D155" s="5">
        <v>237.92</v>
      </c>
      <c r="E155" s="5">
        <v>240</v>
      </c>
      <c r="F155" s="5">
        <v>251999</v>
      </c>
      <c r="G155" s="5" t="s">
        <v>176</v>
      </c>
      <c r="H155" s="7">
        <f t="shared" si="3"/>
        <v>2.0166666666666666E-2</v>
      </c>
    </row>
    <row r="156" spans="2:8">
      <c r="B156" s="5">
        <v>240.49</v>
      </c>
      <c r="C156" s="5">
        <v>241</v>
      </c>
      <c r="D156" s="5">
        <v>235.93</v>
      </c>
      <c r="E156" s="5">
        <v>237.29</v>
      </c>
      <c r="F156" s="5">
        <v>203330</v>
      </c>
      <c r="G156" s="5" t="s">
        <v>175</v>
      </c>
      <c r="H156" s="7">
        <f t="shared" si="3"/>
        <v>1.3485608327363119E-2</v>
      </c>
    </row>
    <row r="157" spans="2:8">
      <c r="B157" s="5">
        <v>239.2</v>
      </c>
      <c r="C157" s="5">
        <v>242.95</v>
      </c>
      <c r="D157" s="5">
        <v>235.29</v>
      </c>
      <c r="E157" s="5">
        <v>235.29</v>
      </c>
      <c r="F157" s="5">
        <v>248896</v>
      </c>
      <c r="G157" s="5" t="s">
        <v>174</v>
      </c>
      <c r="H157" s="7">
        <f t="shared" si="3"/>
        <v>1.6617790811339184E-2</v>
      </c>
    </row>
    <row r="158" spans="2:8">
      <c r="B158" s="5">
        <v>237.11</v>
      </c>
      <c r="C158" s="5">
        <v>239.35</v>
      </c>
      <c r="D158" s="5">
        <v>234.62</v>
      </c>
      <c r="E158" s="5">
        <v>237.16</v>
      </c>
      <c r="F158" s="5">
        <v>203426</v>
      </c>
      <c r="G158" s="5" t="s">
        <v>173</v>
      </c>
      <c r="H158" s="7">
        <f t="shared" si="3"/>
        <v>-2.1082813290596025E-4</v>
      </c>
    </row>
    <row r="159" spans="2:8">
      <c r="B159" s="5">
        <v>240.48</v>
      </c>
      <c r="C159" s="5">
        <v>241.82</v>
      </c>
      <c r="D159" s="5">
        <v>235.30500000000001</v>
      </c>
      <c r="E159" s="5">
        <v>236.48</v>
      </c>
      <c r="F159" s="5">
        <v>643266</v>
      </c>
      <c r="G159" s="5" t="s">
        <v>172</v>
      </c>
      <c r="H159" s="7">
        <f t="shared" si="3"/>
        <v>1.6914749661705031E-2</v>
      </c>
    </row>
    <row r="160" spans="2:8">
      <c r="B160" s="5">
        <v>237.84</v>
      </c>
      <c r="C160" s="5">
        <v>239.73</v>
      </c>
      <c r="D160" s="5">
        <v>231.27</v>
      </c>
      <c r="E160" s="5">
        <v>233.88</v>
      </c>
      <c r="F160" s="5">
        <v>382919</v>
      </c>
      <c r="G160" s="5" t="s">
        <v>171</v>
      </c>
      <c r="H160" s="7">
        <f t="shared" si="3"/>
        <v>1.6931759876859909E-2</v>
      </c>
    </row>
    <row r="161" spans="2:8">
      <c r="B161" s="5">
        <v>233.51</v>
      </c>
      <c r="C161" s="5">
        <v>237.25</v>
      </c>
      <c r="D161" s="5">
        <v>232.505</v>
      </c>
      <c r="E161" s="5">
        <v>236</v>
      </c>
      <c r="F161" s="5">
        <v>195676</v>
      </c>
      <c r="G161" s="5" t="s">
        <v>170</v>
      </c>
      <c r="H161" s="7">
        <f t="shared" si="3"/>
        <v>-1.0550847457627133E-2</v>
      </c>
    </row>
    <row r="162" spans="2:8">
      <c r="B162" s="5">
        <v>236.05</v>
      </c>
      <c r="C162" s="5">
        <v>238.29</v>
      </c>
      <c r="D162" s="5">
        <v>235.13</v>
      </c>
      <c r="E162" s="5">
        <v>237.77</v>
      </c>
      <c r="F162" s="5">
        <v>180913</v>
      </c>
      <c r="G162" s="5" t="s">
        <v>169</v>
      </c>
      <c r="H162" s="7">
        <f t="shared" si="3"/>
        <v>-7.233881482104576E-3</v>
      </c>
    </row>
    <row r="163" spans="2:8">
      <c r="B163" s="5">
        <v>236.22</v>
      </c>
      <c r="C163" s="5">
        <v>242.65</v>
      </c>
      <c r="D163" s="5">
        <v>236.01</v>
      </c>
      <c r="E163" s="5">
        <v>240.28</v>
      </c>
      <c r="F163" s="5">
        <v>274564</v>
      </c>
      <c r="G163" s="5" t="s">
        <v>168</v>
      </c>
      <c r="H163" s="7">
        <f t="shared" si="3"/>
        <v>-1.6896953554186744E-2</v>
      </c>
    </row>
    <row r="164" spans="2:8">
      <c r="B164" s="5">
        <v>242.07</v>
      </c>
      <c r="C164" s="5">
        <v>243.38499999999999</v>
      </c>
      <c r="D164" s="5">
        <v>236.71</v>
      </c>
      <c r="E164" s="5">
        <v>237.96</v>
      </c>
      <c r="F164" s="5">
        <v>446469</v>
      </c>
      <c r="G164" s="5" t="s">
        <v>167</v>
      </c>
      <c r="H164" s="7">
        <f t="shared" si="3"/>
        <v>1.7271810388300501E-2</v>
      </c>
    </row>
    <row r="165" spans="2:8">
      <c r="B165" s="5">
        <v>236.45</v>
      </c>
      <c r="C165" s="5">
        <v>236.54</v>
      </c>
      <c r="D165" s="5">
        <v>231.93</v>
      </c>
      <c r="E165" s="5">
        <v>232.36</v>
      </c>
      <c r="F165" s="5">
        <v>318792</v>
      </c>
      <c r="G165" s="5" t="s">
        <v>166</v>
      </c>
      <c r="H165" s="7">
        <f t="shared" si="3"/>
        <v>1.7601996901359884E-2</v>
      </c>
    </row>
    <row r="166" spans="2:8">
      <c r="B166" s="5">
        <v>233.07</v>
      </c>
      <c r="C166" s="5">
        <v>239.99</v>
      </c>
      <c r="D166" s="5">
        <v>232.92</v>
      </c>
      <c r="E166" s="5">
        <v>233.96</v>
      </c>
      <c r="F166" s="5">
        <v>381267</v>
      </c>
      <c r="G166" s="5" t="s">
        <v>165</v>
      </c>
      <c r="H166" s="7">
        <f t="shared" si="3"/>
        <v>-3.804069071636218E-3</v>
      </c>
    </row>
    <row r="167" spans="2:8">
      <c r="B167" s="5">
        <v>233.7</v>
      </c>
      <c r="C167" s="5">
        <v>238.9</v>
      </c>
      <c r="D167" s="5">
        <v>228.9</v>
      </c>
      <c r="E167" s="5">
        <v>238.9</v>
      </c>
      <c r="F167" s="5">
        <v>463471</v>
      </c>
      <c r="G167" s="5" t="s">
        <v>164</v>
      </c>
      <c r="H167" s="7">
        <f t="shared" si="3"/>
        <v>-2.1766429468396908E-2</v>
      </c>
    </row>
    <row r="168" spans="2:8">
      <c r="B168" s="5">
        <v>232.39</v>
      </c>
      <c r="C168" s="5">
        <v>235.47</v>
      </c>
      <c r="D168" s="5">
        <v>228.64500000000001</v>
      </c>
      <c r="E168" s="5">
        <v>229.01</v>
      </c>
      <c r="F168" s="5">
        <v>417594</v>
      </c>
      <c r="G168" s="5" t="s">
        <v>163</v>
      </c>
      <c r="H168" s="7">
        <f t="shared" si="3"/>
        <v>1.4759180821798168E-2</v>
      </c>
    </row>
    <row r="169" spans="2:8">
      <c r="B169" s="5">
        <v>229.51</v>
      </c>
      <c r="C169" s="5">
        <v>237.46</v>
      </c>
      <c r="D169" s="5">
        <v>227.89</v>
      </c>
      <c r="E169" s="5">
        <v>233.84</v>
      </c>
      <c r="F169" s="5">
        <v>453739</v>
      </c>
      <c r="G169" s="5" t="s">
        <v>162</v>
      </c>
      <c r="H169" s="7">
        <f t="shared" si="3"/>
        <v>-1.851693465617521E-2</v>
      </c>
    </row>
    <row r="170" spans="2:8">
      <c r="B170" s="5">
        <v>233.3</v>
      </c>
      <c r="C170" s="5">
        <v>236.56</v>
      </c>
      <c r="D170" s="5">
        <v>227.93</v>
      </c>
      <c r="E170" s="5">
        <v>231.08</v>
      </c>
      <c r="F170" s="5">
        <v>525994</v>
      </c>
      <c r="G170" s="5" t="s">
        <v>161</v>
      </c>
      <c r="H170" s="7">
        <f t="shared" si="3"/>
        <v>9.6070624891813061E-3</v>
      </c>
    </row>
    <row r="171" spans="2:8">
      <c r="B171" s="5">
        <v>228.87</v>
      </c>
      <c r="C171" s="5">
        <v>230.75</v>
      </c>
      <c r="D171" s="5">
        <v>207.58</v>
      </c>
      <c r="E171" s="5">
        <v>207.58</v>
      </c>
      <c r="F171" s="5">
        <v>953178</v>
      </c>
      <c r="G171" s="5" t="s">
        <v>160</v>
      </c>
      <c r="H171" s="65">
        <f t="shared" si="3"/>
        <v>0.10256286732825903</v>
      </c>
    </row>
    <row r="172" spans="2:8">
      <c r="B172" s="5">
        <v>211.29</v>
      </c>
      <c r="C172" s="5">
        <v>218.21</v>
      </c>
      <c r="D172" s="5">
        <v>208.18</v>
      </c>
      <c r="E172" s="5">
        <v>208.18</v>
      </c>
      <c r="F172" s="5">
        <v>734000</v>
      </c>
      <c r="G172" s="5" t="s">
        <v>159</v>
      </c>
      <c r="H172" s="7">
        <f t="shared" si="3"/>
        <v>1.4938995100393759E-2</v>
      </c>
    </row>
    <row r="173" spans="2:8">
      <c r="B173" s="5">
        <v>209.63</v>
      </c>
      <c r="C173" s="5">
        <v>214.97</v>
      </c>
      <c r="D173" s="5">
        <v>206.51499999999999</v>
      </c>
      <c r="E173" s="5">
        <v>208.62</v>
      </c>
      <c r="F173" s="5">
        <v>585440</v>
      </c>
      <c r="G173" s="5" t="s">
        <v>158</v>
      </c>
      <c r="H173" s="7">
        <f t="shared" si="3"/>
        <v>4.8413383184737757E-3</v>
      </c>
    </row>
    <row r="174" spans="2:8">
      <c r="B174" s="5">
        <v>208.74</v>
      </c>
      <c r="C174" s="5">
        <v>213.86</v>
      </c>
      <c r="D174" s="5">
        <v>205.8</v>
      </c>
      <c r="E174" s="5">
        <v>206.17</v>
      </c>
      <c r="F174" s="5">
        <v>536897</v>
      </c>
      <c r="G174" s="5" t="s">
        <v>157</v>
      </c>
      <c r="H174" s="7">
        <f t="shared" si="3"/>
        <v>1.2465441140806277E-2</v>
      </c>
    </row>
    <row r="175" spans="2:8">
      <c r="B175" s="5">
        <v>204.71</v>
      </c>
      <c r="C175" s="5">
        <v>206.72370000000001</v>
      </c>
      <c r="D175" s="5">
        <v>203.72</v>
      </c>
      <c r="E175" s="5">
        <v>206</v>
      </c>
      <c r="F175" s="5">
        <v>244602</v>
      </c>
      <c r="G175" s="5" t="s">
        <v>156</v>
      </c>
      <c r="H175" s="7">
        <f t="shared" si="3"/>
        <v>-6.2621359223300477E-3</v>
      </c>
    </row>
    <row r="176" spans="2:8">
      <c r="B176" s="5">
        <v>206.55</v>
      </c>
      <c r="C176" s="5">
        <v>208.22</v>
      </c>
      <c r="D176" s="5">
        <v>204.89</v>
      </c>
      <c r="E176" s="5">
        <v>204.89</v>
      </c>
      <c r="F176" s="5">
        <v>330421</v>
      </c>
      <c r="G176" s="5" t="s">
        <v>155</v>
      </c>
      <c r="H176" s="7">
        <f t="shared" si="3"/>
        <v>8.1019083410611703E-3</v>
      </c>
    </row>
    <row r="177" spans="2:8">
      <c r="B177" s="5">
        <v>203.71</v>
      </c>
      <c r="C177" s="5">
        <v>205.36</v>
      </c>
      <c r="D177" s="5">
        <v>199.01</v>
      </c>
      <c r="E177" s="5">
        <v>205.36</v>
      </c>
      <c r="F177" s="5">
        <v>249777</v>
      </c>
      <c r="G177" s="5" t="s">
        <v>154</v>
      </c>
      <c r="H177" s="7">
        <f t="shared" si="3"/>
        <v>-8.0346708219711793E-3</v>
      </c>
    </row>
    <row r="178" spans="2:8">
      <c r="B178" s="5">
        <v>205.62</v>
      </c>
      <c r="C178" s="5">
        <v>206.81</v>
      </c>
      <c r="D178" s="5">
        <v>202</v>
      </c>
      <c r="E178" s="5">
        <v>205.85</v>
      </c>
      <c r="F178" s="5">
        <v>228881</v>
      </c>
      <c r="G178" s="5" t="s">
        <v>153</v>
      </c>
      <c r="H178" s="7">
        <f t="shared" si="3"/>
        <v>-1.1173184357541333E-3</v>
      </c>
    </row>
    <row r="179" spans="2:8">
      <c r="B179" s="5">
        <v>206.68</v>
      </c>
      <c r="C179" s="5">
        <v>209.91</v>
      </c>
      <c r="D179" s="5">
        <v>201.96</v>
      </c>
      <c r="E179" s="5">
        <v>208.35</v>
      </c>
      <c r="F179" s="5">
        <v>225223</v>
      </c>
      <c r="G179" s="5" t="s">
        <v>152</v>
      </c>
      <c r="H179" s="7">
        <f t="shared" si="3"/>
        <v>-8.0153587712982199E-3</v>
      </c>
    </row>
    <row r="180" spans="2:8">
      <c r="B180" s="5">
        <v>208.65</v>
      </c>
      <c r="C180" s="5">
        <v>209.69499999999999</v>
      </c>
      <c r="D180" s="5">
        <v>203.84</v>
      </c>
      <c r="E180" s="5">
        <v>204.29</v>
      </c>
      <c r="F180" s="5">
        <v>221677</v>
      </c>
      <c r="G180" s="5" t="s">
        <v>151</v>
      </c>
      <c r="H180" s="7">
        <f t="shared" si="3"/>
        <v>2.1342209603994355E-2</v>
      </c>
    </row>
    <row r="181" spans="2:8">
      <c r="B181" s="5">
        <v>202.26</v>
      </c>
      <c r="C181" s="5">
        <v>206.28</v>
      </c>
      <c r="D181" s="5">
        <v>198.68</v>
      </c>
      <c r="E181" s="5">
        <v>205.43</v>
      </c>
      <c r="F181" s="5">
        <v>280298</v>
      </c>
      <c r="G181" s="5" t="s">
        <v>150</v>
      </c>
      <c r="H181" s="7">
        <f t="shared" si="3"/>
        <v>-1.5431047071995385E-2</v>
      </c>
    </row>
    <row r="182" spans="2:8">
      <c r="B182" s="5">
        <v>205.43</v>
      </c>
      <c r="C182" s="5">
        <v>209.41</v>
      </c>
      <c r="D182" s="5">
        <v>203.79499999999999</v>
      </c>
      <c r="E182" s="5">
        <v>204.96</v>
      </c>
      <c r="F182" s="5">
        <v>272458</v>
      </c>
      <c r="G182" s="5" t="s">
        <v>149</v>
      </c>
      <c r="H182" s="7">
        <f t="shared" si="3"/>
        <v>2.2931303669009306E-3</v>
      </c>
    </row>
    <row r="183" spans="2:8">
      <c r="B183" s="5">
        <v>206.62</v>
      </c>
      <c r="C183" s="5">
        <v>212.48</v>
      </c>
      <c r="D183" s="5">
        <v>204.87</v>
      </c>
      <c r="E183" s="5">
        <v>211.39</v>
      </c>
      <c r="F183" s="5">
        <v>361428</v>
      </c>
      <c r="G183" s="5" t="s">
        <v>148</v>
      </c>
      <c r="H183" s="7">
        <f t="shared" si="3"/>
        <v>-2.2564927385401279E-2</v>
      </c>
    </row>
    <row r="184" spans="2:8">
      <c r="B184" s="5">
        <v>211.36</v>
      </c>
      <c r="C184" s="5">
        <v>217.44</v>
      </c>
      <c r="D184" s="5">
        <v>204.77</v>
      </c>
      <c r="E184" s="5">
        <v>205</v>
      </c>
      <c r="F184" s="5">
        <v>586871</v>
      </c>
      <c r="G184" s="5" t="s">
        <v>147</v>
      </c>
      <c r="H184" s="7">
        <f t="shared" si="3"/>
        <v>3.1024390243902467E-2</v>
      </c>
    </row>
    <row r="185" spans="2:8">
      <c r="B185" s="5">
        <v>203.19</v>
      </c>
      <c r="C185" s="5">
        <v>203.86</v>
      </c>
      <c r="D185" s="5">
        <v>193.495</v>
      </c>
      <c r="E185" s="5">
        <v>193.7</v>
      </c>
      <c r="F185" s="5">
        <v>387667</v>
      </c>
      <c r="G185" s="5" t="s">
        <v>146</v>
      </c>
      <c r="H185" s="7">
        <f t="shared" si="3"/>
        <v>4.8993288590604145E-2</v>
      </c>
    </row>
    <row r="186" spans="2:8">
      <c r="B186" s="5">
        <v>192.58</v>
      </c>
      <c r="C186" s="5">
        <v>197.22</v>
      </c>
      <c r="D186" s="5">
        <v>192.54</v>
      </c>
      <c r="E186" s="5">
        <v>197.22</v>
      </c>
      <c r="F186" s="5">
        <v>295550</v>
      </c>
      <c r="G186" s="5" t="s">
        <v>145</v>
      </c>
      <c r="H186" s="7">
        <f t="shared" si="3"/>
        <v>-2.352702565662701E-2</v>
      </c>
    </row>
    <row r="187" spans="2:8">
      <c r="B187" s="5">
        <v>197.55</v>
      </c>
      <c r="C187" s="5">
        <v>197.82</v>
      </c>
      <c r="D187" s="5">
        <v>193.66</v>
      </c>
      <c r="E187" s="5">
        <v>194.75</v>
      </c>
      <c r="F187" s="5">
        <v>272446</v>
      </c>
      <c r="G187" s="5" t="s">
        <v>144</v>
      </c>
      <c r="H187" s="7">
        <f t="shared" si="3"/>
        <v>1.4377406931964209E-2</v>
      </c>
    </row>
    <row r="188" spans="2:8">
      <c r="B188" s="5">
        <v>194.81</v>
      </c>
      <c r="C188" s="5">
        <v>196.41</v>
      </c>
      <c r="D188" s="5">
        <v>190.51</v>
      </c>
      <c r="E188" s="5">
        <v>191.96</v>
      </c>
      <c r="F188" s="5">
        <v>273502</v>
      </c>
      <c r="G188" s="5" t="s">
        <v>143</v>
      </c>
      <c r="H188" s="7">
        <f t="shared" si="3"/>
        <v>1.4846843092310769E-2</v>
      </c>
    </row>
    <row r="189" spans="2:8">
      <c r="B189" s="5">
        <v>190.81</v>
      </c>
      <c r="C189" s="5">
        <v>194.64</v>
      </c>
      <c r="D189" s="5">
        <v>190.08</v>
      </c>
      <c r="E189" s="5">
        <v>194.64</v>
      </c>
      <c r="F189" s="5">
        <v>244036</v>
      </c>
      <c r="G189" s="5" t="s">
        <v>142</v>
      </c>
      <c r="H189" s="7">
        <f t="shared" si="3"/>
        <v>-1.9677353062063196E-2</v>
      </c>
    </row>
    <row r="190" spans="2:8">
      <c r="B190" s="5">
        <v>194.73</v>
      </c>
      <c r="C190" s="5">
        <v>198.89</v>
      </c>
      <c r="D190" s="5">
        <v>192.26</v>
      </c>
      <c r="E190" s="5">
        <v>197.59</v>
      </c>
      <c r="F190" s="5">
        <v>243639</v>
      </c>
      <c r="G190" s="5" t="s">
        <v>141</v>
      </c>
      <c r="H190" s="7">
        <f t="shared" si="3"/>
        <v>-1.4474416721494077E-2</v>
      </c>
    </row>
    <row r="191" spans="2:8">
      <c r="B191" s="5">
        <v>194.99</v>
      </c>
      <c r="C191" s="5">
        <v>197.09</v>
      </c>
      <c r="D191" s="5">
        <v>189.94</v>
      </c>
      <c r="E191" s="5">
        <v>192.18</v>
      </c>
      <c r="F191" s="5">
        <v>304184</v>
      </c>
      <c r="G191" s="5" t="s">
        <v>140</v>
      </c>
      <c r="H191" s="7">
        <f t="shared" si="3"/>
        <v>1.4621708814652967E-2</v>
      </c>
    </row>
    <row r="192" spans="2:8">
      <c r="B192" s="5">
        <v>193.02</v>
      </c>
      <c r="C192" s="5">
        <v>194.01</v>
      </c>
      <c r="D192" s="5">
        <v>187.84</v>
      </c>
      <c r="E192" s="5">
        <v>190.83</v>
      </c>
      <c r="F192" s="5">
        <v>248342</v>
      </c>
      <c r="G192" s="5" t="s">
        <v>139</v>
      </c>
      <c r="H192" s="7">
        <f t="shared" si="3"/>
        <v>1.1476182990095785E-2</v>
      </c>
    </row>
    <row r="193" spans="2:8">
      <c r="B193" s="5">
        <v>191.56</v>
      </c>
      <c r="C193" s="5">
        <v>194.55</v>
      </c>
      <c r="D193" s="5">
        <v>186.965</v>
      </c>
      <c r="E193" s="5">
        <v>193.93</v>
      </c>
      <c r="F193" s="5">
        <v>274310</v>
      </c>
      <c r="G193" s="5" t="s">
        <v>138</v>
      </c>
      <c r="H193" s="7">
        <f t="shared" si="3"/>
        <v>-1.22209044500593E-2</v>
      </c>
    </row>
    <row r="194" spans="2:8">
      <c r="B194" s="5">
        <v>194.31</v>
      </c>
      <c r="C194" s="5">
        <v>194.44</v>
      </c>
      <c r="D194" s="5">
        <v>191.12</v>
      </c>
      <c r="E194" s="5">
        <v>191.12</v>
      </c>
      <c r="F194" s="5">
        <v>296876</v>
      </c>
      <c r="G194" s="5" t="s">
        <v>137</v>
      </c>
      <c r="H194" s="7">
        <f t="shared" si="3"/>
        <v>1.6691084135621592E-2</v>
      </c>
    </row>
    <row r="195" spans="2:8">
      <c r="B195" s="5">
        <v>191.55</v>
      </c>
      <c r="C195" s="5">
        <v>195.02</v>
      </c>
      <c r="D195" s="5">
        <v>189.47</v>
      </c>
      <c r="E195" s="5">
        <v>193.27</v>
      </c>
      <c r="F195" s="5">
        <v>159095</v>
      </c>
      <c r="G195" s="5" t="s">
        <v>136</v>
      </c>
      <c r="H195" s="7">
        <f t="shared" si="3"/>
        <v>-8.8994670667977838E-3</v>
      </c>
    </row>
    <row r="196" spans="2:8">
      <c r="B196" s="5">
        <v>191.63</v>
      </c>
      <c r="C196" s="5">
        <v>192.1</v>
      </c>
      <c r="D196" s="5">
        <v>186.09</v>
      </c>
      <c r="E196" s="5">
        <v>189.71</v>
      </c>
      <c r="F196" s="5">
        <v>282054</v>
      </c>
      <c r="G196" s="5" t="s">
        <v>135</v>
      </c>
      <c r="H196" s="7">
        <f t="shared" si="3"/>
        <v>1.0120710558220392E-2</v>
      </c>
    </row>
    <row r="197" spans="2:8">
      <c r="B197" s="5">
        <v>186.89</v>
      </c>
      <c r="C197" s="5">
        <v>191.96</v>
      </c>
      <c r="D197" s="5">
        <v>185.13</v>
      </c>
      <c r="E197" s="5">
        <v>191.96</v>
      </c>
      <c r="F197" s="5">
        <v>380320</v>
      </c>
      <c r="G197" s="5" t="s">
        <v>134</v>
      </c>
      <c r="H197" s="7">
        <f t="shared" si="3"/>
        <v>-2.6411752448426862E-2</v>
      </c>
    </row>
    <row r="198" spans="2:8">
      <c r="B198" s="5">
        <v>191.4</v>
      </c>
      <c r="C198" s="5">
        <v>195.95</v>
      </c>
      <c r="D198" s="5">
        <v>191.35</v>
      </c>
      <c r="E198" s="5">
        <v>195.86</v>
      </c>
      <c r="F198" s="5">
        <v>332508</v>
      </c>
      <c r="G198" s="5" t="s">
        <v>133</v>
      </c>
      <c r="H198" s="7">
        <f t="shared" si="3"/>
        <v>-2.2771367303175749E-2</v>
      </c>
    </row>
    <row r="199" spans="2:8">
      <c r="B199" s="5">
        <v>194.9</v>
      </c>
      <c r="C199" s="5">
        <v>198.95750000000001</v>
      </c>
      <c r="D199" s="5">
        <v>194.655</v>
      </c>
      <c r="E199" s="5">
        <v>196.09</v>
      </c>
      <c r="F199" s="5">
        <v>276361</v>
      </c>
      <c r="G199" s="5" t="s">
        <v>132</v>
      </c>
      <c r="H199" s="7">
        <f t="shared" si="3"/>
        <v>-6.0686419501249089E-3</v>
      </c>
    </row>
    <row r="200" spans="2:8">
      <c r="B200" s="5">
        <v>195</v>
      </c>
      <c r="C200" s="5">
        <v>200.77500000000001</v>
      </c>
      <c r="D200" s="5">
        <v>194.72499999999999</v>
      </c>
      <c r="E200" s="5">
        <v>200.22</v>
      </c>
      <c r="F200" s="5">
        <v>835823</v>
      </c>
      <c r="G200" s="5" t="s">
        <v>131</v>
      </c>
      <c r="H200" s="7">
        <f t="shared" ref="H200:H263" si="4">B200/E200-1</f>
        <v>-2.6071321546299098E-2</v>
      </c>
    </row>
    <row r="201" spans="2:8">
      <c r="B201" s="5">
        <v>200.82</v>
      </c>
      <c r="C201" s="5">
        <v>203.28</v>
      </c>
      <c r="D201" s="5">
        <v>198.09559999999999</v>
      </c>
      <c r="E201" s="5">
        <v>201</v>
      </c>
      <c r="F201" s="5">
        <v>370035</v>
      </c>
      <c r="G201" s="5" t="s">
        <v>130</v>
      </c>
      <c r="H201" s="7">
        <f t="shared" si="4"/>
        <v>-8.9552238805978845E-4</v>
      </c>
    </row>
    <row r="202" spans="2:8">
      <c r="B202" s="5">
        <v>195.58</v>
      </c>
      <c r="C202" s="5">
        <v>199.66</v>
      </c>
      <c r="D202" s="5">
        <v>188.75</v>
      </c>
      <c r="E202" s="5">
        <v>189.71</v>
      </c>
      <c r="F202" s="5">
        <v>464298</v>
      </c>
      <c r="G202" s="5" t="s">
        <v>129</v>
      </c>
      <c r="H202" s="7">
        <f t="shared" si="4"/>
        <v>3.0941964050392734E-2</v>
      </c>
    </row>
    <row r="203" spans="2:8">
      <c r="B203" s="5">
        <v>187.06</v>
      </c>
      <c r="C203" s="5">
        <v>192.92</v>
      </c>
      <c r="D203" s="5">
        <v>185.07</v>
      </c>
      <c r="E203" s="5">
        <v>188.18</v>
      </c>
      <c r="F203" s="5">
        <v>406336</v>
      </c>
      <c r="G203" s="5" t="s">
        <v>128</v>
      </c>
      <c r="H203" s="7">
        <f t="shared" si="4"/>
        <v>-5.9517483260708159E-3</v>
      </c>
    </row>
    <row r="204" spans="2:8">
      <c r="B204" s="5">
        <v>187.65</v>
      </c>
      <c r="C204" s="5">
        <v>191.29</v>
      </c>
      <c r="D204" s="5">
        <v>184.8</v>
      </c>
      <c r="E204" s="5">
        <v>187.29</v>
      </c>
      <c r="F204" s="5">
        <v>497037</v>
      </c>
      <c r="G204" s="5" t="s">
        <v>127</v>
      </c>
      <c r="H204" s="7">
        <f t="shared" si="4"/>
        <v>1.922152811148603E-3</v>
      </c>
    </row>
    <row r="205" spans="2:8">
      <c r="B205" s="5">
        <v>186.94</v>
      </c>
      <c r="C205" s="5">
        <v>200.01</v>
      </c>
      <c r="D205" s="5">
        <v>186.78</v>
      </c>
      <c r="E205" s="5">
        <v>199.31</v>
      </c>
      <c r="F205" s="5">
        <v>601133</v>
      </c>
      <c r="G205" s="5" t="s">
        <v>126</v>
      </c>
      <c r="H205" s="64">
        <f t="shared" si="4"/>
        <v>-6.2064121218202817E-2</v>
      </c>
    </row>
    <row r="206" spans="2:8">
      <c r="B206" s="5">
        <v>200.01</v>
      </c>
      <c r="C206" s="5">
        <v>203.63</v>
      </c>
      <c r="D206" s="5">
        <v>198.06</v>
      </c>
      <c r="E206" s="5">
        <v>202.03</v>
      </c>
      <c r="F206" s="5">
        <v>257034</v>
      </c>
      <c r="G206" s="5" t="s">
        <v>125</v>
      </c>
      <c r="H206" s="7">
        <f t="shared" si="4"/>
        <v>-9.9985150720190985E-3</v>
      </c>
    </row>
    <row r="207" spans="2:8">
      <c r="B207" s="5">
        <v>202.31</v>
      </c>
      <c r="C207" s="5">
        <v>205.23</v>
      </c>
      <c r="D207" s="5">
        <v>198.87</v>
      </c>
      <c r="E207" s="5">
        <v>201.88</v>
      </c>
      <c r="F207" s="5">
        <v>393491</v>
      </c>
      <c r="G207" s="5" t="s">
        <v>124</v>
      </c>
      <c r="H207" s="7">
        <f t="shared" si="4"/>
        <v>2.129978204874261E-3</v>
      </c>
    </row>
    <row r="208" spans="2:8">
      <c r="B208" s="5">
        <v>204.12</v>
      </c>
      <c r="C208" s="5">
        <v>207.81</v>
      </c>
      <c r="D208" s="5">
        <v>194.78</v>
      </c>
      <c r="E208" s="5">
        <v>194.78</v>
      </c>
      <c r="F208" s="5">
        <v>445925</v>
      </c>
      <c r="G208" s="5" t="s">
        <v>123</v>
      </c>
      <c r="H208" s="7">
        <f t="shared" si="4"/>
        <v>4.7951535065201778E-2</v>
      </c>
    </row>
    <row r="209" spans="2:8">
      <c r="B209" s="5">
        <v>195.08</v>
      </c>
      <c r="C209" s="5">
        <v>204.8</v>
      </c>
      <c r="D209" s="5">
        <v>194.86</v>
      </c>
      <c r="E209" s="5">
        <v>203.98</v>
      </c>
      <c r="F209" s="5">
        <v>550892</v>
      </c>
      <c r="G209" s="5" t="s">
        <v>122</v>
      </c>
      <c r="H209" s="7">
        <f t="shared" si="4"/>
        <v>-4.3631728600843078E-2</v>
      </c>
    </row>
    <row r="210" spans="2:8">
      <c r="B210" s="5">
        <v>203.73</v>
      </c>
      <c r="C210" s="5">
        <v>205.99590000000001</v>
      </c>
      <c r="D210" s="5">
        <v>199.93</v>
      </c>
      <c r="E210" s="5">
        <v>204.46</v>
      </c>
      <c r="F210" s="5">
        <v>539207</v>
      </c>
      <c r="G210" s="5" t="s">
        <v>121</v>
      </c>
      <c r="H210" s="7">
        <f t="shared" si="4"/>
        <v>-3.5703805145261835E-3</v>
      </c>
    </row>
    <row r="211" spans="2:8">
      <c r="B211" s="5">
        <v>204.04</v>
      </c>
      <c r="C211" s="5">
        <v>205.51</v>
      </c>
      <c r="D211" s="5">
        <v>199.99</v>
      </c>
      <c r="E211" s="5">
        <v>202.39</v>
      </c>
      <c r="F211" s="5">
        <v>306028</v>
      </c>
      <c r="G211" s="5" t="s">
        <v>120</v>
      </c>
      <c r="H211" s="7">
        <f t="shared" si="4"/>
        <v>8.1525767083354683E-3</v>
      </c>
    </row>
    <row r="212" spans="2:8">
      <c r="B212" s="5">
        <v>202.55</v>
      </c>
      <c r="C212" s="5">
        <v>209.68</v>
      </c>
      <c r="D212" s="5">
        <v>202.17</v>
      </c>
      <c r="E212" s="5">
        <v>204.11</v>
      </c>
      <c r="F212" s="5">
        <v>340274</v>
      </c>
      <c r="G212" s="5" t="s">
        <v>119</v>
      </c>
      <c r="H212" s="7">
        <f t="shared" si="4"/>
        <v>-7.6429376316692332E-3</v>
      </c>
    </row>
    <row r="213" spans="2:8">
      <c r="B213" s="5">
        <v>204.97</v>
      </c>
      <c r="C213" s="5">
        <v>209.245</v>
      </c>
      <c r="D213" s="5">
        <v>203.01</v>
      </c>
      <c r="E213" s="5">
        <v>203.01</v>
      </c>
      <c r="F213" s="5">
        <v>358909</v>
      </c>
      <c r="G213" s="5" t="s">
        <v>118</v>
      </c>
      <c r="H213" s="7">
        <f t="shared" si="4"/>
        <v>9.6546968129649358E-3</v>
      </c>
    </row>
    <row r="214" spans="2:8">
      <c r="B214" s="5">
        <v>202.32</v>
      </c>
      <c r="C214" s="5">
        <v>203.83500000000001</v>
      </c>
      <c r="D214" s="5">
        <v>199.86</v>
      </c>
      <c r="E214" s="5">
        <v>202.35</v>
      </c>
      <c r="F214" s="5">
        <v>267470</v>
      </c>
      <c r="G214" s="5" t="s">
        <v>117</v>
      </c>
      <c r="H214" s="7">
        <f t="shared" si="4"/>
        <v>-1.482579688658614E-4</v>
      </c>
    </row>
    <row r="215" spans="2:8">
      <c r="B215" s="5">
        <v>202.4</v>
      </c>
      <c r="C215" s="5">
        <v>204.93</v>
      </c>
      <c r="D215" s="5">
        <v>201.4</v>
      </c>
      <c r="E215" s="5">
        <v>202.24</v>
      </c>
      <c r="F215" s="5">
        <v>286392</v>
      </c>
      <c r="G215" s="5" t="s">
        <v>116</v>
      </c>
      <c r="H215" s="7">
        <f t="shared" si="4"/>
        <v>7.9113924050622231E-4</v>
      </c>
    </row>
    <row r="216" spans="2:8">
      <c r="B216" s="5">
        <v>200.46</v>
      </c>
      <c r="C216" s="5">
        <v>204.35</v>
      </c>
      <c r="D216" s="5">
        <v>197.98</v>
      </c>
      <c r="E216" s="5">
        <v>203.36</v>
      </c>
      <c r="F216" s="5">
        <v>323259</v>
      </c>
      <c r="G216" s="5" t="s">
        <v>115</v>
      </c>
      <c r="H216" s="7">
        <f t="shared" si="4"/>
        <v>-1.4260424862313159E-2</v>
      </c>
    </row>
    <row r="217" spans="2:8">
      <c r="B217" s="5">
        <v>203.16</v>
      </c>
      <c r="C217" s="5">
        <v>203.99</v>
      </c>
      <c r="D217" s="5">
        <v>199.39500000000001</v>
      </c>
      <c r="E217" s="5">
        <v>200.53</v>
      </c>
      <c r="F217" s="5">
        <v>334792</v>
      </c>
      <c r="G217" s="5" t="s">
        <v>114</v>
      </c>
      <c r="H217" s="7">
        <f t="shared" si="4"/>
        <v>1.3115244601805243E-2</v>
      </c>
    </row>
    <row r="218" spans="2:8">
      <c r="B218" s="5">
        <v>202.07</v>
      </c>
      <c r="C218" s="5">
        <v>210.01499999999999</v>
      </c>
      <c r="D218" s="5">
        <v>201.98</v>
      </c>
      <c r="E218" s="5">
        <v>209.54</v>
      </c>
      <c r="F218" s="5">
        <v>420489</v>
      </c>
      <c r="G218" s="5" t="s">
        <v>113</v>
      </c>
      <c r="H218" s="7">
        <f t="shared" si="4"/>
        <v>-3.5649517991791502E-2</v>
      </c>
    </row>
    <row r="219" spans="2:8">
      <c r="B219" s="5">
        <v>210.12</v>
      </c>
      <c r="C219" s="5">
        <v>211.185</v>
      </c>
      <c r="D219" s="5">
        <v>198.66</v>
      </c>
      <c r="E219" s="5">
        <v>199.24</v>
      </c>
      <c r="F219" s="5">
        <v>983455</v>
      </c>
      <c r="G219" s="5" t="s">
        <v>112</v>
      </c>
      <c r="H219" s="7">
        <f t="shared" si="4"/>
        <v>5.4607508532423132E-2</v>
      </c>
    </row>
    <row r="220" spans="2:8">
      <c r="B220" s="5">
        <v>197.57</v>
      </c>
      <c r="C220" s="5">
        <v>200.16</v>
      </c>
      <c r="D220" s="5">
        <v>195.03</v>
      </c>
      <c r="E220" s="5">
        <v>196</v>
      </c>
      <c r="F220" s="5">
        <v>382720</v>
      </c>
      <c r="G220" s="5" t="s">
        <v>111</v>
      </c>
      <c r="H220" s="7">
        <f t="shared" si="4"/>
        <v>8.0102040816325548E-3</v>
      </c>
    </row>
    <row r="221" spans="2:8">
      <c r="B221" s="5">
        <v>195.21</v>
      </c>
      <c r="C221" s="5">
        <v>195.94499999999999</v>
      </c>
      <c r="D221" s="5">
        <v>191.52</v>
      </c>
      <c r="E221" s="5">
        <v>193.19</v>
      </c>
      <c r="F221" s="5">
        <v>331885</v>
      </c>
      <c r="G221" s="5" t="s">
        <v>110</v>
      </c>
      <c r="H221" s="7">
        <f t="shared" si="4"/>
        <v>1.0456027744707441E-2</v>
      </c>
    </row>
    <row r="222" spans="2:8">
      <c r="B222" s="5">
        <v>192.07</v>
      </c>
      <c r="C222" s="5">
        <v>192.77</v>
      </c>
      <c r="D222" s="5">
        <v>187.99</v>
      </c>
      <c r="E222" s="5">
        <v>190.67</v>
      </c>
      <c r="F222" s="5">
        <v>550211</v>
      </c>
      <c r="G222" s="5" t="s">
        <v>109</v>
      </c>
      <c r="H222" s="7">
        <f t="shared" si="4"/>
        <v>7.3425289767661273E-3</v>
      </c>
    </row>
    <row r="223" spans="2:8">
      <c r="B223" s="5">
        <v>191.45</v>
      </c>
      <c r="C223" s="5">
        <v>194.44</v>
      </c>
      <c r="D223" s="5">
        <v>188.62</v>
      </c>
      <c r="E223" s="5">
        <v>190.23</v>
      </c>
      <c r="F223" s="5">
        <v>419716</v>
      </c>
      <c r="G223" s="5" t="s">
        <v>108</v>
      </c>
      <c r="H223" s="7">
        <f t="shared" si="4"/>
        <v>6.4132891762602728E-3</v>
      </c>
    </row>
    <row r="224" spans="2:8">
      <c r="B224" s="5">
        <v>190.51</v>
      </c>
      <c r="C224" s="5">
        <v>191.16</v>
      </c>
      <c r="D224" s="5">
        <v>186.68</v>
      </c>
      <c r="E224" s="5">
        <v>188.88</v>
      </c>
      <c r="F224" s="5">
        <v>320096</v>
      </c>
      <c r="G224" s="5" t="s">
        <v>107</v>
      </c>
      <c r="H224" s="7">
        <f t="shared" si="4"/>
        <v>8.6298178737822528E-3</v>
      </c>
    </row>
    <row r="225" spans="2:8">
      <c r="B225" s="5">
        <v>189.26</v>
      </c>
      <c r="C225" s="5">
        <v>192.05</v>
      </c>
      <c r="D225" s="5">
        <v>184.19</v>
      </c>
      <c r="E225" s="5">
        <v>184.29</v>
      </c>
      <c r="F225" s="5">
        <v>520750</v>
      </c>
      <c r="G225" s="5" t="s">
        <v>106</v>
      </c>
      <c r="H225" s="7">
        <f t="shared" si="4"/>
        <v>2.6968365076781131E-2</v>
      </c>
    </row>
    <row r="226" spans="2:8">
      <c r="B226" s="5">
        <v>183.1</v>
      </c>
      <c r="C226" s="5">
        <v>187.845</v>
      </c>
      <c r="D226" s="5">
        <v>181.13</v>
      </c>
      <c r="E226" s="5">
        <v>186.75</v>
      </c>
      <c r="F226" s="5">
        <v>545044</v>
      </c>
      <c r="G226" s="5" t="s">
        <v>105</v>
      </c>
      <c r="H226" s="7">
        <f t="shared" si="4"/>
        <v>-1.9544846050870146E-2</v>
      </c>
    </row>
    <row r="227" spans="2:8">
      <c r="B227" s="5">
        <v>186.94</v>
      </c>
      <c r="C227" s="5">
        <v>194.51</v>
      </c>
      <c r="D227" s="5">
        <v>174.23</v>
      </c>
      <c r="E227" s="5">
        <v>177.29</v>
      </c>
      <c r="F227" s="5">
        <v>1046475</v>
      </c>
      <c r="G227" s="5" t="s">
        <v>104</v>
      </c>
      <c r="H227" s="7">
        <f t="shared" si="4"/>
        <v>5.4430593942128791E-2</v>
      </c>
    </row>
    <row r="228" spans="2:8">
      <c r="B228" s="5">
        <v>168.79</v>
      </c>
      <c r="C228" s="5">
        <v>172.42</v>
      </c>
      <c r="D228" s="5">
        <v>168.3</v>
      </c>
      <c r="E228" s="5">
        <v>169.45</v>
      </c>
      <c r="F228" s="5">
        <v>383916</v>
      </c>
      <c r="G228" s="5" t="s">
        <v>103</v>
      </c>
      <c r="H228" s="7">
        <f t="shared" si="4"/>
        <v>-3.8949542637946033E-3</v>
      </c>
    </row>
    <row r="229" spans="2:8">
      <c r="B229" s="5">
        <v>170.03</v>
      </c>
      <c r="C229" s="5">
        <v>171.27</v>
      </c>
      <c r="D229" s="5">
        <v>166.64</v>
      </c>
      <c r="E229" s="5">
        <v>170.11</v>
      </c>
      <c r="F229" s="5">
        <v>294006</v>
      </c>
      <c r="G229" s="5" t="s">
        <v>102</v>
      </c>
      <c r="H229" s="7">
        <f t="shared" si="4"/>
        <v>-4.7028393392523071E-4</v>
      </c>
    </row>
    <row r="230" spans="2:8">
      <c r="B230" s="5">
        <v>169.38</v>
      </c>
      <c r="C230" s="5">
        <v>170.13</v>
      </c>
      <c r="D230" s="5">
        <v>164.42</v>
      </c>
      <c r="E230" s="5">
        <v>164.42</v>
      </c>
      <c r="F230" s="5">
        <v>349259</v>
      </c>
      <c r="G230" s="5" t="s">
        <v>101</v>
      </c>
      <c r="H230" s="7">
        <f t="shared" si="4"/>
        <v>3.0166646393382957E-2</v>
      </c>
    </row>
    <row r="231" spans="2:8">
      <c r="B231" s="5">
        <v>163.63999999999999</v>
      </c>
      <c r="C231" s="5">
        <v>172.16</v>
      </c>
      <c r="D231" s="5">
        <v>163.63</v>
      </c>
      <c r="E231" s="5">
        <v>171.57</v>
      </c>
      <c r="F231" s="5">
        <v>451656</v>
      </c>
      <c r="G231" s="5" t="s">
        <v>100</v>
      </c>
      <c r="H231" s="7">
        <f t="shared" si="4"/>
        <v>-4.6220201666958172E-2</v>
      </c>
    </row>
    <row r="232" spans="2:8">
      <c r="B232" s="5">
        <v>171.44</v>
      </c>
      <c r="C232" s="5">
        <v>177.9932</v>
      </c>
      <c r="D232" s="5">
        <v>171.41</v>
      </c>
      <c r="E232" s="5">
        <v>177.46</v>
      </c>
      <c r="F232" s="5">
        <v>551861</v>
      </c>
      <c r="G232" s="5" t="s">
        <v>99</v>
      </c>
      <c r="H232" s="7">
        <f t="shared" si="4"/>
        <v>-3.3923137608475207E-2</v>
      </c>
    </row>
    <row r="233" spans="2:8">
      <c r="B233" s="5">
        <v>177.56</v>
      </c>
      <c r="C233" s="5">
        <v>181.44</v>
      </c>
      <c r="D233" s="5">
        <v>169.84</v>
      </c>
      <c r="E233" s="5">
        <v>170.63</v>
      </c>
      <c r="F233" s="5">
        <v>617380</v>
      </c>
      <c r="G233" s="5" t="s">
        <v>98</v>
      </c>
      <c r="H233" s="7">
        <f t="shared" si="4"/>
        <v>4.0614194455840247E-2</v>
      </c>
    </row>
    <row r="234" spans="2:8">
      <c r="B234" s="5">
        <v>175.51</v>
      </c>
      <c r="C234" s="5">
        <v>180.5</v>
      </c>
      <c r="D234" s="5">
        <v>167.76</v>
      </c>
      <c r="E234" s="5">
        <v>169.91</v>
      </c>
      <c r="F234" s="5">
        <v>850453</v>
      </c>
      <c r="G234" s="5" t="s">
        <v>97</v>
      </c>
      <c r="H234" s="7">
        <f t="shared" si="4"/>
        <v>3.2958625154493548E-2</v>
      </c>
    </row>
    <row r="235" spans="2:8">
      <c r="B235" s="5">
        <v>171.25</v>
      </c>
      <c r="C235" s="5">
        <v>172.85</v>
      </c>
      <c r="D235" s="5">
        <v>160.18</v>
      </c>
      <c r="E235" s="5">
        <v>168.73</v>
      </c>
      <c r="F235" s="5">
        <v>726531</v>
      </c>
      <c r="G235" s="5" t="s">
        <v>96</v>
      </c>
      <c r="H235" s="7">
        <f t="shared" si="4"/>
        <v>1.493510341966453E-2</v>
      </c>
    </row>
    <row r="236" spans="2:8">
      <c r="B236" s="5">
        <v>167.09</v>
      </c>
      <c r="C236" s="5">
        <v>176.745</v>
      </c>
      <c r="D236" s="5">
        <v>148</v>
      </c>
      <c r="E236" s="5">
        <v>151.97999999999999</v>
      </c>
      <c r="F236" s="5">
        <v>2326977</v>
      </c>
      <c r="G236" s="5" t="s">
        <v>95</v>
      </c>
      <c r="H236" s="7">
        <f t="shared" si="4"/>
        <v>9.942097644426906E-2</v>
      </c>
    </row>
    <row r="237" spans="2:8">
      <c r="B237" s="5">
        <v>173.09</v>
      </c>
      <c r="C237" s="5">
        <v>180.8</v>
      </c>
      <c r="D237" s="5">
        <v>171.66</v>
      </c>
      <c r="E237" s="5">
        <v>178.52</v>
      </c>
      <c r="F237" s="5">
        <v>921460</v>
      </c>
      <c r="G237" s="5" t="s">
        <v>94</v>
      </c>
      <c r="H237" s="7">
        <f t="shared" si="4"/>
        <v>-3.0416760026887757E-2</v>
      </c>
    </row>
    <row r="238" spans="2:8">
      <c r="B238" s="5">
        <v>178.38</v>
      </c>
      <c r="C238" s="5">
        <v>181.75</v>
      </c>
      <c r="D238" s="5">
        <v>174.05</v>
      </c>
      <c r="E238" s="5">
        <v>180.94</v>
      </c>
      <c r="F238" s="5">
        <v>673391</v>
      </c>
      <c r="G238" s="5" t="s">
        <v>93</v>
      </c>
      <c r="H238" s="7">
        <f t="shared" si="4"/>
        <v>-1.4148336465126587E-2</v>
      </c>
    </row>
    <row r="239" spans="2:8">
      <c r="B239" s="5">
        <v>178.43</v>
      </c>
      <c r="C239" s="5">
        <v>191.52500000000001</v>
      </c>
      <c r="D239" s="5">
        <v>176.66</v>
      </c>
      <c r="E239" s="5">
        <v>190.16</v>
      </c>
      <c r="F239" s="5">
        <v>552683</v>
      </c>
      <c r="G239" s="5" t="s">
        <v>92</v>
      </c>
      <c r="H239" s="7">
        <f t="shared" si="4"/>
        <v>-6.1684896928901889E-2</v>
      </c>
    </row>
    <row r="240" spans="2:8">
      <c r="B240" s="5">
        <v>190.1</v>
      </c>
      <c r="C240" s="5">
        <v>196.16</v>
      </c>
      <c r="D240" s="5">
        <v>189.98</v>
      </c>
      <c r="E240" s="5">
        <v>191.49</v>
      </c>
      <c r="F240" s="5">
        <v>409808</v>
      </c>
      <c r="G240" s="5" t="s">
        <v>91</v>
      </c>
      <c r="H240" s="7">
        <f t="shared" si="4"/>
        <v>-7.2588646926733391E-3</v>
      </c>
    </row>
    <row r="241" spans="2:8">
      <c r="B241" s="5">
        <v>193.22</v>
      </c>
      <c r="C241" s="5">
        <v>194.3</v>
      </c>
      <c r="D241" s="5">
        <v>187.66</v>
      </c>
      <c r="E241" s="5">
        <v>187.66</v>
      </c>
      <c r="F241" s="5">
        <v>344929</v>
      </c>
      <c r="G241" s="5" t="s">
        <v>90</v>
      </c>
      <c r="H241" s="7">
        <f t="shared" si="4"/>
        <v>2.9628050730043709E-2</v>
      </c>
    </row>
    <row r="242" spans="2:8">
      <c r="B242" s="5">
        <v>188.3</v>
      </c>
      <c r="C242" s="5">
        <v>192.2</v>
      </c>
      <c r="D242" s="5">
        <v>188.24</v>
      </c>
      <c r="E242" s="5">
        <v>192.2</v>
      </c>
      <c r="F242" s="5">
        <v>383099</v>
      </c>
      <c r="G242" s="5" t="s">
        <v>89</v>
      </c>
      <c r="H242" s="7">
        <f t="shared" si="4"/>
        <v>-2.0291363163371323E-2</v>
      </c>
    </row>
    <row r="243" spans="2:8">
      <c r="B243" s="5">
        <v>192.25</v>
      </c>
      <c r="C243" s="5">
        <v>192.48</v>
      </c>
      <c r="D243" s="5">
        <v>184.95</v>
      </c>
      <c r="E243" s="5">
        <v>190.95</v>
      </c>
      <c r="F243" s="5">
        <v>207586</v>
      </c>
      <c r="G243" s="5" t="s">
        <v>88</v>
      </c>
      <c r="H243" s="7">
        <f t="shared" si="4"/>
        <v>6.8080649384656411E-3</v>
      </c>
    </row>
    <row r="244" spans="2:8">
      <c r="B244" s="5">
        <v>189.87</v>
      </c>
      <c r="C244" s="5">
        <v>192.13</v>
      </c>
      <c r="D244" s="5">
        <v>187.285</v>
      </c>
      <c r="E244" s="5">
        <v>192.13</v>
      </c>
      <c r="F244" s="5">
        <v>182531</v>
      </c>
      <c r="G244" s="5" t="s">
        <v>87</v>
      </c>
      <c r="H244" s="7">
        <f t="shared" si="4"/>
        <v>-1.1762868890855094E-2</v>
      </c>
    </row>
    <row r="245" spans="2:8">
      <c r="B245" s="5">
        <v>190.81</v>
      </c>
      <c r="C245" s="5">
        <v>204.29</v>
      </c>
      <c r="D245" s="5">
        <v>188.65</v>
      </c>
      <c r="E245" s="5">
        <v>202.34</v>
      </c>
      <c r="F245" s="5">
        <v>382245</v>
      </c>
      <c r="G245" s="5" t="s">
        <v>86</v>
      </c>
      <c r="H245" s="7">
        <f t="shared" si="4"/>
        <v>-5.6983295443313264E-2</v>
      </c>
    </row>
    <row r="246" spans="2:8">
      <c r="B246" s="5">
        <v>203.22</v>
      </c>
      <c r="C246" s="5">
        <v>207.25</v>
      </c>
      <c r="D246" s="5">
        <v>193.3</v>
      </c>
      <c r="E246" s="5">
        <v>194.73</v>
      </c>
      <c r="F246" s="5">
        <v>672376</v>
      </c>
      <c r="G246" s="5" t="s">
        <v>85</v>
      </c>
      <c r="H246" s="7">
        <f t="shared" si="4"/>
        <v>4.3598829148051133E-2</v>
      </c>
    </row>
    <row r="247" spans="2:8">
      <c r="B247" s="5">
        <v>196.75</v>
      </c>
      <c r="C247" s="5">
        <v>198.37</v>
      </c>
      <c r="D247" s="5">
        <v>190.88</v>
      </c>
      <c r="E247" s="5">
        <v>191.6</v>
      </c>
      <c r="F247" s="5">
        <v>455098</v>
      </c>
      <c r="G247" s="5" t="s">
        <v>84</v>
      </c>
      <c r="H247" s="7">
        <f t="shared" si="4"/>
        <v>2.6878914405010557E-2</v>
      </c>
    </row>
    <row r="248" spans="2:8">
      <c r="B248" s="5">
        <v>191.68</v>
      </c>
      <c r="C248" s="5">
        <v>193.58</v>
      </c>
      <c r="D248" s="5">
        <v>188.35249999999999</v>
      </c>
      <c r="E248" s="5">
        <v>190.83</v>
      </c>
      <c r="F248" s="5">
        <v>449346</v>
      </c>
      <c r="G248" s="5" t="s">
        <v>83</v>
      </c>
      <c r="H248" s="7">
        <f t="shared" si="4"/>
        <v>4.454226274694717E-3</v>
      </c>
    </row>
    <row r="249" spans="2:8">
      <c r="B249" s="5">
        <v>190.83</v>
      </c>
      <c r="C249" s="5">
        <v>194.58</v>
      </c>
      <c r="D249" s="5">
        <v>187.44</v>
      </c>
      <c r="E249" s="5">
        <v>187.44</v>
      </c>
      <c r="F249" s="5">
        <v>389981</v>
      </c>
      <c r="G249" s="5" t="s">
        <v>82</v>
      </c>
      <c r="H249" s="7">
        <f t="shared" si="4"/>
        <v>1.8085787451984636E-2</v>
      </c>
    </row>
    <row r="250" spans="2:8">
      <c r="B250" s="5">
        <v>186.29</v>
      </c>
      <c r="C250" s="5">
        <v>186.68</v>
      </c>
      <c r="D250" s="5">
        <v>179.75</v>
      </c>
      <c r="E250" s="5">
        <v>181.02</v>
      </c>
      <c r="F250" s="5">
        <v>341402</v>
      </c>
      <c r="G250" s="5" t="s">
        <v>81</v>
      </c>
      <c r="H250" s="7">
        <f t="shared" si="4"/>
        <v>2.9112805214893234E-2</v>
      </c>
    </row>
    <row r="251" spans="2:8">
      <c r="B251" s="5">
        <v>179.46</v>
      </c>
      <c r="C251" s="5">
        <v>179.69</v>
      </c>
      <c r="D251" s="5">
        <v>177.27</v>
      </c>
      <c r="E251" s="5">
        <v>178.83</v>
      </c>
      <c r="F251" s="5">
        <v>315721</v>
      </c>
      <c r="G251" s="5" t="s">
        <v>80</v>
      </c>
      <c r="H251" s="7">
        <f t="shared" si="4"/>
        <v>3.5228988424760299E-3</v>
      </c>
    </row>
    <row r="252" spans="2:8">
      <c r="B252" s="5">
        <v>177.99</v>
      </c>
      <c r="C252" s="5">
        <v>180.07499999999999</v>
      </c>
      <c r="D252" s="5">
        <v>174.5</v>
      </c>
      <c r="E252" s="5">
        <v>179.37</v>
      </c>
      <c r="F252" s="5">
        <v>276994</v>
      </c>
      <c r="G252" s="5" t="s">
        <v>79</v>
      </c>
      <c r="H252" s="7">
        <f t="shared" si="4"/>
        <v>-7.6935942465294893E-3</v>
      </c>
    </row>
    <row r="253" spans="2:8">
      <c r="B253" s="5">
        <v>179.27</v>
      </c>
      <c r="C253" s="5">
        <v>183.32</v>
      </c>
      <c r="D253" s="5">
        <v>179.19</v>
      </c>
      <c r="E253" s="5">
        <v>181.14</v>
      </c>
      <c r="F253" s="5">
        <v>323643</v>
      </c>
      <c r="G253" s="5" t="s">
        <v>78</v>
      </c>
      <c r="H253" s="7">
        <f t="shared" si="4"/>
        <v>-1.0323506679915995E-2</v>
      </c>
    </row>
    <row r="254" spans="2:8">
      <c r="B254" s="5">
        <v>181.09</v>
      </c>
      <c r="C254" s="5">
        <v>181.31</v>
      </c>
      <c r="D254" s="5">
        <v>176.79</v>
      </c>
      <c r="E254" s="5">
        <v>178.19</v>
      </c>
      <c r="F254" s="5">
        <v>183884</v>
      </c>
      <c r="G254" s="5" t="s">
        <v>77</v>
      </c>
      <c r="H254" s="7">
        <f t="shared" si="4"/>
        <v>1.6274762893540684E-2</v>
      </c>
    </row>
    <row r="255" spans="2:8">
      <c r="B255" s="5">
        <v>177.42</v>
      </c>
      <c r="C255" s="5">
        <v>178.21</v>
      </c>
      <c r="D255" s="5">
        <v>175.1</v>
      </c>
      <c r="E255" s="5">
        <v>176.32</v>
      </c>
      <c r="F255" s="5">
        <v>130530</v>
      </c>
      <c r="G255" s="5" t="s">
        <v>76</v>
      </c>
      <c r="H255" s="7">
        <f t="shared" si="4"/>
        <v>6.2386569872958653E-3</v>
      </c>
    </row>
    <row r="256" spans="2:8">
      <c r="B256" s="5">
        <v>175.99</v>
      </c>
      <c r="C256" s="5">
        <v>179.51</v>
      </c>
      <c r="D256" s="5">
        <v>174.5</v>
      </c>
      <c r="E256" s="5">
        <v>177.97</v>
      </c>
      <c r="F256" s="5">
        <v>185703</v>
      </c>
      <c r="G256" s="5" t="s">
        <v>75</v>
      </c>
      <c r="H256" s="7">
        <f t="shared" si="4"/>
        <v>-1.1125470584929964E-2</v>
      </c>
    </row>
    <row r="257" spans="2:8">
      <c r="B257" s="5">
        <v>177.09</v>
      </c>
      <c r="C257" s="5">
        <v>181.25</v>
      </c>
      <c r="D257" s="5">
        <v>174.69</v>
      </c>
      <c r="E257" s="5">
        <v>179.99</v>
      </c>
      <c r="F257" s="5">
        <v>349594</v>
      </c>
      <c r="G257" s="5" t="s">
        <v>74</v>
      </c>
      <c r="H257" s="7">
        <f t="shared" si="4"/>
        <v>-1.6112006222567921E-2</v>
      </c>
    </row>
    <row r="258" spans="2:8">
      <c r="B258" s="5">
        <v>179.97</v>
      </c>
      <c r="C258" s="5">
        <v>181.28989999999999</v>
      </c>
      <c r="D258" s="5">
        <v>173.815</v>
      </c>
      <c r="E258" s="5">
        <v>176.16</v>
      </c>
      <c r="F258" s="5">
        <v>750545</v>
      </c>
      <c r="G258" s="5" t="s">
        <v>73</v>
      </c>
      <c r="H258" s="7">
        <f t="shared" si="4"/>
        <v>2.1628065395095319E-2</v>
      </c>
    </row>
    <row r="259" spans="2:8">
      <c r="B259" s="5">
        <v>174.9</v>
      </c>
      <c r="C259" s="5">
        <v>175.08</v>
      </c>
      <c r="D259" s="5">
        <v>171.77</v>
      </c>
      <c r="E259" s="5">
        <v>174.25</v>
      </c>
      <c r="F259" s="5">
        <v>339167</v>
      </c>
      <c r="G259" s="5" t="s">
        <v>72</v>
      </c>
      <c r="H259" s="7">
        <f t="shared" si="4"/>
        <v>3.7302725968435535E-3</v>
      </c>
    </row>
    <row r="260" spans="2:8">
      <c r="B260" s="5">
        <v>174.82</v>
      </c>
      <c r="C260" s="5">
        <v>175.25</v>
      </c>
      <c r="D260" s="5">
        <v>171.11</v>
      </c>
      <c r="E260" s="5">
        <v>171.77</v>
      </c>
      <c r="F260" s="5">
        <v>194761</v>
      </c>
      <c r="G260" s="5" t="s">
        <v>71</v>
      </c>
      <c r="H260" s="7">
        <f t="shared" si="4"/>
        <v>1.7756302031786575E-2</v>
      </c>
    </row>
    <row r="261" spans="2:8">
      <c r="B261" s="5">
        <v>172.27</v>
      </c>
      <c r="C261" s="5">
        <v>175.55500000000001</v>
      </c>
      <c r="D261" s="5">
        <v>172.15</v>
      </c>
      <c r="E261" s="5">
        <v>174.62</v>
      </c>
      <c r="F261" s="5">
        <v>320248</v>
      </c>
      <c r="G261" s="5" t="s">
        <v>70</v>
      </c>
      <c r="H261" s="7">
        <f t="shared" si="4"/>
        <v>-1.3457794067117113E-2</v>
      </c>
    </row>
    <row r="262" spans="2:8">
      <c r="B262" s="5">
        <v>174.4</v>
      </c>
      <c r="C262" s="5">
        <v>178.68</v>
      </c>
      <c r="D262" s="5">
        <v>174.04</v>
      </c>
      <c r="E262" s="5">
        <v>178</v>
      </c>
      <c r="F262" s="5">
        <v>358709</v>
      </c>
      <c r="G262" s="5" t="s">
        <v>69</v>
      </c>
      <c r="H262" s="7">
        <f t="shared" si="4"/>
        <v>-2.0224719101123556E-2</v>
      </c>
    </row>
    <row r="263" spans="2:8">
      <c r="B263" s="5">
        <v>178.56</v>
      </c>
      <c r="C263" s="5">
        <v>180.48</v>
      </c>
      <c r="D263" s="5">
        <v>175.96</v>
      </c>
      <c r="E263" s="5">
        <v>176.75</v>
      </c>
      <c r="F263" s="5">
        <v>516399</v>
      </c>
      <c r="G263" s="5" t="s">
        <v>68</v>
      </c>
      <c r="H263" s="7">
        <f t="shared" si="4"/>
        <v>1.0240452616690154E-2</v>
      </c>
    </row>
    <row r="264" spans="2:8">
      <c r="B264" s="5">
        <v>175.45</v>
      </c>
      <c r="C264" s="5">
        <v>176.67</v>
      </c>
      <c r="D264" s="5">
        <v>170.59</v>
      </c>
      <c r="E264" s="5">
        <v>176.02</v>
      </c>
      <c r="F264" s="5">
        <v>561509</v>
      </c>
      <c r="G264" s="5" t="s">
        <v>67</v>
      </c>
      <c r="H264" s="7">
        <f t="shared" ref="H264:H320" si="5">B264/E264-1</f>
        <v>-3.238268378593423E-3</v>
      </c>
    </row>
    <row r="265" spans="2:8">
      <c r="B265" s="5">
        <v>176.03</v>
      </c>
      <c r="C265" s="5">
        <v>186.74</v>
      </c>
      <c r="D265" s="5">
        <v>175.03</v>
      </c>
      <c r="E265" s="5">
        <v>185.93</v>
      </c>
      <c r="F265" s="5">
        <v>469421</v>
      </c>
      <c r="G265" s="5" t="s">
        <v>66</v>
      </c>
      <c r="H265" s="7">
        <f t="shared" si="5"/>
        <v>-5.3245845210563192E-2</v>
      </c>
    </row>
    <row r="266" spans="2:8">
      <c r="B266" s="5">
        <v>187.32</v>
      </c>
      <c r="C266" s="5">
        <v>187.96</v>
      </c>
      <c r="D266" s="5">
        <v>182.67</v>
      </c>
      <c r="E266" s="5">
        <v>184.72</v>
      </c>
      <c r="F266" s="5">
        <v>265474</v>
      </c>
      <c r="G266" s="5" t="s">
        <v>65</v>
      </c>
      <c r="H266" s="7">
        <f t="shared" si="5"/>
        <v>1.4075357297531399E-2</v>
      </c>
    </row>
    <row r="267" spans="2:8">
      <c r="B267" s="5">
        <v>187.78</v>
      </c>
      <c r="C267" s="5">
        <v>188.47</v>
      </c>
      <c r="D267" s="5">
        <v>185.095</v>
      </c>
      <c r="E267" s="5">
        <v>187.47</v>
      </c>
      <c r="F267" s="5">
        <v>203456</v>
      </c>
      <c r="G267" s="5" t="s">
        <v>64</v>
      </c>
      <c r="H267" s="7">
        <f t="shared" si="5"/>
        <v>1.6535979089988828E-3</v>
      </c>
    </row>
    <row r="268" spans="2:8">
      <c r="B268" s="5">
        <v>188</v>
      </c>
      <c r="C268" s="5">
        <v>192.02500000000001</v>
      </c>
      <c r="D268" s="5">
        <v>186.61</v>
      </c>
      <c r="E268" s="5">
        <v>191.39</v>
      </c>
      <c r="F268" s="5">
        <v>268585</v>
      </c>
      <c r="G268" s="5" t="s">
        <v>63</v>
      </c>
      <c r="H268" s="7">
        <f t="shared" si="5"/>
        <v>-1.7712524165316768E-2</v>
      </c>
    </row>
    <row r="269" spans="2:8">
      <c r="B269" s="5">
        <v>191.77</v>
      </c>
      <c r="C269" s="5">
        <v>198.48</v>
      </c>
      <c r="D269" s="5">
        <v>189.15</v>
      </c>
      <c r="E269" s="5">
        <v>193.54</v>
      </c>
      <c r="F269" s="5">
        <v>367221</v>
      </c>
      <c r="G269" s="5" t="s">
        <v>62</v>
      </c>
      <c r="H269" s="7">
        <f t="shared" si="5"/>
        <v>-9.1453963005062588E-3</v>
      </c>
    </row>
    <row r="270" spans="2:8">
      <c r="B270" s="5">
        <v>189.94</v>
      </c>
      <c r="C270" s="5">
        <v>191.05</v>
      </c>
      <c r="D270" s="5">
        <v>185.02</v>
      </c>
      <c r="E270" s="5">
        <v>187.72</v>
      </c>
      <c r="F270" s="5">
        <v>295989</v>
      </c>
      <c r="G270" s="5" t="s">
        <v>61</v>
      </c>
      <c r="H270" s="7">
        <f t="shared" si="5"/>
        <v>1.1826124014489681E-2</v>
      </c>
    </row>
    <row r="271" spans="2:8">
      <c r="B271" s="5">
        <v>188.06</v>
      </c>
      <c r="C271" s="5">
        <v>192.315</v>
      </c>
      <c r="D271" s="5">
        <v>184.1</v>
      </c>
      <c r="E271" s="5">
        <v>187.33</v>
      </c>
      <c r="F271" s="5">
        <v>515041</v>
      </c>
      <c r="G271" s="5" t="s">
        <v>60</v>
      </c>
      <c r="H271" s="7">
        <f t="shared" si="5"/>
        <v>3.8968664922862661E-3</v>
      </c>
    </row>
    <row r="272" spans="2:8">
      <c r="B272" s="5">
        <v>188.95</v>
      </c>
      <c r="C272" s="5">
        <v>194.97</v>
      </c>
      <c r="D272" s="5">
        <v>187.06</v>
      </c>
      <c r="E272" s="5">
        <v>194.97</v>
      </c>
      <c r="F272" s="5">
        <v>584448</v>
      </c>
      <c r="G272" s="5" t="s">
        <v>59</v>
      </c>
      <c r="H272" s="7">
        <f t="shared" si="5"/>
        <v>-3.0876545109504105E-2</v>
      </c>
    </row>
    <row r="273" spans="2:8">
      <c r="B273" s="5">
        <v>196.41</v>
      </c>
      <c r="C273" s="5">
        <v>198.61</v>
      </c>
      <c r="D273" s="5">
        <v>191.59</v>
      </c>
      <c r="E273" s="5">
        <v>192.47</v>
      </c>
      <c r="F273" s="5">
        <v>547231</v>
      </c>
      <c r="G273" s="5" t="s">
        <v>58</v>
      </c>
      <c r="H273" s="7">
        <f t="shared" si="5"/>
        <v>2.0470722710032696E-2</v>
      </c>
    </row>
    <row r="274" spans="2:8">
      <c r="B274" s="5">
        <v>193.29</v>
      </c>
      <c r="C274" s="5">
        <v>195.39619999999999</v>
      </c>
      <c r="D274" s="5">
        <v>191.46</v>
      </c>
      <c r="E274" s="5">
        <v>191.46</v>
      </c>
      <c r="F274" s="5">
        <v>279781</v>
      </c>
      <c r="G274" s="5" t="s">
        <v>57</v>
      </c>
      <c r="H274" s="7">
        <f t="shared" si="5"/>
        <v>9.5581322469444618E-3</v>
      </c>
    </row>
    <row r="275" spans="2:8">
      <c r="B275" s="5">
        <v>190.86</v>
      </c>
      <c r="C275" s="5">
        <v>193.38</v>
      </c>
      <c r="D275" s="5">
        <v>188</v>
      </c>
      <c r="E275" s="5">
        <v>188</v>
      </c>
      <c r="F275" s="5">
        <v>305841</v>
      </c>
      <c r="G275" s="5" t="s">
        <v>56</v>
      </c>
      <c r="H275" s="7">
        <f t="shared" si="5"/>
        <v>1.5212765957446805E-2</v>
      </c>
    </row>
    <row r="276" spans="2:8">
      <c r="B276" s="5">
        <v>188.04</v>
      </c>
      <c r="C276" s="5">
        <v>192.47</v>
      </c>
      <c r="D276" s="5">
        <v>186.83</v>
      </c>
      <c r="E276" s="5">
        <v>190.38</v>
      </c>
      <c r="F276" s="5">
        <v>285215</v>
      </c>
      <c r="G276" s="5" t="s">
        <v>55</v>
      </c>
      <c r="H276" s="7">
        <f t="shared" si="5"/>
        <v>-1.2291207059565101E-2</v>
      </c>
    </row>
    <row r="277" spans="2:8">
      <c r="B277" s="5">
        <v>189.47</v>
      </c>
      <c r="C277" s="5">
        <v>191.17</v>
      </c>
      <c r="D277" s="5">
        <v>187</v>
      </c>
      <c r="E277" s="5">
        <v>188.55</v>
      </c>
      <c r="F277" s="5">
        <v>435845</v>
      </c>
      <c r="G277" s="5" t="s">
        <v>54</v>
      </c>
      <c r="H277" s="7">
        <f t="shared" si="5"/>
        <v>4.8793423495092636E-3</v>
      </c>
    </row>
    <row r="278" spans="2:8">
      <c r="B278" s="5">
        <v>188.01</v>
      </c>
      <c r="C278" s="5">
        <v>192.07</v>
      </c>
      <c r="D278" s="5">
        <v>185.12</v>
      </c>
      <c r="E278" s="5">
        <v>190.18</v>
      </c>
      <c r="F278" s="5">
        <v>512191</v>
      </c>
      <c r="G278" s="5" t="s">
        <v>53</v>
      </c>
      <c r="H278" s="7">
        <f t="shared" si="5"/>
        <v>-1.1410242927752723E-2</v>
      </c>
    </row>
    <row r="279" spans="2:8">
      <c r="B279" s="5">
        <v>191.34</v>
      </c>
      <c r="C279" s="5">
        <v>193.18</v>
      </c>
      <c r="D279" s="5">
        <v>189.52500000000001</v>
      </c>
      <c r="E279" s="5">
        <v>190.51</v>
      </c>
      <c r="F279" s="5">
        <v>211101</v>
      </c>
      <c r="G279" s="5" t="s">
        <v>52</v>
      </c>
      <c r="H279" s="7">
        <f t="shared" si="5"/>
        <v>4.356726681014278E-3</v>
      </c>
    </row>
    <row r="280" spans="2:8">
      <c r="B280" s="5">
        <v>192.81</v>
      </c>
      <c r="C280" s="5">
        <v>194.12</v>
      </c>
      <c r="D280" s="5">
        <v>191.155</v>
      </c>
      <c r="E280" s="5">
        <v>193.65</v>
      </c>
      <c r="F280" s="5">
        <v>230879</v>
      </c>
      <c r="G280" s="5" t="s">
        <v>51</v>
      </c>
      <c r="H280" s="7">
        <f t="shared" si="5"/>
        <v>-4.3377226955848558E-3</v>
      </c>
    </row>
    <row r="281" spans="2:8">
      <c r="B281" s="5">
        <v>193.66</v>
      </c>
      <c r="C281" s="5">
        <v>196.25</v>
      </c>
      <c r="D281" s="5">
        <v>190.96</v>
      </c>
      <c r="E281" s="5">
        <v>190.96</v>
      </c>
      <c r="F281" s="5">
        <v>193348</v>
      </c>
      <c r="G281" s="5" t="s">
        <v>50</v>
      </c>
      <c r="H281" s="7">
        <f t="shared" si="5"/>
        <v>1.4139086719731742E-2</v>
      </c>
    </row>
    <row r="282" spans="2:8">
      <c r="B282" s="5">
        <v>190.69</v>
      </c>
      <c r="C282" s="5">
        <v>199.68690000000001</v>
      </c>
      <c r="D282" s="5">
        <v>190.58</v>
      </c>
      <c r="E282" s="5">
        <v>198.5</v>
      </c>
      <c r="F282" s="5">
        <v>247586</v>
      </c>
      <c r="G282" s="5" t="s">
        <v>49</v>
      </c>
      <c r="H282" s="7">
        <f t="shared" si="5"/>
        <v>-3.9345088161209074E-2</v>
      </c>
    </row>
    <row r="283" spans="2:8">
      <c r="B283" s="5">
        <v>198.97</v>
      </c>
      <c r="C283" s="5">
        <v>201.37</v>
      </c>
      <c r="D283" s="5">
        <v>198.82</v>
      </c>
      <c r="E283" s="5">
        <v>199.97</v>
      </c>
      <c r="F283" s="5">
        <v>170699</v>
      </c>
      <c r="G283" s="5" t="s">
        <v>48</v>
      </c>
      <c r="H283" s="7">
        <f t="shared" si="5"/>
        <v>-5.000750112516883E-3</v>
      </c>
    </row>
    <row r="284" spans="2:8">
      <c r="B284" s="5">
        <v>200.23</v>
      </c>
      <c r="C284" s="5">
        <v>201.15</v>
      </c>
      <c r="D284" s="5">
        <v>198.47</v>
      </c>
      <c r="E284" s="5">
        <v>200.68</v>
      </c>
      <c r="F284" s="5">
        <v>166696</v>
      </c>
      <c r="G284" s="5" t="s">
        <v>47</v>
      </c>
      <c r="H284" s="7">
        <f t="shared" si="5"/>
        <v>-2.2423759218657136E-3</v>
      </c>
    </row>
    <row r="285" spans="2:8">
      <c r="B285" s="5">
        <v>201.44</v>
      </c>
      <c r="C285" s="5">
        <v>204.12</v>
      </c>
      <c r="D285" s="5">
        <v>199.6</v>
      </c>
      <c r="E285" s="5">
        <v>203.54</v>
      </c>
      <c r="F285" s="5">
        <v>166823</v>
      </c>
      <c r="G285" s="5" t="s">
        <v>46</v>
      </c>
      <c r="H285" s="7">
        <f t="shared" si="5"/>
        <v>-1.0317382332710956E-2</v>
      </c>
    </row>
    <row r="286" spans="2:8">
      <c r="B286" s="5">
        <v>203.53</v>
      </c>
      <c r="C286" s="5">
        <v>204.09</v>
      </c>
      <c r="D286" s="5">
        <v>200.69</v>
      </c>
      <c r="E286" s="5">
        <v>201.5</v>
      </c>
      <c r="F286" s="5">
        <v>220680</v>
      </c>
      <c r="G286" s="5" t="s">
        <v>45</v>
      </c>
      <c r="H286" s="7">
        <f t="shared" si="5"/>
        <v>1.0074441687344837E-2</v>
      </c>
    </row>
    <row r="287" spans="2:8">
      <c r="B287" s="5">
        <v>201.53</v>
      </c>
      <c r="C287" s="5">
        <v>204.81</v>
      </c>
      <c r="D287" s="5">
        <v>200.96</v>
      </c>
      <c r="E287" s="5">
        <v>204.4</v>
      </c>
      <c r="F287" s="5">
        <v>273269</v>
      </c>
      <c r="G287" s="5" t="s">
        <v>44</v>
      </c>
      <c r="H287" s="7">
        <f t="shared" si="5"/>
        <v>-1.4041095890411026E-2</v>
      </c>
    </row>
    <row r="288" spans="2:8">
      <c r="B288" s="5">
        <v>204.7</v>
      </c>
      <c r="C288" s="5">
        <v>211.07</v>
      </c>
      <c r="D288" s="5">
        <v>203.95</v>
      </c>
      <c r="E288" s="5">
        <v>211.07</v>
      </c>
      <c r="F288" s="5">
        <v>295161</v>
      </c>
      <c r="G288" s="5" t="s">
        <v>43</v>
      </c>
      <c r="H288" s="7">
        <f t="shared" si="5"/>
        <v>-3.0179561282986711E-2</v>
      </c>
    </row>
    <row r="289" spans="2:8">
      <c r="B289" s="5">
        <v>208.73</v>
      </c>
      <c r="C289" s="5">
        <v>211.85</v>
      </c>
      <c r="D289" s="5">
        <v>206.2012</v>
      </c>
      <c r="E289" s="5">
        <v>206.28</v>
      </c>
      <c r="F289" s="5">
        <v>188996</v>
      </c>
      <c r="G289" s="5" t="s">
        <v>42</v>
      </c>
      <c r="H289" s="7">
        <f t="shared" si="5"/>
        <v>1.1877060306379583E-2</v>
      </c>
    </row>
    <row r="290" spans="2:8">
      <c r="B290" s="5">
        <v>204.77</v>
      </c>
      <c r="C290" s="5">
        <v>214.97</v>
      </c>
      <c r="D290" s="5">
        <v>204.36500000000001</v>
      </c>
      <c r="E290" s="5">
        <v>213.1</v>
      </c>
      <c r="F290" s="5">
        <v>218417</v>
      </c>
      <c r="G290" s="5" t="s">
        <v>41</v>
      </c>
      <c r="H290" s="7">
        <f t="shared" si="5"/>
        <v>-3.9089629282027194E-2</v>
      </c>
    </row>
    <row r="291" spans="2:8">
      <c r="B291" s="5">
        <v>212.28</v>
      </c>
      <c r="C291" s="5">
        <v>213.035</v>
      </c>
      <c r="D291" s="5">
        <v>206.57</v>
      </c>
      <c r="E291" s="5">
        <v>209.83</v>
      </c>
      <c r="F291" s="5">
        <v>335546</v>
      </c>
      <c r="G291" s="5" t="s">
        <v>40</v>
      </c>
      <c r="H291" s="7">
        <f t="shared" si="5"/>
        <v>1.167611876280783E-2</v>
      </c>
    </row>
    <row r="292" spans="2:8">
      <c r="B292" s="5">
        <v>209.4</v>
      </c>
      <c r="C292" s="5">
        <v>210.77</v>
      </c>
      <c r="D292" s="5">
        <v>202.76</v>
      </c>
      <c r="E292" s="5">
        <v>204.02</v>
      </c>
      <c r="F292" s="5">
        <v>380712</v>
      </c>
      <c r="G292" s="5" t="s">
        <v>39</v>
      </c>
      <c r="H292" s="7">
        <f t="shared" si="5"/>
        <v>2.6369963729046209E-2</v>
      </c>
    </row>
    <row r="293" spans="2:8">
      <c r="B293" s="5">
        <v>203.09</v>
      </c>
      <c r="C293" s="5">
        <v>220.4075</v>
      </c>
      <c r="D293" s="5">
        <v>199.54</v>
      </c>
      <c r="E293" s="5">
        <v>205.91</v>
      </c>
      <c r="F293" s="5">
        <v>918833</v>
      </c>
      <c r="G293" s="5" t="s">
        <v>38</v>
      </c>
      <c r="H293" s="7">
        <f t="shared" si="5"/>
        <v>-1.3695303773493261E-2</v>
      </c>
    </row>
    <row r="294" spans="2:8">
      <c r="B294" s="5">
        <v>210</v>
      </c>
      <c r="C294" s="5">
        <v>214.94</v>
      </c>
      <c r="D294" s="5">
        <v>209.48519999999999</v>
      </c>
      <c r="E294" s="5">
        <v>212.89</v>
      </c>
      <c r="F294" s="5">
        <v>565627</v>
      </c>
      <c r="G294" s="5" t="s">
        <v>37</v>
      </c>
      <c r="H294" s="7">
        <f t="shared" si="5"/>
        <v>-1.3575085725022196E-2</v>
      </c>
    </row>
    <row r="295" spans="2:8">
      <c r="B295" s="5">
        <v>211.62</v>
      </c>
      <c r="C295" s="5">
        <v>211.92</v>
      </c>
      <c r="D295" s="5">
        <v>208.27</v>
      </c>
      <c r="E295" s="5">
        <v>209.79</v>
      </c>
      <c r="F295" s="5">
        <v>327016</v>
      </c>
      <c r="G295" s="5" t="s">
        <v>36</v>
      </c>
      <c r="H295" s="7">
        <f t="shared" si="5"/>
        <v>8.723008723008796E-3</v>
      </c>
    </row>
    <row r="296" spans="2:8">
      <c r="B296" s="5">
        <v>208.55</v>
      </c>
      <c r="C296" s="5">
        <v>209.67</v>
      </c>
      <c r="D296" s="5">
        <v>206.58</v>
      </c>
      <c r="E296" s="5">
        <v>208.81</v>
      </c>
      <c r="F296" s="5">
        <v>311088</v>
      </c>
      <c r="G296" s="5" t="s">
        <v>35</v>
      </c>
      <c r="H296" s="7">
        <f t="shared" si="5"/>
        <v>-1.2451510942962374E-3</v>
      </c>
    </row>
    <row r="297" spans="2:8">
      <c r="B297" s="5">
        <v>206.06</v>
      </c>
      <c r="C297" s="5">
        <v>208.14</v>
      </c>
      <c r="D297" s="5">
        <v>202.81</v>
      </c>
      <c r="E297" s="5">
        <v>207.08</v>
      </c>
      <c r="F297" s="5">
        <v>368376</v>
      </c>
      <c r="G297" s="5" t="s">
        <v>34</v>
      </c>
      <c r="H297" s="7">
        <f t="shared" si="5"/>
        <v>-4.9256326057562916E-3</v>
      </c>
    </row>
    <row r="298" spans="2:8">
      <c r="B298" s="5">
        <v>205.29</v>
      </c>
      <c r="C298" s="5">
        <v>208.7799</v>
      </c>
      <c r="D298" s="5">
        <v>196.48</v>
      </c>
      <c r="E298" s="5">
        <v>196.69</v>
      </c>
      <c r="F298" s="5">
        <v>544684</v>
      </c>
      <c r="G298" s="5" t="s">
        <v>33</v>
      </c>
      <c r="H298" s="7">
        <f t="shared" si="5"/>
        <v>4.3723626010473415E-2</v>
      </c>
    </row>
    <row r="299" spans="2:8">
      <c r="B299" s="5">
        <v>196.47</v>
      </c>
      <c r="C299" s="5">
        <v>203.2604</v>
      </c>
      <c r="D299" s="5">
        <v>196.23</v>
      </c>
      <c r="E299" s="5">
        <v>201.11</v>
      </c>
      <c r="F299" s="5">
        <v>302761</v>
      </c>
      <c r="G299" s="5" t="s">
        <v>32</v>
      </c>
      <c r="H299" s="7">
        <f t="shared" si="5"/>
        <v>-2.3071950673760666E-2</v>
      </c>
    </row>
    <row r="300" spans="2:8">
      <c r="B300" s="5">
        <v>202.04</v>
      </c>
      <c r="C300" s="5">
        <v>207.66849999999999</v>
      </c>
      <c r="D300" s="5">
        <v>199.32</v>
      </c>
      <c r="E300" s="5">
        <v>205.83</v>
      </c>
      <c r="F300" s="5">
        <v>361558</v>
      </c>
      <c r="G300" s="5" t="s">
        <v>31</v>
      </c>
      <c r="H300" s="7">
        <f t="shared" si="5"/>
        <v>-1.8413253655929718E-2</v>
      </c>
    </row>
    <row r="301" spans="2:8">
      <c r="B301" s="5">
        <v>204.41</v>
      </c>
      <c r="C301" s="5">
        <v>207.17</v>
      </c>
      <c r="D301" s="5">
        <v>203.1</v>
      </c>
      <c r="E301" s="5">
        <v>206.4</v>
      </c>
      <c r="F301" s="5">
        <v>290642</v>
      </c>
      <c r="G301" s="5" t="s">
        <v>30</v>
      </c>
      <c r="H301" s="7">
        <f t="shared" si="5"/>
        <v>-9.6414728682171491E-3</v>
      </c>
    </row>
    <row r="302" spans="2:8">
      <c r="B302" s="5">
        <v>205.5</v>
      </c>
      <c r="C302" s="5">
        <v>206.66</v>
      </c>
      <c r="D302" s="5">
        <v>201.01</v>
      </c>
      <c r="E302" s="5">
        <v>204.22</v>
      </c>
      <c r="F302" s="5">
        <v>261670</v>
      </c>
      <c r="G302" s="5" t="s">
        <v>29</v>
      </c>
      <c r="H302" s="7">
        <f t="shared" si="5"/>
        <v>6.2677504651846849E-3</v>
      </c>
    </row>
    <row r="303" spans="2:8">
      <c r="B303" s="5">
        <v>206.15</v>
      </c>
      <c r="C303" s="5">
        <v>209.005</v>
      </c>
      <c r="D303" s="5">
        <v>204.12</v>
      </c>
      <c r="E303" s="5">
        <v>207.31</v>
      </c>
      <c r="F303" s="5">
        <v>336365</v>
      </c>
      <c r="G303" s="5" t="s">
        <v>28</v>
      </c>
      <c r="H303" s="7">
        <f t="shared" si="5"/>
        <v>-5.5954850224301245E-3</v>
      </c>
    </row>
    <row r="304" spans="2:8">
      <c r="B304" s="5">
        <v>205.7</v>
      </c>
      <c r="C304" s="5">
        <v>207.21</v>
      </c>
      <c r="D304" s="5">
        <v>203.095</v>
      </c>
      <c r="E304" s="5">
        <v>203.9</v>
      </c>
      <c r="F304" s="5">
        <v>391951</v>
      </c>
      <c r="G304" s="5" t="s">
        <v>27</v>
      </c>
      <c r="H304" s="7">
        <f t="shared" si="5"/>
        <v>8.8278567925452744E-3</v>
      </c>
    </row>
    <row r="305" spans="2:8">
      <c r="B305" s="5">
        <v>203</v>
      </c>
      <c r="C305" s="5">
        <v>206.36</v>
      </c>
      <c r="D305" s="5">
        <v>200.8</v>
      </c>
      <c r="E305" s="5">
        <v>204.04</v>
      </c>
      <c r="F305" s="5">
        <v>348377</v>
      </c>
      <c r="G305" s="5" t="s">
        <v>26</v>
      </c>
      <c r="H305" s="7">
        <f t="shared" si="5"/>
        <v>-5.0970397961184188E-3</v>
      </c>
    </row>
    <row r="306" spans="2:8">
      <c r="B306" s="5">
        <v>202.72</v>
      </c>
      <c r="C306" s="5">
        <v>204.10990000000001</v>
      </c>
      <c r="D306" s="5">
        <v>199.38</v>
      </c>
      <c r="E306" s="5">
        <v>202.7</v>
      </c>
      <c r="F306" s="5">
        <v>338662</v>
      </c>
      <c r="G306" s="5" t="s">
        <v>25</v>
      </c>
      <c r="H306" s="7">
        <f t="shared" si="5"/>
        <v>9.8667982239897256E-5</v>
      </c>
    </row>
    <row r="307" spans="2:8">
      <c r="B307" s="5">
        <v>201.84</v>
      </c>
      <c r="C307" s="5">
        <v>208.595</v>
      </c>
      <c r="D307" s="5">
        <v>200.96</v>
      </c>
      <c r="E307" s="5">
        <v>208.15</v>
      </c>
      <c r="F307" s="5">
        <v>330454</v>
      </c>
      <c r="G307" s="5" t="s">
        <v>24</v>
      </c>
      <c r="H307" s="7">
        <f t="shared" si="5"/>
        <v>-3.031467691568579E-2</v>
      </c>
    </row>
    <row r="308" spans="2:8">
      <c r="B308" s="5">
        <v>208.68</v>
      </c>
      <c r="C308" s="5">
        <v>211.4</v>
      </c>
      <c r="D308" s="5">
        <v>208.4</v>
      </c>
      <c r="E308" s="5">
        <v>209.48</v>
      </c>
      <c r="F308" s="5">
        <v>346505</v>
      </c>
      <c r="G308" s="5" t="s">
        <v>23</v>
      </c>
      <c r="H308" s="7">
        <f t="shared" si="5"/>
        <v>-3.8189803322512539E-3</v>
      </c>
    </row>
    <row r="309" spans="2:8">
      <c r="B309" s="5">
        <v>210.05</v>
      </c>
      <c r="C309" s="5">
        <v>212.77</v>
      </c>
      <c r="D309" s="5">
        <v>207.04</v>
      </c>
      <c r="E309" s="5">
        <v>209.29</v>
      </c>
      <c r="F309" s="5">
        <v>232495</v>
      </c>
      <c r="G309" s="5" t="s">
        <v>22</v>
      </c>
      <c r="H309" s="7">
        <f t="shared" si="5"/>
        <v>3.6313249558030947E-3</v>
      </c>
    </row>
    <row r="310" spans="2:8">
      <c r="B310" s="5">
        <v>210.19</v>
      </c>
      <c r="C310" s="5">
        <v>221.13</v>
      </c>
      <c r="D310" s="5">
        <v>210.16</v>
      </c>
      <c r="E310" s="5">
        <v>219.24</v>
      </c>
      <c r="F310" s="5">
        <v>208831</v>
      </c>
      <c r="G310" s="5" t="s">
        <v>21</v>
      </c>
      <c r="H310" s="7">
        <f t="shared" si="5"/>
        <v>-4.1278963692756854E-2</v>
      </c>
    </row>
    <row r="311" spans="2:8">
      <c r="B311" s="5">
        <v>217.45</v>
      </c>
      <c r="C311" s="5">
        <v>222.30500000000001</v>
      </c>
      <c r="D311" s="5">
        <v>216.78</v>
      </c>
      <c r="E311" s="5">
        <v>220.09</v>
      </c>
      <c r="F311" s="5">
        <v>171287</v>
      </c>
      <c r="G311" s="5" t="s">
        <v>20</v>
      </c>
      <c r="H311" s="7">
        <f t="shared" si="5"/>
        <v>-1.1995092916534222E-2</v>
      </c>
    </row>
    <row r="312" spans="2:8">
      <c r="B312" s="5">
        <v>222.46</v>
      </c>
      <c r="C312" s="5">
        <v>224.3</v>
      </c>
      <c r="D312" s="5">
        <v>219.26499999999999</v>
      </c>
      <c r="E312" s="5">
        <v>223.55</v>
      </c>
      <c r="F312" s="5">
        <v>206905</v>
      </c>
      <c r="G312" s="5" t="s">
        <v>19</v>
      </c>
      <c r="H312" s="7">
        <f t="shared" si="5"/>
        <v>-4.87586669648854E-3</v>
      </c>
    </row>
    <row r="313" spans="2:8">
      <c r="B313" s="5">
        <v>221.1</v>
      </c>
      <c r="C313" s="5">
        <v>221.85</v>
      </c>
      <c r="D313" s="5">
        <v>216.34</v>
      </c>
      <c r="E313" s="5">
        <v>218.91</v>
      </c>
      <c r="F313" s="5">
        <v>192515</v>
      </c>
      <c r="G313" s="5" t="s">
        <v>18</v>
      </c>
      <c r="H313" s="7">
        <f t="shared" si="5"/>
        <v>1.0004111278607564E-2</v>
      </c>
    </row>
    <row r="314" spans="2:8">
      <c r="B314" s="5">
        <v>222.91</v>
      </c>
      <c r="C314" s="5">
        <v>223.8</v>
      </c>
      <c r="D314" s="5">
        <v>220.58</v>
      </c>
      <c r="E314" s="5">
        <v>221.99</v>
      </c>
      <c r="F314" s="5">
        <v>234655</v>
      </c>
      <c r="G314" s="5" t="s">
        <v>17</v>
      </c>
      <c r="H314" s="7">
        <f t="shared" si="5"/>
        <v>4.1443308257127498E-3</v>
      </c>
    </row>
    <row r="315" spans="2:8">
      <c r="B315" s="5">
        <v>220.07</v>
      </c>
      <c r="C315" s="5">
        <v>224</v>
      </c>
      <c r="D315" s="5">
        <v>217.6</v>
      </c>
      <c r="E315" s="5">
        <v>223.66</v>
      </c>
      <c r="F315" s="5">
        <v>303372</v>
      </c>
      <c r="G315" s="5" t="s">
        <v>16</v>
      </c>
      <c r="H315" s="7">
        <f t="shared" si="5"/>
        <v>-1.6051149065545944E-2</v>
      </c>
    </row>
    <row r="316" spans="2:8">
      <c r="B316" s="5">
        <v>223.95</v>
      </c>
      <c r="C316" s="5">
        <v>226.27</v>
      </c>
      <c r="D316" s="5">
        <v>214.84</v>
      </c>
      <c r="E316" s="5">
        <v>216.27</v>
      </c>
      <c r="F316" s="5">
        <v>489384</v>
      </c>
      <c r="G316" s="5" t="s">
        <v>15</v>
      </c>
      <c r="H316" s="7">
        <f t="shared" si="5"/>
        <v>3.5511166597308907E-2</v>
      </c>
    </row>
    <row r="317" spans="2:8">
      <c r="B317" s="5">
        <v>215.46</v>
      </c>
      <c r="C317" s="5">
        <v>218.6</v>
      </c>
      <c r="D317" s="5">
        <v>214.72</v>
      </c>
      <c r="E317" s="5">
        <v>216.04</v>
      </c>
      <c r="F317" s="5">
        <v>333139</v>
      </c>
      <c r="G317" s="5" t="s">
        <v>14</v>
      </c>
      <c r="H317" s="7">
        <f t="shared" si="5"/>
        <v>-2.6846880207368473E-3</v>
      </c>
    </row>
    <row r="318" spans="2:8">
      <c r="B318" s="5">
        <v>215</v>
      </c>
      <c r="C318" s="5">
        <v>215.34</v>
      </c>
      <c r="D318" s="5">
        <v>209.45</v>
      </c>
      <c r="E318" s="5">
        <v>209.83</v>
      </c>
      <c r="F318" s="5">
        <v>279310</v>
      </c>
      <c r="G318" s="5" t="s">
        <v>13</v>
      </c>
      <c r="H318" s="7">
        <f t="shared" si="5"/>
        <v>2.4638993470905035E-2</v>
      </c>
    </row>
    <row r="319" spans="2:8">
      <c r="B319" s="5">
        <v>211.5</v>
      </c>
      <c r="C319" s="5">
        <v>215.26</v>
      </c>
      <c r="D319" s="5">
        <v>209.99</v>
      </c>
      <c r="E319" s="5">
        <v>214.99</v>
      </c>
      <c r="F319" s="5">
        <v>296945</v>
      </c>
      <c r="G319" s="5" t="s">
        <v>12</v>
      </c>
      <c r="H319" s="7">
        <f t="shared" si="5"/>
        <v>-1.62333131773571E-2</v>
      </c>
    </row>
    <row r="320" spans="2:8">
      <c r="B320" s="5">
        <v>217.39</v>
      </c>
      <c r="C320" s="5">
        <v>224.19499999999999</v>
      </c>
      <c r="D320" s="5">
        <v>215.33500000000001</v>
      </c>
      <c r="E320" s="5">
        <v>223.18</v>
      </c>
      <c r="F320" s="5">
        <v>305822</v>
      </c>
      <c r="G320" s="5" t="s">
        <v>11</v>
      </c>
      <c r="H320" s="7">
        <f t="shared" si="5"/>
        <v>-2.5943184873196579E-2</v>
      </c>
    </row>
  </sheetData>
  <hyperlinks>
    <hyperlink ref="R18" r:id="rId1" xr:uid="{BA20364F-8C21-45B3-BE86-C96BB14AC851}"/>
    <hyperlink ref="S19" r:id="rId2" xr:uid="{D840E673-93AF-411E-A768-553080F69D7C}"/>
    <hyperlink ref="S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dimension ref="A1"/>
  <sheetViews>
    <sheetView zoomScale="85" zoomScaleNormal="85" workbookViewId="0"/>
  </sheetViews>
  <sheetFormatPr defaultRowHeight="15"/>
  <cols>
    <col min="1" max="1" width="3"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dimension ref="B2:U2"/>
  <sheetViews>
    <sheetView zoomScale="85" zoomScaleNormal="85" workbookViewId="0">
      <selection activeCell="B4" sqref="B4"/>
    </sheetView>
  </sheetViews>
  <sheetFormatPr defaultRowHeight="15"/>
  <cols>
    <col min="1" max="1" width="2.85546875" customWidth="1"/>
  </cols>
  <sheetData>
    <row r="2" spans="2:21">
      <c r="B2" t="s">
        <v>671</v>
      </c>
      <c r="U2" t="s">
        <v>588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B2" sqref="B2"/>
    </sheetView>
  </sheetViews>
  <sheetFormatPr defaultRowHeight="15"/>
  <cols>
    <col min="1" max="1" width="3"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 Overview</vt:lpstr>
      <vt:lpstr>Model</vt:lpstr>
      <vt:lpstr>Notes | Quant Analysis</vt:lpstr>
      <vt:lpstr>Markets | Product Lines</vt:lpstr>
      <vt:lpstr>Management</vt:lpstr>
      <vt:lpstr>Clinical Trail Channel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2025-04-22T09:51:48Z</dcterms:modified>
</cp:coreProperties>
</file>