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9CDE326F-3545-4E7D-80E5-5CE01323E6A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K31" i="1" l="1"/>
  <c r="L31" i="1" s="1"/>
  <c r="J31" i="1"/>
  <c r="G37" i="1"/>
  <c r="F46" i="1"/>
  <c r="F39" i="1"/>
  <c r="H7" i="1" l="1"/>
  <c r="E7" i="1"/>
  <c r="H29" i="1" l="1"/>
  <c r="F23" i="1"/>
  <c r="I23" i="1" s="1"/>
  <c r="F41" i="1"/>
  <c r="I41" i="1" s="1"/>
  <c r="F26" i="1"/>
  <c r="F47" i="1"/>
  <c r="F6" i="1"/>
  <c r="F36" i="1"/>
  <c r="F54" i="1"/>
  <c r="F9" i="1"/>
  <c r="I9" i="1" s="1"/>
  <c r="F56" i="1"/>
  <c r="I56" i="1" s="1"/>
  <c r="F21" i="1"/>
  <c r="F57" i="1"/>
  <c r="F15" i="1"/>
  <c r="F32" i="1"/>
  <c r="F24" i="1"/>
  <c r="F20" i="1"/>
  <c r="I20" i="1" s="1"/>
  <c r="G29" i="1"/>
  <c r="E29" i="1"/>
  <c r="F29" i="1" s="1"/>
  <c r="F16" i="1"/>
  <c r="I16" i="1" s="1"/>
  <c r="F4" i="1"/>
  <c r="I4" i="1" s="1"/>
  <c r="F12" i="1"/>
  <c r="F28" i="1"/>
  <c r="F53" i="1"/>
  <c r="F59" i="1"/>
  <c r="F44" i="1"/>
  <c r="F30" i="1"/>
  <c r="F11" i="1"/>
  <c r="I11" i="1" s="1"/>
  <c r="F7" i="1"/>
  <c r="F55" i="1"/>
  <c r="F45" i="1"/>
  <c r="F25" i="1"/>
  <c r="F8" i="1"/>
  <c r="F18" i="1"/>
  <c r="F50" i="1"/>
  <c r="F49" i="1"/>
  <c r="I49" i="1" s="1"/>
  <c r="F13" i="1"/>
  <c r="I13" i="1" s="1"/>
  <c r="F33" i="1"/>
  <c r="F17" i="1"/>
  <c r="F31" i="1"/>
  <c r="F27" i="1"/>
  <c r="F35" i="1"/>
  <c r="F14" i="1"/>
  <c r="F38" i="1"/>
  <c r="I38" i="1" s="1"/>
  <c r="F19" i="1"/>
  <c r="I19" i="1" s="1"/>
  <c r="F40" i="1"/>
  <c r="F5" i="1"/>
  <c r="F3" i="1"/>
  <c r="F60" i="1"/>
  <c r="F42" i="1"/>
  <c r="F34" i="1"/>
  <c r="F58" i="1"/>
  <c r="I58" i="1" s="1"/>
  <c r="F10" i="1"/>
  <c r="I10" i="1" s="1"/>
  <c r="F48" i="1"/>
  <c r="F22" i="1"/>
  <c r="F37" i="1"/>
  <c r="F43" i="1"/>
  <c r="F52" i="1"/>
  <c r="F51" i="1"/>
  <c r="I29" i="1" l="1"/>
  <c r="I26" i="1"/>
  <c r="I21" i="1"/>
  <c r="I51" i="1"/>
  <c r="I34" i="1"/>
  <c r="I14" i="1"/>
  <c r="I50" i="1"/>
  <c r="I30" i="1"/>
  <c r="I57" i="1"/>
  <c r="I52" i="1"/>
  <c r="I42" i="1"/>
  <c r="I35" i="1"/>
  <c r="I18" i="1"/>
  <c r="I44" i="1"/>
  <c r="I47" i="1"/>
  <c r="I43" i="1"/>
  <c r="I60" i="1"/>
  <c r="I27" i="1"/>
  <c r="I8" i="1"/>
  <c r="I59" i="1"/>
  <c r="I6" i="1"/>
  <c r="I15" i="1"/>
  <c r="I37" i="1"/>
  <c r="I3" i="1"/>
  <c r="I31" i="1"/>
  <c r="I25" i="1"/>
  <c r="I53" i="1"/>
  <c r="I36" i="1"/>
  <c r="I32" i="1"/>
  <c r="I22" i="1"/>
  <c r="I5" i="1"/>
  <c r="I17" i="1"/>
  <c r="I45" i="1"/>
  <c r="I28" i="1"/>
  <c r="I54" i="1"/>
  <c r="I24" i="1"/>
  <c r="I48" i="1"/>
  <c r="I40" i="1"/>
  <c r="I33" i="1"/>
  <c r="I55" i="1"/>
  <c r="I12" i="1"/>
  <c r="G7" i="1" l="1"/>
  <c r="I7" i="1" s="1"/>
  <c r="J29" i="1" l="1"/>
  <c r="K29" i="1" l="1"/>
  <c r="L29" i="1" s="1"/>
</calcChain>
</file>

<file path=xl/sharedStrings.xml><?xml version="1.0" encoding="utf-8"?>
<sst xmlns="http://schemas.openxmlformats.org/spreadsheetml/2006/main" count="258" uniqueCount="204">
  <si>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</si>
  <si>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</si>
  <si>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</si>
  <si>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</si>
  <si>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</si>
  <si>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</si>
  <si>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</si>
  <si>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</si>
  <si>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</si>
  <si>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</si>
  <si>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</si>
  <si>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</si>
  <si>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</si>
  <si>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</si>
  <si>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</si>
  <si>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</si>
  <si>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</si>
  <si>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</si>
  <si>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</si>
  <si>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</si>
  <si>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</si>
  <si>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</si>
  <si>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</si>
  <si>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</si>
  <si>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</si>
  <si>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</si>
  <si>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</si>
  <si>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</si>
  <si>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</si>
  <si>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</si>
  <si>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</si>
  <si>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</si>
  <si>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</si>
  <si>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</si>
  <si>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</si>
  <si>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</si>
  <si>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</si>
  <si>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</si>
  <si>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</si>
  <si>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</si>
  <si>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</si>
  <si>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</si>
  <si>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</si>
  <si>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</si>
  <si>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</si>
  <si>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</si>
  <si>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</si>
  <si>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</si>
  <si>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</si>
  <si>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MBOT</t>
  </si>
  <si>
    <t>DHR</t>
  </si>
  <si>
    <t>ALC</t>
  </si>
  <si>
    <t>ANGO</t>
  </si>
  <si>
    <t>APYX</t>
  </si>
  <si>
    <t>ATRC</t>
  </si>
  <si>
    <t>CERS</t>
  </si>
  <si>
    <t>CNMD</t>
  </si>
  <si>
    <t>INSP</t>
  </si>
  <si>
    <t>IQV</t>
  </si>
  <si>
    <t>IRTC</t>
  </si>
  <si>
    <t>JNJ</t>
  </si>
  <si>
    <t>LFWD</t>
  </si>
  <si>
    <t>LIVN</t>
  </si>
  <si>
    <t>OFIX</t>
  </si>
  <si>
    <t>OM</t>
  </si>
  <si>
    <t>PEN</t>
  </si>
  <si>
    <t>PHG</t>
  </si>
  <si>
    <t>SRTS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</si>
  <si>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</si>
  <si>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</si>
  <si>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</si>
  <si>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</si>
  <si>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</si>
  <si>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</si>
  <si>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</si>
  <si>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</si>
  <si>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</si>
  <si>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Lifeward (formerly ReWalk Robotics)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</si>
  <si>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</si>
  <si>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</si>
  <si>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</si>
  <si>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</si>
  <si>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</si>
  <si>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</si>
  <si>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</si>
  <si>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</si>
  <si>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 xml:space="preserve">Apyx Medical 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</si>
  <si>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</si>
  <si>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</si>
  <si>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</si>
  <si>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</si>
  <si>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</si>
  <si>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</si>
  <si>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</si>
  <si>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Electrosurgery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</si>
  <si>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</si>
  <si>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</si>
  <si>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</si>
  <si>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</si>
  <si>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</si>
  <si>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</si>
  <si>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</si>
  <si>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</si>
  <si>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</si>
  <si>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</si>
  <si>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</si>
  <si>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</si>
  <si>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</si>
  <si>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</si>
  <si>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</si>
  <si>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</si>
  <si>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</si>
  <si>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</si>
  <si>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</si>
  <si>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</si>
  <si>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</si>
  <si>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</si>
  <si>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</si>
  <si>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</si>
  <si>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Rehabilitation Robotics</t>
  </si>
  <si>
    <t>Neuromodulation</t>
  </si>
  <si>
    <t>Patient Monitoring</t>
  </si>
  <si>
    <t>Micro-Robotic Surgery</t>
  </si>
  <si>
    <t>Biologics</t>
  </si>
  <si>
    <t>Wound Care</t>
  </si>
  <si>
    <t>Precision Instruments</t>
  </si>
  <si>
    <t>Oncology Therapy</t>
  </si>
  <si>
    <t>Orthopedic Repair</t>
  </si>
  <si>
    <t>Dialysis Systems</t>
  </si>
  <si>
    <t>Neurovascular</t>
  </si>
  <si>
    <t>Imaging/HealthTech</t>
  </si>
  <si>
    <t>Insulin Delivery</t>
  </si>
  <si>
    <t>Molecular Testing</t>
  </si>
  <si>
    <t>Respiratory Therapy</t>
  </si>
  <si>
    <t>Radiation Therapy</t>
  </si>
  <si>
    <t>Sterilization</t>
  </si>
  <si>
    <t>Neurostimulation</t>
  </si>
  <si>
    <t>Orthopedics/Neurotech</t>
  </si>
  <si>
    <t>Compression Therapy</t>
  </si>
  <si>
    <t>Critical Care/Urology</t>
  </si>
  <si>
    <t>Laboratory Equipment</t>
  </si>
  <si>
    <t>Healthcare Supplies</t>
  </si>
  <si>
    <t>Drug Packaging</t>
  </si>
  <si>
    <t>Joint Reconstruction</t>
  </si>
  <si>
    <t>Category 1</t>
  </si>
  <si>
    <t>Category 2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</si>
  <si>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</si>
  <si>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</si>
  <si>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</si>
  <si>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</si>
  <si>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</si>
  <si>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</si>
  <si>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</si>
  <si>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</si>
  <si>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</si>
  <si>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</si>
  <si>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</si>
  <si>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</si>
  <si>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</si>
  <si>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</si>
  <si>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</si>
  <si>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</si>
  <si>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</si>
  <si>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</si>
  <si>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</si>
  <si>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</si>
  <si>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</si>
  <si>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 xml:space="preserve">Microbot Medical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</si>
  <si>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</si>
  <si>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</si>
  <si>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</si>
  <si>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</si>
  <si>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</si>
  <si>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</si>
  <si>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</si>
  <si>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Sensus Healthcare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</si>
  <si>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</si>
  <si>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</si>
  <si>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</si>
  <si>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</si>
  <si>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</si>
  <si>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</si>
  <si>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</si>
  <si>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</si>
  <si>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</si>
  <si>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</si>
  <si>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</si>
  <si>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</si>
  <si>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</si>
  <si>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</si>
  <si>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</si>
  <si>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</si>
  <si>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</si>
  <si>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Primary Penumbra Competitor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</si>
  <si>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</si>
  <si>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</si>
  <si>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</si>
  <si>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</si>
  <si>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FDA MedIcal Devices Frontpage</t>
  </si>
  <si>
    <t>https://www.fda.gov/medical-devices</t>
  </si>
  <si>
    <t>Pubmed</t>
  </si>
  <si>
    <t>https://pubmed.ncbi.nlm.nih.gov/37084878/</t>
  </si>
  <si>
    <t>MedTech Equity News</t>
  </si>
  <si>
    <t>https://www.medtechdive.com/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</si>
</sst>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44" fontId="1" fillId="2" borderId="0" xfId="0" applyNumberFormat="1" applyFont="1" applyFill="1"/>
    <xf numFmtId="164" fontId="2" fillId="0" borderId="0" xfId="0" applyNumberFormat="1" applyFont="1"/>
    <xf numFmtId="44" fontId="2" fillId="3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8" fontId="2" fillId="0" borderId="0" xfId="0" applyNumberFormat="1" applyFont="1"/>
  </cellXfs>
  <cellStyles count="4"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theme="8" tint="-0.499984740745262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36</xdr:row>
      <xdr:rowOff>100853</xdr:rowOff>
    </xdr:from>
    <xdr:to>
      <xdr:col>15</xdr:col>
      <xdr:colOff>145676</xdr:colOff>
      <xdr:row>36</xdr:row>
      <xdr:rowOff>106456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>
          <a:off x="252132" y="6701118"/>
          <a:ext cx="17492383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39220</xdr:colOff>
      <xdr:row>45</xdr:row>
      <xdr:rowOff>95249</xdr:rowOff>
    </xdr:from>
    <xdr:to>
      <xdr:col>15</xdr:col>
      <xdr:colOff>145676</xdr:colOff>
      <xdr:row>45</xdr:row>
      <xdr:rowOff>100852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63338" y="8258735"/>
          <a:ext cx="17481177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11206</xdr:colOff>
      <xdr:row>38</xdr:row>
      <xdr:rowOff>89648</xdr:rowOff>
    </xdr:from>
    <xdr:to>
      <xdr:col>15</xdr:col>
      <xdr:colOff>128868</xdr:colOff>
      <xdr:row>38</xdr:row>
      <xdr:rowOff>95251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24118" y="10040472"/>
          <a:ext cx="14573250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PEN_Model.xlsx" TargetMode="External"/><Relationship Id="rId1" Type="http://schemas.openxmlformats.org/officeDocument/2006/relationships/externalLinkPath" Target="PEN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BSX_Model.xlsx" TargetMode="External"/><Relationship Id="rId1" Type="http://schemas.openxmlformats.org/officeDocument/2006/relationships/externalLinkPath" Target="BSX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GMED_Model.xlsx" TargetMode="External"/><Relationship Id="rId1" Type="http://schemas.openxmlformats.org/officeDocument/2006/relationships/externalLinkPath" Target="GMED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arkets | Product Lines"/>
      <sheetName val="Management"/>
      <sheetName val="Clinical Trail Channel"/>
    </sheetNames>
    <sheetDataSet>
      <sheetData sheetId="0">
        <row r="6">
          <cell r="C6">
            <v>38.520000000000003</v>
          </cell>
        </row>
        <row r="8">
          <cell r="C8">
            <v>291</v>
          </cell>
        </row>
        <row r="9">
          <cell r="C9">
            <v>0</v>
          </cell>
        </row>
      </sheetData>
      <sheetData sheetId="1">
        <row r="58">
          <cell r="BD58">
            <v>10864.619256230168</v>
          </cell>
        </row>
        <row r="60">
          <cell r="BD60">
            <v>281.24823339969367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arkets | Product Lines"/>
      <sheetName val="Management"/>
      <sheetName val="Clinical Trial Channel"/>
      <sheetName val="M&amp;A Scope"/>
    </sheetNames>
    <sheetDataSet>
      <sheetData sheetId="0">
        <row r="5">
          <cell r="C5">
            <v>1475.778</v>
          </cell>
        </row>
        <row r="7">
          <cell r="C7">
            <v>2502</v>
          </cell>
        </row>
        <row r="8">
          <cell r="C8">
            <v>10885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 refreshError="1"/>
      <sheetData sheetId="1">
        <row r="53">
          <cell r="BZ53">
            <v>9389.9160729781779</v>
          </cell>
        </row>
        <row r="55">
          <cell r="BZ55">
            <v>68.364878580110513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P72" totalsRowShown="0" headerRowDxfId="17" dataDxfId="16" tableBorderDxfId="15">
  <autoFilter ref="B2:P72" xr:uid="{BD229868-3893-402D-903A-49AEC2B1DF58}"/>
  <sortState xmlns:xlrd2="http://schemas.microsoft.com/office/spreadsheetml/2017/richdata2" ref="B3:P72">
    <sortCondition descending="1" ref="F2:F72"/>
  </sortState>
  <tableColumns count="15">
    <tableColumn id="1" xr3:uid="{4ADE19BB-14C4-42AC-B83A-E2835EC9AF59}" name="Name" dataDxfId="14"/>
    <tableColumn id="3" xr3:uid="{05528B30-84E5-47F8-B34B-D68B609D23DB}" name="Ticker" dataDxfId="13"/>
    <tableColumn id="4" xr3:uid="{ED225D35-38EE-42A6-B4F6-EF96455DAEB6}" name="Price" dataDxfId="12"/>
    <tableColumn id="12" xr3:uid="{70716DE6-EACF-4F00-9618-CB8D3E83703D}" name="Share Count " dataDxfId="11"/>
    <tableColumn id="5" xr3:uid="{9EFD7146-D09D-4A25-8A95-41219DD01300}" name="MC ($M)" dataDxfId="10">
      <calculatedColumnFormula>Table4[[#This Row],[Price]]*Table4[[#This Row],[Share Count ]]</calculatedColumnFormula>
    </tableColumn>
    <tableColumn id="6" xr3:uid="{4AE80DC9-D77A-4BB9-9257-B12D5FD56AD8}" name="Cash ($M)" dataDxfId="9">
      <calculatedColumnFormula>'[1]Main | Overview'!$C$8</calculatedColumnFormula>
    </tableColumn>
    <tableColumn id="7" xr3:uid="{6E413DC7-C096-40D4-880F-FE61A084FF48}" name="Debt ($M)" dataDxfId="8">
      <calculatedColumnFormula>'[1]Main | Overview'!$C$9</calculatedColumnFormula>
    </tableColumn>
    <tableColumn id="8" xr3:uid="{2C2A1268-8397-4EDA-9878-D9F98F133978}" name="EV ($M)" dataDxfId="7">
      <calculatedColumnFormula>Table4[[#This Row],[MC ($M)]]-Table4[[#This Row],[Cash ($M)]]+Table4[[#This Row],[Debt ($M)]]</calculatedColumnFormula>
    </tableColumn>
    <tableColumn id="14" xr3:uid="{E93BEDB1-F272-47C9-9E50-19D60ABCF6E3}" name="NPV" dataDxfId="1">
      <calculatedColumnFormula>[1]Model!$BD$58</calculatedColumnFormula>
    </tableColumn>
    <tableColumn id="13" xr3:uid="{4B18EB84-1D1D-418D-B73C-711F922F8784}" name="FV" dataDxfId="2">
      <calculatedColumnFormula>[1]Model!$BD$60</calculatedColumnFormula>
    </tableColumn>
    <tableColumn id="11" xr3:uid="{9D67D94D-652A-4AFC-B773-D060115B3352}" name="Upside" dataDxfId="0">
      <calculatedColumnFormula>Table4[[#This Row],[FV]]/Table4[[#This Row],[Price]]-1</calculatedColumnFormula>
    </tableColumn>
    <tableColumn id="9" xr3:uid="{E85E09CB-6FE0-423B-89F7-C9D5B949589A}" name="Updated " dataDxfId="6"/>
    <tableColumn id="2" xr3:uid="{BB2AE59D-C90C-4401-8D15-02753853694C}" name="Category 1" dataDxfId="5"/>
    <tableColumn id="10" xr3:uid="{A650D578-4FE4-4503-BF1B-C0AA4BD9444E}" name="Category 2" dataDxfId="4"/>
    <tableColumn id="16" xr3:uid="{F4FAD2E0-4820-4CBD-8A31-D295F24769E4}" name="Category 1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JNJ_Model.xlsx" TargetMode="External"/><Relationship Id="rId7" Type="http://schemas.openxmlformats.org/officeDocument/2006/relationships/hyperlink" Target="SYK_Model.xlsx" TargetMode="External"/><Relationship Id="rId2" Type="http://schemas.openxmlformats.org/officeDocument/2006/relationships/hyperlink" Target="GMED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5" Type="http://schemas.openxmlformats.org/officeDocument/2006/relationships/hyperlink" Target="NARI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2"/>
  <sheetViews>
    <sheetView tabSelected="1" zoomScale="85" zoomScaleNormal="85" workbookViewId="0">
      <selection activeCell="C9" sqref="C9"/>
    </sheetView>
  </sheetViews>
  <sheetFormatPr defaultColWidth="9" defaultRowHeight="14.25"/>
  <cols>
    <col min="1" max="1" width="3.140625" style="2" customWidth="1"/>
    <col min="2" max="2" width="24.42578125" style="2" bestFit="1" customWidth="1"/>
    <col min="3" max="3" width="9.7109375" style="2" customWidth="1"/>
    <col min="4" max="4" width="12.42578125" style="3" customWidth="1"/>
    <col min="5" max="5" width="9.28515625" style="2" customWidth="1"/>
    <col min="6" max="9" width="13.5703125" style="3" customWidth="1"/>
    <col min="10" max="12" width="13.5703125" style="2" customWidth="1"/>
    <col min="13" max="13" width="10" style="2" customWidth="1"/>
    <col min="14" max="14" width="24.28515625" style="2" customWidth="1"/>
    <col min="15" max="15" width="26.5703125" style="2" customWidth="1"/>
    <col min="16" max="16" width="3.42578125" style="2" customWidth="1"/>
    <col min="17" max="17" width="8.7109375" style="2" customWidth="1"/>
    <col min="18" max="16384" width="9" style="2"/>
  </cols>
  <sheetData>
    <row r="2" spans="2:16" ht="15">
      <c r="B2" s="1" t="s">
        <v>0</v>
      </c>
      <c r="C2" s="1" t="s">
        <v>1</v>
      </c>
      <c r="D2" s="5" t="s">
        <v>2</v>
      </c>
      <c r="E2" s="1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1" t="s">
        <v>184</v>
      </c>
      <c r="K2" s="1" t="s">
        <v>185</v>
      </c>
      <c r="L2" s="1" t="s">
        <v>186</v>
      </c>
      <c r="M2" s="1" t="s">
        <v>8</v>
      </c>
      <c r="N2" s="1" t="s">
        <v>144</v>
      </c>
      <c r="O2" s="1" t="s">
        <v>145</v>
      </c>
      <c r="P2" s="1" t="s">
        <v>188</v>
      </c>
    </row>
    <row r="3" spans="2:16" ht="13.9" customHeight="1">
      <c r="B3" s="2" t="s">
        <v>76</v>
      </c>
      <c r="C3" s="8" t="s">
        <v>60</v>
      </c>
      <c r="D3" s="3">
        <v>152.51</v>
      </c>
      <c r="E3" s="4">
        <v>2407.616</v>
      </c>
      <c r="F3" s="6">
        <f>Table4[[#This Row],[Price]]*Table4[[#This Row],[Share Count ]]</f>
        <v>367185.51616</v>
      </c>
      <c r="G3" s="6"/>
      <c r="H3" s="6"/>
      <c r="I3" s="6">
        <f>Table4[[#This Row],[MC ($M)]]-Table4[[#This Row],[Cash ($M)]]+Table4[[#This Row],[Debt ($M)]]</f>
        <v>367185.51616</v>
      </c>
      <c r="J3" s="3"/>
      <c r="K3" s="3"/>
      <c r="L3" s="9"/>
      <c r="N3" s="2" t="s">
        <v>89</v>
      </c>
      <c r="O3" s="2" t="s">
        <v>118</v>
      </c>
      <c r="P3" s="7" t="s">
        <v>193</v>
      </c>
    </row>
    <row r="4" spans="2:16" ht="13.9" customHeight="1">
      <c r="B4" s="2" t="s">
        <v>73</v>
      </c>
      <c r="C4" s="2" t="s">
        <v>9</v>
      </c>
      <c r="D4" s="3">
        <v>129.72</v>
      </c>
      <c r="E4" s="4">
        <v>1734</v>
      </c>
      <c r="F4" s="6">
        <f>Table4[[#This Row],[Price]]*Table4[[#This Row],[Share Count ]]</f>
        <v>224934.48</v>
      </c>
      <c r="G4" s="6"/>
      <c r="H4" s="6"/>
      <c r="I4" s="6">
        <f>Table4[[#This Row],[MC ($M)]]-Table4[[#This Row],[Cash ($M)]]+Table4[[#This Row],[Debt ($M)]]</f>
        <v>224934.48</v>
      </c>
      <c r="J4" s="3"/>
      <c r="K4" s="3"/>
      <c r="L4" s="9"/>
      <c r="N4" s="2" t="s">
        <v>89</v>
      </c>
      <c r="O4" s="2" t="s">
        <v>90</v>
      </c>
      <c r="P4" s="3"/>
    </row>
    <row r="5" spans="2:16" ht="13.9" customHeight="1">
      <c r="B5" s="2" t="s">
        <v>164</v>
      </c>
      <c r="C5" s="2" t="s">
        <v>10</v>
      </c>
      <c r="D5" s="3">
        <v>481.07</v>
      </c>
      <c r="E5" s="4">
        <v>356.6</v>
      </c>
      <c r="F5" s="6">
        <f>Table4[[#This Row],[Price]]*Table4[[#This Row],[Share Count ]]</f>
        <v>171549.56200000001</v>
      </c>
      <c r="G5" s="6"/>
      <c r="H5" s="6"/>
      <c r="I5" s="6">
        <f>Table4[[#This Row],[MC ($M)]]-Table4[[#This Row],[Cash ($M)]]+Table4[[#This Row],[Debt ($M)]]</f>
        <v>171549.56200000001</v>
      </c>
      <c r="J5" s="3"/>
      <c r="K5" s="3"/>
      <c r="L5" s="9"/>
      <c r="N5" s="2" t="s">
        <v>91</v>
      </c>
      <c r="O5" s="2" t="s">
        <v>117</v>
      </c>
      <c r="P5" s="3"/>
    </row>
    <row r="6" spans="2:16" ht="13.9" customHeight="1">
      <c r="B6" s="2" t="s">
        <v>192</v>
      </c>
      <c r="C6" s="2" t="s">
        <v>70</v>
      </c>
      <c r="D6" s="3">
        <v>435.05</v>
      </c>
      <c r="E6" s="4">
        <v>380.8</v>
      </c>
      <c r="F6" s="6">
        <f>Table4[[#This Row],[Price]]*Table4[[#This Row],[Share Count ]]</f>
        <v>165667.04</v>
      </c>
      <c r="G6" s="6"/>
      <c r="H6" s="6"/>
      <c r="I6" s="6">
        <f>Table4[[#This Row],[MC ($M)]]-Table4[[#This Row],[Cash ($M)]]+Table4[[#This Row],[Debt ($M)]]</f>
        <v>165667.04</v>
      </c>
      <c r="J6" s="3"/>
      <c r="K6" s="3"/>
      <c r="L6" s="9"/>
      <c r="N6" s="2" t="s">
        <v>87</v>
      </c>
      <c r="O6" s="2" t="s">
        <v>140</v>
      </c>
      <c r="P6" s="3"/>
    </row>
    <row r="7" spans="2:16" ht="13.9" customHeight="1">
      <c r="B7" s="2" t="s">
        <v>149</v>
      </c>
      <c r="C7" s="8" t="s">
        <v>16</v>
      </c>
      <c r="D7" s="3">
        <v>96.2</v>
      </c>
      <c r="E7" s="4">
        <f>'[2]Main | Overview'!$C$5</f>
        <v>1475.778</v>
      </c>
      <c r="F7" s="6">
        <f>Table4[[#This Row],[Price]]*Table4[[#This Row],[Share Count ]]</f>
        <v>141969.84359999999</v>
      </c>
      <c r="G7" s="6">
        <f>'[2]Main | Overview'!$C$7</f>
        <v>2502</v>
      </c>
      <c r="H7" s="6">
        <f>'[2]Main | Overview'!$C$8</f>
        <v>10885</v>
      </c>
      <c r="I7" s="6">
        <f>Table4[[#This Row],[MC ($M)]]-Table4[[#This Row],[Cash ($M)]]+Table4[[#This Row],[Debt ($M)]]</f>
        <v>150352.84359999999</v>
      </c>
      <c r="J7" s="3"/>
      <c r="K7" s="3"/>
      <c r="L7" s="9"/>
      <c r="N7" s="2" t="s">
        <v>91</v>
      </c>
      <c r="O7" s="2" t="s">
        <v>98</v>
      </c>
      <c r="P7" s="7" t="s">
        <v>193</v>
      </c>
    </row>
    <row r="8" spans="2:16" ht="13.9" customHeight="1">
      <c r="B8" s="2" t="s">
        <v>152</v>
      </c>
      <c r="C8" s="2" t="s">
        <v>50</v>
      </c>
      <c r="D8" s="3">
        <v>189.4</v>
      </c>
      <c r="E8" s="4">
        <v>719.2</v>
      </c>
      <c r="F8" s="6">
        <f>Table4[[#This Row],[Price]]*Table4[[#This Row],[Share Count ]]</f>
        <v>136216.48000000001</v>
      </c>
      <c r="G8" s="6"/>
      <c r="H8" s="6"/>
      <c r="I8" s="6">
        <f>Table4[[#This Row],[MC ($M)]]-Table4[[#This Row],[Cash ($M)]]+Table4[[#This Row],[Debt ($M)]]</f>
        <v>136216.48000000001</v>
      </c>
      <c r="J8" s="3"/>
      <c r="K8" s="3"/>
      <c r="L8" s="9"/>
      <c r="N8" s="2" t="s">
        <v>87</v>
      </c>
      <c r="O8" s="2" t="s">
        <v>102</v>
      </c>
      <c r="P8" s="3"/>
    </row>
    <row r="9" spans="2:16" ht="13.9" customHeight="1">
      <c r="B9" s="2" t="s">
        <v>177</v>
      </c>
      <c r="C9" s="8" t="s">
        <v>11</v>
      </c>
      <c r="D9" s="3">
        <v>341.8</v>
      </c>
      <c r="E9" s="4">
        <v>381.4</v>
      </c>
      <c r="F9" s="6">
        <f>Table4[[#This Row],[Price]]*Table4[[#This Row],[Share Count ]]</f>
        <v>130362.51999999999</v>
      </c>
      <c r="G9" s="6"/>
      <c r="H9" s="6"/>
      <c r="I9" s="6">
        <f>Table4[[#This Row],[MC ($M)]]-Table4[[#This Row],[Cash ($M)]]+Table4[[#This Row],[Debt ($M)]]</f>
        <v>130362.51999999999</v>
      </c>
      <c r="J9" s="3"/>
      <c r="K9" s="3"/>
      <c r="L9" s="9"/>
      <c r="N9" s="2" t="s">
        <v>91</v>
      </c>
      <c r="O9" s="2" t="s">
        <v>137</v>
      </c>
      <c r="P9" s="7" t="s">
        <v>193</v>
      </c>
    </row>
    <row r="10" spans="2:16" ht="13.9" customHeight="1">
      <c r="B10" s="2" t="s">
        <v>12</v>
      </c>
      <c r="C10" s="8" t="s">
        <v>13</v>
      </c>
      <c r="D10" s="3">
        <v>82.31</v>
      </c>
      <c r="E10" s="4">
        <v>1315</v>
      </c>
      <c r="F10" s="6">
        <f>Table4[[#This Row],[Price]]*Table4[[#This Row],[Share Count ]]</f>
        <v>108237.65000000001</v>
      </c>
      <c r="G10" s="6"/>
      <c r="H10" s="6"/>
      <c r="I10" s="6">
        <f>Table4[[#This Row],[MC ($M)]]-Table4[[#This Row],[Cash ($M)]]+Table4[[#This Row],[Debt ($M)]]</f>
        <v>108237.65000000001</v>
      </c>
      <c r="J10" s="3"/>
      <c r="K10" s="3"/>
      <c r="L10" s="9"/>
      <c r="N10" s="2" t="s">
        <v>91</v>
      </c>
      <c r="O10" s="2" t="s">
        <v>78</v>
      </c>
      <c r="P10" s="7" t="s">
        <v>193</v>
      </c>
    </row>
    <row r="11" spans="2:16" ht="13.9" customHeight="1">
      <c r="B11" s="2" t="s">
        <v>148</v>
      </c>
      <c r="C11" s="2" t="s">
        <v>14</v>
      </c>
      <c r="D11" s="3">
        <v>204.5</v>
      </c>
      <c r="E11" s="4">
        <v>289.10000000000002</v>
      </c>
      <c r="F11" s="6">
        <f>Table4[[#This Row],[Price]]*Table4[[#This Row],[Share Count ]]</f>
        <v>59120.950000000004</v>
      </c>
      <c r="G11" s="6"/>
      <c r="H11" s="6"/>
      <c r="I11" s="6">
        <f>Table4[[#This Row],[MC ($M)]]-Table4[[#This Row],[Cash ($M)]]+Table4[[#This Row],[Debt ($M)]]</f>
        <v>59120.950000000004</v>
      </c>
      <c r="J11" s="3"/>
      <c r="K11" s="3"/>
      <c r="L11" s="9"/>
      <c r="N11" s="2" t="s">
        <v>91</v>
      </c>
      <c r="O11" s="2" t="s">
        <v>97</v>
      </c>
      <c r="P11" s="3"/>
    </row>
    <row r="12" spans="2:16" ht="13.9" customHeight="1">
      <c r="B12" s="2" t="s">
        <v>83</v>
      </c>
      <c r="C12" s="2" t="s">
        <v>51</v>
      </c>
      <c r="D12" s="3">
        <v>92.05</v>
      </c>
      <c r="E12" s="4">
        <v>494.6</v>
      </c>
      <c r="F12" s="6">
        <f>Table4[[#This Row],[Price]]*Table4[[#This Row],[Share Count ]]</f>
        <v>45527.93</v>
      </c>
      <c r="G12" s="6"/>
      <c r="H12" s="6"/>
      <c r="I12" s="6">
        <f>Table4[[#This Row],[MC ($M)]]-Table4[[#This Row],[Cash ($M)]]+Table4[[#This Row],[Debt ($M)]]</f>
        <v>45527.93</v>
      </c>
      <c r="J12" s="3"/>
      <c r="K12" s="3"/>
      <c r="L12" s="9"/>
      <c r="N12" s="2" t="s">
        <v>91</v>
      </c>
      <c r="O12" s="2" t="s">
        <v>92</v>
      </c>
      <c r="P12" s="3"/>
    </row>
    <row r="13" spans="2:16" ht="13.9" customHeight="1">
      <c r="B13" s="2" t="s">
        <v>157</v>
      </c>
      <c r="C13" s="2" t="s">
        <v>15</v>
      </c>
      <c r="D13" s="3">
        <v>70.5</v>
      </c>
      <c r="E13" s="4">
        <v>588.6</v>
      </c>
      <c r="F13" s="6">
        <f>Table4[[#This Row],[Price]]*Table4[[#This Row],[Share Count ]]</f>
        <v>41496.300000000003</v>
      </c>
      <c r="G13" s="6"/>
      <c r="H13" s="6"/>
      <c r="I13" s="6">
        <f>Table4[[#This Row],[MC ($M)]]-Table4[[#This Row],[Cash ($M)]]+Table4[[#This Row],[Debt ($M)]]</f>
        <v>41496.300000000003</v>
      </c>
      <c r="J13" s="3"/>
      <c r="K13" s="3"/>
      <c r="L13" s="9"/>
      <c r="N13" s="2" t="s">
        <v>91</v>
      </c>
      <c r="O13" s="2" t="s">
        <v>106</v>
      </c>
      <c r="P13" s="3"/>
    </row>
    <row r="14" spans="2:16" ht="13.9" customHeight="1">
      <c r="B14" s="2" t="s">
        <v>160</v>
      </c>
      <c r="C14" s="2" t="s">
        <v>21</v>
      </c>
      <c r="D14" s="3">
        <v>402.38</v>
      </c>
      <c r="E14" s="4">
        <v>81.599999999999994</v>
      </c>
      <c r="F14" s="6">
        <f>Table4[[#This Row],[Price]]*Table4[[#This Row],[Share Count ]]</f>
        <v>32834.207999999999</v>
      </c>
      <c r="G14" s="6"/>
      <c r="H14" s="6"/>
      <c r="I14" s="6">
        <f>Table4[[#This Row],[MC ($M)]]-Table4[[#This Row],[Cash ($M)]]+Table4[[#This Row],[Debt ($M)]]</f>
        <v>32834.207999999999</v>
      </c>
      <c r="J14" s="3"/>
      <c r="K14" s="3"/>
      <c r="L14" s="9"/>
      <c r="N14" s="2" t="s">
        <v>107</v>
      </c>
      <c r="O14" s="2" t="s">
        <v>114</v>
      </c>
      <c r="P14" s="3"/>
    </row>
    <row r="15" spans="2:16" ht="13.9" customHeight="1">
      <c r="B15" s="2" t="s">
        <v>174</v>
      </c>
      <c r="C15" s="2" t="s">
        <v>18</v>
      </c>
      <c r="D15" s="3">
        <v>210.39</v>
      </c>
      <c r="E15" s="4">
        <v>146.9</v>
      </c>
      <c r="F15" s="6">
        <f>Table4[[#This Row],[Price]]*Table4[[#This Row],[Share Count ]]</f>
        <v>30906.290999999997</v>
      </c>
      <c r="G15" s="6"/>
      <c r="H15" s="6"/>
      <c r="I15" s="6">
        <f>Table4[[#This Row],[MC ($M)]]-Table4[[#This Row],[Cash ($M)]]+Table4[[#This Row],[Debt ($M)]]</f>
        <v>30906.290999999997</v>
      </c>
      <c r="J15" s="3"/>
      <c r="K15" s="3"/>
      <c r="L15" s="9"/>
      <c r="N15" s="2" t="s">
        <v>91</v>
      </c>
      <c r="O15" s="2" t="s">
        <v>133</v>
      </c>
      <c r="P15" s="3"/>
    </row>
    <row r="16" spans="2:16" ht="13.9" customHeight="1">
      <c r="B16" s="2" t="s">
        <v>82</v>
      </c>
      <c r="C16" s="2" t="s">
        <v>17</v>
      </c>
      <c r="D16" s="3">
        <v>102.67</v>
      </c>
      <c r="E16" s="4">
        <v>285.2</v>
      </c>
      <c r="F16" s="6">
        <f>Table4[[#This Row],[Price]]*Table4[[#This Row],[Share Count ]]</f>
        <v>29281.484</v>
      </c>
      <c r="G16" s="6"/>
      <c r="H16" s="6"/>
      <c r="I16" s="6">
        <f>Table4[[#This Row],[MC ($M)]]-Table4[[#This Row],[Cash ($M)]]+Table4[[#This Row],[Debt ($M)]]</f>
        <v>29281.484</v>
      </c>
      <c r="J16" s="3"/>
      <c r="K16" s="3"/>
      <c r="L16" s="9"/>
      <c r="N16" s="2" t="s">
        <v>87</v>
      </c>
      <c r="O16" s="2" t="s">
        <v>88</v>
      </c>
      <c r="P16" s="3"/>
    </row>
    <row r="17" spans="2:16" ht="13.9" customHeight="1">
      <c r="B17" s="2" t="s">
        <v>189</v>
      </c>
      <c r="C17" s="2" t="s">
        <v>19</v>
      </c>
      <c r="D17" s="3">
        <v>62.95</v>
      </c>
      <c r="E17" s="4">
        <v>457</v>
      </c>
      <c r="F17" s="6">
        <f>Table4[[#This Row],[Price]]*Table4[[#This Row],[Share Count ]]</f>
        <v>28768.15</v>
      </c>
      <c r="G17" s="6"/>
      <c r="H17" s="6"/>
      <c r="I17" s="6">
        <f>Table4[[#This Row],[MC ($M)]]-Table4[[#This Row],[Cash ($M)]]+Table4[[#This Row],[Debt ($M)]]</f>
        <v>28768.15</v>
      </c>
      <c r="J17" s="3"/>
      <c r="K17" s="3"/>
      <c r="L17" s="9"/>
      <c r="N17" s="2" t="s">
        <v>91</v>
      </c>
      <c r="O17" s="2" t="s">
        <v>109</v>
      </c>
      <c r="P17" s="3"/>
    </row>
    <row r="18" spans="2:16" ht="13.9" customHeight="1">
      <c r="B18" s="2" t="s">
        <v>154</v>
      </c>
      <c r="C18" s="2" t="s">
        <v>22</v>
      </c>
      <c r="D18" s="3">
        <v>69.849999999999994</v>
      </c>
      <c r="E18" s="4">
        <v>390.7</v>
      </c>
      <c r="F18" s="6">
        <f>Table4[[#This Row],[Price]]*Table4[[#This Row],[Share Count ]]</f>
        <v>27290.394999999997</v>
      </c>
      <c r="G18" s="6"/>
      <c r="H18" s="6"/>
      <c r="I18" s="6">
        <f>Table4[[#This Row],[MC ($M)]]-Table4[[#This Row],[Cash ($M)]]+Table4[[#This Row],[Debt ($M)]]</f>
        <v>27290.394999999997</v>
      </c>
      <c r="J18" s="3"/>
      <c r="K18" s="3"/>
      <c r="L18" s="9"/>
      <c r="N18" s="2" t="s">
        <v>91</v>
      </c>
      <c r="O18" s="2" t="s">
        <v>103</v>
      </c>
      <c r="P18" s="3"/>
    </row>
    <row r="19" spans="2:16" ht="13.9" customHeight="1">
      <c r="B19" s="2" t="s">
        <v>162</v>
      </c>
      <c r="C19" s="2" t="s">
        <v>58</v>
      </c>
      <c r="D19" s="3">
        <v>149.94999999999999</v>
      </c>
      <c r="E19" s="4">
        <v>176.1</v>
      </c>
      <c r="F19" s="6">
        <f>Table4[[#This Row],[Price]]*Table4[[#This Row],[Share Count ]]</f>
        <v>26406.194999999996</v>
      </c>
      <c r="G19" s="6"/>
      <c r="H19" s="6"/>
      <c r="I19" s="6">
        <f>Table4[[#This Row],[MC ($M)]]-Table4[[#This Row],[Cash ($M)]]+Table4[[#This Row],[Debt ($M)]]</f>
        <v>26406.194999999996</v>
      </c>
      <c r="J19" s="3"/>
      <c r="K19" s="3"/>
      <c r="L19" s="9"/>
      <c r="N19" s="2" t="s">
        <v>112</v>
      </c>
      <c r="O19" s="2" t="s">
        <v>116</v>
      </c>
      <c r="P19" s="3"/>
    </row>
    <row r="20" spans="2:16" ht="13.9" customHeight="1">
      <c r="B20" s="2" t="s">
        <v>79</v>
      </c>
      <c r="C20" s="2" t="s">
        <v>66</v>
      </c>
      <c r="D20" s="3">
        <v>23.61</v>
      </c>
      <c r="E20" s="4">
        <v>925</v>
      </c>
      <c r="F20" s="6">
        <f>Table4[[#This Row],[Price]]*Table4[[#This Row],[Share Count ]]</f>
        <v>21839.25</v>
      </c>
      <c r="G20" s="6"/>
      <c r="H20" s="6"/>
      <c r="I20" s="6">
        <f>Table4[[#This Row],[MC ($M)]]-Table4[[#This Row],[Cash ($M)]]+Table4[[#This Row],[Debt ($M)]]</f>
        <v>21839.25</v>
      </c>
      <c r="J20" s="3"/>
      <c r="K20" s="3"/>
      <c r="L20" s="9"/>
      <c r="N20" s="2" t="s">
        <v>91</v>
      </c>
      <c r="O20" s="2" t="s">
        <v>130</v>
      </c>
      <c r="P20" s="3"/>
    </row>
    <row r="21" spans="2:16" ht="13.9" customHeight="1">
      <c r="B21" s="2" t="s">
        <v>26</v>
      </c>
      <c r="C21" s="2" t="s">
        <v>27</v>
      </c>
      <c r="D21" s="3">
        <v>220.02</v>
      </c>
      <c r="E21" s="4">
        <v>98.9</v>
      </c>
      <c r="F21" s="6">
        <f>Table4[[#This Row],[Price]]*Table4[[#This Row],[Share Count ]]</f>
        <v>21759.978000000003</v>
      </c>
      <c r="G21" s="6"/>
      <c r="H21" s="6"/>
      <c r="I21" s="6">
        <f>Table4[[#This Row],[MC ($M)]]-Table4[[#This Row],[Cash ($M)]]+Table4[[#This Row],[Debt ($M)]]</f>
        <v>21759.978000000003</v>
      </c>
      <c r="J21" s="3"/>
      <c r="K21" s="3"/>
      <c r="L21" s="9"/>
      <c r="N21" s="2" t="s">
        <v>112</v>
      </c>
      <c r="O21" s="2" t="s">
        <v>135</v>
      </c>
      <c r="P21" s="3"/>
    </row>
    <row r="22" spans="2:16" ht="13.9" customHeight="1">
      <c r="B22" s="2" t="s">
        <v>169</v>
      </c>
      <c r="C22" s="2" t="s">
        <v>23</v>
      </c>
      <c r="D22" s="3">
        <v>1016.65</v>
      </c>
      <c r="E22" s="4">
        <v>20.9</v>
      </c>
      <c r="F22" s="6">
        <f>Table4[[#This Row],[Price]]*Table4[[#This Row],[Share Count ]]</f>
        <v>21247.984999999997</v>
      </c>
      <c r="G22" s="6"/>
      <c r="H22" s="6"/>
      <c r="I22" s="6">
        <f>Table4[[#This Row],[MC ($M)]]-Table4[[#This Row],[Cash ($M)]]+Table4[[#This Row],[Debt ($M)]]</f>
        <v>21247.984999999997</v>
      </c>
      <c r="J22" s="3"/>
      <c r="K22" s="3"/>
      <c r="L22" s="9"/>
      <c r="N22" s="2" t="s">
        <v>87</v>
      </c>
      <c r="O22" s="2" t="s">
        <v>125</v>
      </c>
      <c r="P22" s="3"/>
    </row>
    <row r="23" spans="2:16" ht="13.9" customHeight="1">
      <c r="B23" s="2" t="s">
        <v>191</v>
      </c>
      <c r="C23" s="2" t="s">
        <v>25</v>
      </c>
      <c r="D23" s="3">
        <v>101.13</v>
      </c>
      <c r="E23" s="4">
        <v>199.1</v>
      </c>
      <c r="F23" s="6">
        <f>Table4[[#This Row],[Price]]*Table4[[#This Row],[Share Count ]]</f>
        <v>20134.983</v>
      </c>
      <c r="G23" s="6"/>
      <c r="H23" s="6"/>
      <c r="I23" s="6">
        <f>Table4[[#This Row],[MC ($M)]]-Table4[[#This Row],[Cash ($M)]]+Table4[[#This Row],[Debt ($M)]]</f>
        <v>20134.983</v>
      </c>
      <c r="J23" s="3"/>
      <c r="K23" s="3"/>
      <c r="L23" s="9"/>
      <c r="N23" s="2" t="s">
        <v>91</v>
      </c>
      <c r="O23" s="2" t="s">
        <v>143</v>
      </c>
      <c r="P23" s="3"/>
    </row>
    <row r="24" spans="2:16" ht="13.9" customHeight="1">
      <c r="B24" s="2" t="s">
        <v>33</v>
      </c>
      <c r="C24" s="2" t="s">
        <v>34</v>
      </c>
      <c r="D24" s="3">
        <v>250.74</v>
      </c>
      <c r="E24" s="4">
        <v>70.2</v>
      </c>
      <c r="F24" s="6">
        <f>Table4[[#This Row],[Price]]*Table4[[#This Row],[Share Count ]]</f>
        <v>17601.948</v>
      </c>
      <c r="G24" s="6"/>
      <c r="H24" s="6"/>
      <c r="I24" s="6">
        <f>Table4[[#This Row],[MC ($M)]]-Table4[[#This Row],[Cash ($M)]]+Table4[[#This Row],[Debt ($M)]]</f>
        <v>17601.948</v>
      </c>
      <c r="J24" s="3"/>
      <c r="K24" s="3"/>
      <c r="L24" s="9"/>
      <c r="N24" s="2" t="s">
        <v>91</v>
      </c>
      <c r="O24" s="2" t="s">
        <v>131</v>
      </c>
      <c r="P24" s="3"/>
    </row>
    <row r="25" spans="2:16" ht="13.9" customHeight="1">
      <c r="B25" s="2" t="s">
        <v>153</v>
      </c>
      <c r="C25" s="2" t="s">
        <v>35</v>
      </c>
      <c r="D25" s="3">
        <v>78.23</v>
      </c>
      <c r="E25" s="4">
        <v>199.6</v>
      </c>
      <c r="F25" s="6">
        <f>Table4[[#This Row],[Price]]*Table4[[#This Row],[Share Count ]]</f>
        <v>15614.708000000001</v>
      </c>
      <c r="G25" s="6"/>
      <c r="H25" s="6"/>
      <c r="I25" s="6">
        <f>Table4[[#This Row],[MC ($M)]]-Table4[[#This Row],[Cash ($M)]]+Table4[[#This Row],[Debt ($M)]]</f>
        <v>15614.708000000001</v>
      </c>
      <c r="J25" s="3"/>
      <c r="K25" s="3"/>
      <c r="L25" s="9"/>
      <c r="N25" s="2" t="s">
        <v>91</v>
      </c>
      <c r="O25" s="2" t="s">
        <v>101</v>
      </c>
      <c r="P25" s="3"/>
    </row>
    <row r="26" spans="2:16" ht="13.9" customHeight="1">
      <c r="B26" s="2" t="s">
        <v>190</v>
      </c>
      <c r="C26" s="2" t="s">
        <v>24</v>
      </c>
      <c r="D26" s="3">
        <v>205.19</v>
      </c>
      <c r="E26" s="4">
        <v>72.3</v>
      </c>
      <c r="F26" s="6">
        <f>Table4[[#This Row],[Price]]*Table4[[#This Row],[Share Count ]]</f>
        <v>14835.236999999999</v>
      </c>
      <c r="G26" s="6"/>
      <c r="H26" s="6"/>
      <c r="I26" s="6">
        <f>Table4[[#This Row],[MC ($M)]]-Table4[[#This Row],[Cash ($M)]]+Table4[[#This Row],[Debt ($M)]]</f>
        <v>14835.236999999999</v>
      </c>
      <c r="J26" s="3"/>
      <c r="K26" s="3"/>
      <c r="L26" s="9"/>
      <c r="N26" s="2" t="s">
        <v>141</v>
      </c>
      <c r="O26" s="2" t="s">
        <v>142</v>
      </c>
      <c r="P26" s="3"/>
    </row>
    <row r="27" spans="2:16" ht="13.9" customHeight="1">
      <c r="B27" s="2" t="s">
        <v>31</v>
      </c>
      <c r="C27" s="2" t="s">
        <v>32</v>
      </c>
      <c r="D27" s="3">
        <v>58.8</v>
      </c>
      <c r="E27" s="4">
        <v>231.7</v>
      </c>
      <c r="F27" s="6">
        <f>Table4[[#This Row],[Price]]*Table4[[#This Row],[Share Count ]]</f>
        <v>13623.96</v>
      </c>
      <c r="G27" s="6"/>
      <c r="H27" s="6"/>
      <c r="I27" s="6">
        <f>Table4[[#This Row],[MC ($M)]]-Table4[[#This Row],[Cash ($M)]]+Table4[[#This Row],[Debt ($M)]]</f>
        <v>13623.96</v>
      </c>
      <c r="J27" s="3"/>
      <c r="K27" s="3"/>
      <c r="L27" s="9"/>
      <c r="N27" s="2" t="s">
        <v>107</v>
      </c>
      <c r="O27" s="2" t="s">
        <v>111</v>
      </c>
      <c r="P27" s="3"/>
    </row>
    <row r="28" spans="2:16" ht="13.9" customHeight="1">
      <c r="B28" s="2" t="s">
        <v>84</v>
      </c>
      <c r="C28" s="2" t="s">
        <v>20</v>
      </c>
      <c r="D28" s="3">
        <v>169</v>
      </c>
      <c r="E28" s="4">
        <v>73.8</v>
      </c>
      <c r="F28" s="6">
        <f>Table4[[#This Row],[Price]]*Table4[[#This Row],[Share Count ]]</f>
        <v>12472.199999999999</v>
      </c>
      <c r="G28" s="6"/>
      <c r="H28" s="6"/>
      <c r="I28" s="6">
        <f>Table4[[#This Row],[MC ($M)]]-Table4[[#This Row],[Cash ($M)]]+Table4[[#This Row],[Debt ($M)]]</f>
        <v>12472.199999999999</v>
      </c>
      <c r="J28" s="3"/>
      <c r="K28" s="3"/>
      <c r="L28" s="9"/>
      <c r="N28" s="2" t="s">
        <v>91</v>
      </c>
      <c r="O28" s="2" t="s">
        <v>74</v>
      </c>
      <c r="P28" s="3"/>
    </row>
    <row r="29" spans="2:16" ht="13.9" customHeight="1">
      <c r="B29" s="2" t="s">
        <v>173</v>
      </c>
      <c r="C29" s="8" t="s">
        <v>65</v>
      </c>
      <c r="D29" s="3">
        <v>276.58999999999997</v>
      </c>
      <c r="E29" s="4">
        <f>'[1]Main | Overview'!$C$6</f>
        <v>38.520000000000003</v>
      </c>
      <c r="F29" s="6">
        <f>Table4[[#This Row],[Price]]*Table4[[#This Row],[Share Count ]]</f>
        <v>10654.246800000001</v>
      </c>
      <c r="G29" s="6">
        <f>'[1]Main | Overview'!$C$8</f>
        <v>291</v>
      </c>
      <c r="H29" s="6">
        <f>'[1]Main | Overview'!$C$9</f>
        <v>0</v>
      </c>
      <c r="I29" s="6">
        <f>Table4[[#This Row],[MC ($M)]]-Table4[[#This Row],[Cash ($M)]]+Table4[[#This Row],[Debt ($M)]]</f>
        <v>10363.246800000001</v>
      </c>
      <c r="J29" s="3">
        <f>[1]Model!$BD$58</f>
        <v>10864.619256230168</v>
      </c>
      <c r="K29" s="3">
        <f>[1]Model!$BD$60</f>
        <v>281.24823339969367</v>
      </c>
      <c r="L29" s="9">
        <f>Table4[[#This Row],[FV]]/Table4[[#This Row],[Price]]-1</f>
        <v>1.6841655156345947E-2</v>
      </c>
      <c r="M29" s="2" t="s">
        <v>187</v>
      </c>
      <c r="N29" s="2" t="s">
        <v>91</v>
      </c>
      <c r="O29" s="2" t="s">
        <v>129</v>
      </c>
      <c r="P29" s="3"/>
    </row>
    <row r="30" spans="2:16" ht="13.9" customHeight="1">
      <c r="B30" s="2" t="s">
        <v>28</v>
      </c>
      <c r="C30" s="2" t="s">
        <v>29</v>
      </c>
      <c r="D30" s="3">
        <v>15.4</v>
      </c>
      <c r="E30" s="4">
        <v>680.8</v>
      </c>
      <c r="F30" s="6">
        <f>Table4[[#This Row],[Price]]*Table4[[#This Row],[Share Count ]]</f>
        <v>10484.32</v>
      </c>
      <c r="G30" s="6"/>
      <c r="H30" s="6"/>
      <c r="I30" s="6">
        <f>Table4[[#This Row],[MC ($M)]]-Table4[[#This Row],[Cash ($M)]]+Table4[[#This Row],[Debt ($M)]]</f>
        <v>10484.32</v>
      </c>
      <c r="J30" s="3"/>
      <c r="K30" s="3"/>
      <c r="L30" s="9"/>
      <c r="N30" s="2" t="s">
        <v>87</v>
      </c>
      <c r="O30" s="2" t="s">
        <v>96</v>
      </c>
      <c r="P30" s="3"/>
    </row>
    <row r="31" spans="2:16" ht="13.9" customHeight="1">
      <c r="B31" s="2" t="s">
        <v>159</v>
      </c>
      <c r="C31" s="8" t="s">
        <v>48</v>
      </c>
      <c r="D31" s="3">
        <v>70.430000000000007</v>
      </c>
      <c r="E31" s="4">
        <v>137.4</v>
      </c>
      <c r="F31" s="6">
        <f>Table4[[#This Row],[Price]]*Table4[[#This Row],[Share Count ]]</f>
        <v>9677.0820000000022</v>
      </c>
      <c r="G31" s="6">
        <v>890.1</v>
      </c>
      <c r="H31" s="6">
        <f>443.4</f>
        <v>443.4</v>
      </c>
      <c r="I31" s="6">
        <f>Table4[[#This Row],[MC ($M)]]-Table4[[#This Row],[Cash ($M)]]+Table4[[#This Row],[Debt ($M)]]</f>
        <v>9230.3820000000014</v>
      </c>
      <c r="J31" s="3">
        <f>[3]Model!$BZ$53</f>
        <v>9389.9160729781779</v>
      </c>
      <c r="K31" s="11">
        <f>[3]Model!$BZ$55</f>
        <v>68.364878580110513</v>
      </c>
      <c r="L31" s="9">
        <f>Table4[[#This Row],[FV]]/Table4[[#This Row],[Price]]-1</f>
        <v>-2.9321616071127266E-2</v>
      </c>
      <c r="M31" s="2" t="s">
        <v>187</v>
      </c>
      <c r="N31" s="2" t="s">
        <v>91</v>
      </c>
      <c r="O31" s="2" t="s">
        <v>110</v>
      </c>
      <c r="P31" s="3"/>
    </row>
    <row r="32" spans="2:16" ht="13.9" customHeight="1">
      <c r="B32" s="2" t="s">
        <v>37</v>
      </c>
      <c r="C32" s="2" t="s">
        <v>38</v>
      </c>
      <c r="D32" s="3">
        <v>41.44</v>
      </c>
      <c r="E32" s="4">
        <v>216.1</v>
      </c>
      <c r="F32" s="6">
        <f>Table4[[#This Row],[Price]]*Table4[[#This Row],[Share Count ]]</f>
        <v>8955.1839999999993</v>
      </c>
      <c r="G32" s="6"/>
      <c r="H32" s="6"/>
      <c r="I32" s="6">
        <f>Table4[[#This Row],[MC ($M)]]-Table4[[#This Row],[Cash ($M)]]+Table4[[#This Row],[Debt ($M)]]</f>
        <v>8955.1839999999993</v>
      </c>
      <c r="J32" s="3"/>
      <c r="K32" s="3"/>
      <c r="L32" s="9"/>
      <c r="N32" s="2" t="s">
        <v>107</v>
      </c>
      <c r="O32" s="2" t="s">
        <v>132</v>
      </c>
      <c r="P32" s="3"/>
    </row>
    <row r="33" spans="2:16" ht="13.9" customHeight="1">
      <c r="B33" s="2" t="s">
        <v>158</v>
      </c>
      <c r="C33" s="2" t="s">
        <v>36</v>
      </c>
      <c r="D33" s="3">
        <v>43.77</v>
      </c>
      <c r="E33" s="4">
        <v>185.6</v>
      </c>
      <c r="F33" s="6">
        <f>Table4[[#This Row],[Price]]*Table4[[#This Row],[Share Count ]]</f>
        <v>8123.7120000000004</v>
      </c>
      <c r="G33" s="6"/>
      <c r="H33" s="6"/>
      <c r="I33" s="6">
        <f>Table4[[#This Row],[MC ($M)]]-Table4[[#This Row],[Cash ($M)]]+Table4[[#This Row],[Debt ($M)]]</f>
        <v>8123.7120000000004</v>
      </c>
      <c r="J33" s="3"/>
      <c r="K33" s="3"/>
      <c r="L33" s="9"/>
      <c r="N33" s="2" t="s">
        <v>107</v>
      </c>
      <c r="O33" s="2" t="s">
        <v>108</v>
      </c>
      <c r="P33" s="3"/>
    </row>
    <row r="34" spans="2:16" ht="13.9" customHeight="1">
      <c r="B34" s="2" t="s">
        <v>166</v>
      </c>
      <c r="C34" s="2" t="s">
        <v>43</v>
      </c>
      <c r="D34" s="3">
        <v>151.19999999999999</v>
      </c>
      <c r="E34" s="4">
        <v>53.6</v>
      </c>
      <c r="F34" s="6">
        <f>Table4[[#This Row],[Price]]*Table4[[#This Row],[Share Count ]]</f>
        <v>8104.32</v>
      </c>
      <c r="G34" s="6"/>
      <c r="H34" s="6"/>
      <c r="I34" s="6">
        <f>Table4[[#This Row],[MC ($M)]]-Table4[[#This Row],[Cash ($M)]]+Table4[[#This Row],[Debt ($M)]]</f>
        <v>8104.32</v>
      </c>
      <c r="J34" s="3"/>
      <c r="K34" s="3"/>
      <c r="L34" s="9"/>
      <c r="N34" s="2" t="s">
        <v>91</v>
      </c>
      <c r="O34" s="2" t="s">
        <v>121</v>
      </c>
      <c r="P34" s="3"/>
    </row>
    <row r="35" spans="2:16" ht="13.9" customHeight="1">
      <c r="B35" s="2" t="s">
        <v>39</v>
      </c>
      <c r="C35" s="2" t="s">
        <v>40</v>
      </c>
      <c r="D35" s="3">
        <v>63.29</v>
      </c>
      <c r="E35" s="4">
        <v>124.2</v>
      </c>
      <c r="F35" s="6">
        <f>Table4[[#This Row],[Price]]*Table4[[#This Row],[Share Count ]]</f>
        <v>7860.6180000000004</v>
      </c>
      <c r="G35" s="6"/>
      <c r="H35" s="6"/>
      <c r="I35" s="6">
        <f>Table4[[#This Row],[MC ($M)]]-Table4[[#This Row],[Cash ($M)]]+Table4[[#This Row],[Debt ($M)]]</f>
        <v>7860.6180000000004</v>
      </c>
      <c r="J35" s="3"/>
      <c r="K35" s="3"/>
      <c r="L35" s="9"/>
      <c r="N35" s="2" t="s">
        <v>112</v>
      </c>
      <c r="O35" s="2" t="s">
        <v>113</v>
      </c>
      <c r="P35" s="3"/>
    </row>
    <row r="36" spans="2:16" ht="13.9" customHeight="1">
      <c r="B36" s="2" t="s">
        <v>179</v>
      </c>
      <c r="C36" s="2" t="s">
        <v>41</v>
      </c>
      <c r="D36" s="3">
        <v>128.37</v>
      </c>
      <c r="E36" s="4">
        <v>46.3</v>
      </c>
      <c r="F36" s="6">
        <f>Table4[[#This Row],[Price]]*Table4[[#This Row],[Share Count ]]</f>
        <v>5943.5309999999999</v>
      </c>
      <c r="G36" s="6"/>
      <c r="H36" s="6"/>
      <c r="I36" s="6">
        <f>Table4[[#This Row],[MC ($M)]]-Table4[[#This Row],[Cash ($M)]]+Table4[[#This Row],[Debt ($M)]]</f>
        <v>5943.5309999999999</v>
      </c>
      <c r="J36" s="3"/>
      <c r="K36" s="3"/>
      <c r="L36" s="9"/>
      <c r="N36" s="2" t="s">
        <v>91</v>
      </c>
      <c r="O36" s="2" t="s">
        <v>139</v>
      </c>
      <c r="P36" s="3"/>
    </row>
    <row r="37" spans="2:16" ht="13.9" customHeight="1">
      <c r="B37" s="2" t="s">
        <v>182</v>
      </c>
      <c r="C37" s="8" t="s">
        <v>45</v>
      </c>
      <c r="D37" s="3">
        <v>80</v>
      </c>
      <c r="E37" s="4">
        <v>59.3</v>
      </c>
      <c r="F37" s="6">
        <f>Table4[[#This Row],[Price]]*Table4[[#This Row],[Share Count ]]</f>
        <v>4744</v>
      </c>
      <c r="G37" s="6">
        <f>41.141+0.067+70.397</f>
        <v>111.605</v>
      </c>
      <c r="H37" s="6">
        <v>0</v>
      </c>
      <c r="I37" s="6">
        <f>Table4[[#This Row],[MC ($M)]]-Table4[[#This Row],[Cash ($M)]]+Table4[[#This Row],[Debt ($M)]]</f>
        <v>4632.3950000000004</v>
      </c>
      <c r="J37" s="3"/>
      <c r="K37" s="3"/>
      <c r="L37" s="9"/>
      <c r="N37" s="2" t="s">
        <v>146</v>
      </c>
      <c r="P37" s="7" t="s">
        <v>193</v>
      </c>
    </row>
    <row r="38" spans="2:16" ht="13.9" customHeight="1">
      <c r="B38" s="2" t="s">
        <v>161</v>
      </c>
      <c r="C38" s="2" t="s">
        <v>57</v>
      </c>
      <c r="D38" s="3">
        <v>148.80000000000001</v>
      </c>
      <c r="E38" s="4">
        <v>29.7</v>
      </c>
      <c r="F38" s="6">
        <f>Table4[[#This Row],[Price]]*Table4[[#This Row],[Share Count ]]</f>
        <v>4419.3600000000006</v>
      </c>
      <c r="G38" s="6"/>
      <c r="H38" s="6"/>
      <c r="I38" s="6">
        <f>Table4[[#This Row],[MC ($M)]]-Table4[[#This Row],[Cash ($M)]]+Table4[[#This Row],[Debt ($M)]]</f>
        <v>4419.3600000000006</v>
      </c>
      <c r="J38" s="3"/>
      <c r="K38" s="3"/>
      <c r="L38" s="9"/>
      <c r="N38" s="2" t="s">
        <v>91</v>
      </c>
      <c r="O38" s="2" t="s">
        <v>115</v>
      </c>
      <c r="P38" s="3"/>
    </row>
    <row r="39" spans="2:16" ht="13.9" customHeight="1">
      <c r="B39" s="2" t="s">
        <v>194</v>
      </c>
      <c r="C39" s="2" t="s">
        <v>195</v>
      </c>
      <c r="D39" s="3">
        <v>71</v>
      </c>
      <c r="E39" s="4">
        <v>52.11</v>
      </c>
      <c r="F39" s="6">
        <f>Table4[[#This Row],[Price]]*Table4[[#This Row],[Share Count ]]</f>
        <v>3699.81</v>
      </c>
      <c r="I39" s="3">
        <v>3300</v>
      </c>
      <c r="J39" s="3"/>
      <c r="K39" s="3"/>
      <c r="L39" s="9"/>
      <c r="N39" s="2" t="s">
        <v>197</v>
      </c>
    </row>
    <row r="40" spans="2:16" ht="13.9" customHeight="1">
      <c r="B40" s="2" t="s">
        <v>163</v>
      </c>
      <c r="C40" s="2" t="s">
        <v>59</v>
      </c>
      <c r="D40" s="3">
        <v>100.57</v>
      </c>
      <c r="E40" s="4">
        <v>31.4</v>
      </c>
      <c r="F40" s="6">
        <f>Table4[[#This Row],[Price]]*Table4[[#This Row],[Share Count ]]</f>
        <v>3157.8979999999997</v>
      </c>
      <c r="G40" s="6"/>
      <c r="H40" s="6"/>
      <c r="I40" s="6">
        <f>Table4[[#This Row],[MC ($M)]]-Table4[[#This Row],[Cash ($M)]]+Table4[[#This Row],[Debt ($M)]]</f>
        <v>3157.8979999999997</v>
      </c>
      <c r="J40" s="3"/>
      <c r="K40" s="3"/>
      <c r="L40" s="9"/>
      <c r="N40" s="2" t="s">
        <v>91</v>
      </c>
      <c r="O40" s="2" t="s">
        <v>75</v>
      </c>
      <c r="P40" s="3"/>
    </row>
    <row r="41" spans="2:16" ht="13.9" customHeight="1">
      <c r="B41" s="2" t="s">
        <v>181</v>
      </c>
      <c r="C41" s="2" t="s">
        <v>44</v>
      </c>
      <c r="D41" s="3">
        <v>12.65</v>
      </c>
      <c r="E41" s="4">
        <v>198.8</v>
      </c>
      <c r="F41" s="6">
        <f>Table4[[#This Row],[Price]]*Table4[[#This Row],[Share Count ]]</f>
        <v>2514.8200000000002</v>
      </c>
      <c r="G41" s="6"/>
      <c r="H41" s="6"/>
      <c r="I41" s="6">
        <f>Table4[[#This Row],[MC ($M)]]-Table4[[#This Row],[Cash ($M)]]+Table4[[#This Row],[Debt ($M)]]</f>
        <v>2514.8200000000002</v>
      </c>
      <c r="J41" s="3"/>
      <c r="K41" s="3"/>
      <c r="L41" s="9"/>
      <c r="N41" s="2" t="s">
        <v>91</v>
      </c>
      <c r="O41" s="2" t="s">
        <v>81</v>
      </c>
      <c r="P41" s="3"/>
    </row>
    <row r="42" spans="2:16" ht="13.9" customHeight="1">
      <c r="B42" s="2" t="s">
        <v>165</v>
      </c>
      <c r="C42" s="2" t="s">
        <v>62</v>
      </c>
      <c r="D42" s="3">
        <v>35.07</v>
      </c>
      <c r="E42" s="4">
        <v>54.3</v>
      </c>
      <c r="F42" s="6">
        <f>Table4[[#This Row],[Price]]*Table4[[#This Row],[Share Count ]]</f>
        <v>1904.3009999999999</v>
      </c>
      <c r="G42" s="6"/>
      <c r="H42" s="6"/>
      <c r="I42" s="6">
        <f>Table4[[#This Row],[MC ($M)]]-Table4[[#This Row],[Cash ($M)]]+Table4[[#This Row],[Debt ($M)]]</f>
        <v>1904.3009999999999</v>
      </c>
      <c r="J42" s="3"/>
      <c r="K42" s="3"/>
      <c r="L42" s="9"/>
      <c r="N42" s="2" t="s">
        <v>91</v>
      </c>
      <c r="O42" s="2" t="s">
        <v>120</v>
      </c>
      <c r="P42" s="3"/>
    </row>
    <row r="43" spans="2:16" ht="13.9" customHeight="1">
      <c r="B43" s="2" t="s">
        <v>170</v>
      </c>
      <c r="C43" s="2" t="s">
        <v>42</v>
      </c>
      <c r="D43" s="3">
        <v>15.83</v>
      </c>
      <c r="E43" s="4">
        <v>108.5</v>
      </c>
      <c r="F43" s="6">
        <f>Table4[[#This Row],[Price]]*Table4[[#This Row],[Share Count ]]</f>
        <v>1717.5550000000001</v>
      </c>
      <c r="G43" s="6"/>
      <c r="H43" s="6"/>
      <c r="I43" s="6">
        <f>Table4[[#This Row],[MC ($M)]]-Table4[[#This Row],[Cash ($M)]]+Table4[[#This Row],[Debt ($M)]]</f>
        <v>1717.5550000000001</v>
      </c>
      <c r="J43" s="3"/>
      <c r="K43" s="3"/>
      <c r="L43" s="9"/>
      <c r="N43" s="2" t="s">
        <v>91</v>
      </c>
      <c r="O43" s="2" t="s">
        <v>126</v>
      </c>
      <c r="P43" s="3"/>
    </row>
    <row r="44" spans="2:16" ht="13.9" customHeight="1">
      <c r="B44" s="2" t="s">
        <v>147</v>
      </c>
      <c r="C44" s="2" t="s">
        <v>54</v>
      </c>
      <c r="D44" s="3">
        <v>32.08</v>
      </c>
      <c r="E44" s="4">
        <v>48.9</v>
      </c>
      <c r="F44" s="6">
        <f>Table4[[#This Row],[Price]]*Table4[[#This Row],[Share Count ]]</f>
        <v>1568.7119999999998</v>
      </c>
      <c r="G44" s="6"/>
      <c r="H44" s="6"/>
      <c r="I44" s="6">
        <f>Table4[[#This Row],[MC ($M)]]-Table4[[#This Row],[Cash ($M)]]+Table4[[#This Row],[Debt ($M)]]</f>
        <v>1568.7119999999998</v>
      </c>
      <c r="J44" s="3"/>
      <c r="K44" s="3"/>
      <c r="L44" s="9"/>
      <c r="N44" s="2" t="s">
        <v>91</v>
      </c>
      <c r="O44" s="2" t="s">
        <v>95</v>
      </c>
      <c r="P44" s="3"/>
    </row>
    <row r="45" spans="2:16" ht="13.9" customHeight="1">
      <c r="B45" s="2" t="s">
        <v>151</v>
      </c>
      <c r="C45" s="2" t="s">
        <v>56</v>
      </c>
      <c r="D45" s="3">
        <v>48.03</v>
      </c>
      <c r="E45" s="4">
        <v>30.9</v>
      </c>
      <c r="F45" s="6">
        <f>Table4[[#This Row],[Price]]*Table4[[#This Row],[Share Count ]]</f>
        <v>1484.127</v>
      </c>
      <c r="G45" s="6"/>
      <c r="H45" s="6"/>
      <c r="I45" s="6">
        <f>Table4[[#This Row],[MC ($M)]]-Table4[[#This Row],[Cash ($M)]]+Table4[[#This Row],[Debt ($M)]]</f>
        <v>1484.127</v>
      </c>
      <c r="J45" s="3"/>
      <c r="K45" s="3"/>
      <c r="L45" s="9"/>
      <c r="N45" s="2" t="s">
        <v>91</v>
      </c>
      <c r="O45" s="2" t="s">
        <v>100</v>
      </c>
      <c r="P45" s="3"/>
    </row>
    <row r="46" spans="2:16" ht="13.9" customHeight="1">
      <c r="B46" s="2" t="s">
        <v>183</v>
      </c>
      <c r="C46" s="2" t="s">
        <v>72</v>
      </c>
      <c r="D46" s="3">
        <v>27.5</v>
      </c>
      <c r="E46" s="4">
        <v>46.55</v>
      </c>
      <c r="F46" s="6">
        <f>Table4[[#This Row],[Price]]*Table4[[#This Row],[Share Count ]]</f>
        <v>1280.125</v>
      </c>
      <c r="G46" s="6"/>
      <c r="H46" s="6"/>
      <c r="I46" s="6">
        <v>1180</v>
      </c>
      <c r="J46" s="3"/>
      <c r="K46" s="3"/>
      <c r="L46" s="9"/>
      <c r="N46" s="2" t="s">
        <v>196</v>
      </c>
      <c r="P46" s="7" t="s">
        <v>193</v>
      </c>
    </row>
    <row r="47" spans="2:16" ht="13.9" customHeight="1">
      <c r="B47" s="2" t="s">
        <v>180</v>
      </c>
      <c r="C47" s="2" t="s">
        <v>71</v>
      </c>
      <c r="D47" s="3">
        <v>16.93</v>
      </c>
      <c r="E47" s="4">
        <v>66.3</v>
      </c>
      <c r="F47" s="6">
        <f>Table4[[#This Row],[Price]]*Table4[[#This Row],[Share Count ]]</f>
        <v>1122.4589999999998</v>
      </c>
      <c r="G47" s="6"/>
      <c r="H47" s="6"/>
      <c r="I47" s="6">
        <f>Table4[[#This Row],[MC ($M)]]-Table4[[#This Row],[Cash ($M)]]+Table4[[#This Row],[Debt ($M)]]</f>
        <v>1122.4589999999998</v>
      </c>
      <c r="J47" s="3"/>
      <c r="K47" s="3"/>
      <c r="L47" s="9"/>
      <c r="N47" s="2" t="s">
        <v>91</v>
      </c>
      <c r="O47" s="2" t="s">
        <v>80</v>
      </c>
      <c r="P47" s="3"/>
    </row>
    <row r="48" spans="2:16" ht="13.9" customHeight="1">
      <c r="B48" s="2" t="s">
        <v>168</v>
      </c>
      <c r="C48" s="2" t="s">
        <v>30</v>
      </c>
      <c r="D48" s="3">
        <v>6.63</v>
      </c>
      <c r="E48" s="4">
        <v>146.9</v>
      </c>
      <c r="F48" s="6">
        <f>Table4[[#This Row],[Price]]*Table4[[#This Row],[Share Count ]]</f>
        <v>973.947</v>
      </c>
      <c r="G48" s="6"/>
      <c r="H48" s="6"/>
      <c r="I48" s="6">
        <f>Table4[[#This Row],[MC ($M)]]-Table4[[#This Row],[Cash ($M)]]+Table4[[#This Row],[Debt ($M)]]</f>
        <v>973.947</v>
      </c>
      <c r="J48" s="3"/>
      <c r="K48" s="3"/>
      <c r="L48" s="9"/>
      <c r="N48" s="2" t="s">
        <v>123</v>
      </c>
      <c r="O48" s="2" t="s">
        <v>124</v>
      </c>
      <c r="P48" s="3"/>
    </row>
    <row r="49" spans="2:16" ht="13.9" customHeight="1">
      <c r="B49" s="2" t="s">
        <v>156</v>
      </c>
      <c r="C49" s="2" t="s">
        <v>46</v>
      </c>
      <c r="D49" s="3">
        <v>30.18</v>
      </c>
      <c r="E49" s="4">
        <v>28.8</v>
      </c>
      <c r="F49" s="6">
        <f>Table4[[#This Row],[Price]]*Table4[[#This Row],[Share Count ]]</f>
        <v>869.18399999999997</v>
      </c>
      <c r="G49" s="6"/>
      <c r="H49" s="6"/>
      <c r="I49" s="6">
        <f>Table4[[#This Row],[MC ($M)]]-Table4[[#This Row],[Cash ($M)]]+Table4[[#This Row],[Debt ($M)]]</f>
        <v>869.18399999999997</v>
      </c>
      <c r="J49" s="3"/>
      <c r="K49" s="3"/>
      <c r="L49" s="9"/>
      <c r="N49" s="2" t="s">
        <v>91</v>
      </c>
      <c r="O49" s="2" t="s">
        <v>105</v>
      </c>
      <c r="P49" s="3"/>
    </row>
    <row r="50" spans="2:16" ht="13.9" customHeight="1">
      <c r="B50" s="2" t="s">
        <v>155</v>
      </c>
      <c r="C50" s="2" t="s">
        <v>47</v>
      </c>
      <c r="D50" s="3">
        <v>11.34</v>
      </c>
      <c r="E50" s="4">
        <v>57.7</v>
      </c>
      <c r="F50" s="6">
        <f>Table4[[#This Row],[Price]]*Table4[[#This Row],[Share Count ]]</f>
        <v>654.31799999999998</v>
      </c>
      <c r="G50" s="6"/>
      <c r="H50" s="6"/>
      <c r="I50" s="6">
        <f>Table4[[#This Row],[MC ($M)]]-Table4[[#This Row],[Cash ($M)]]+Table4[[#This Row],[Debt ($M)]]</f>
        <v>654.31799999999998</v>
      </c>
      <c r="J50" s="3"/>
      <c r="K50" s="3"/>
      <c r="L50" s="9"/>
      <c r="N50" s="2" t="s">
        <v>91</v>
      </c>
      <c r="O50" s="2" t="s">
        <v>104</v>
      </c>
      <c r="P50" s="3"/>
    </row>
    <row r="51" spans="2:16" ht="13.9" customHeight="1">
      <c r="B51" s="2" t="s">
        <v>172</v>
      </c>
      <c r="C51" s="2" t="s">
        <v>64</v>
      </c>
      <c r="D51" s="3">
        <v>11.45</v>
      </c>
      <c r="E51" s="4">
        <v>52.9</v>
      </c>
      <c r="F51" s="6">
        <f>Table4[[#This Row],[Price]]*Table4[[#This Row],[Share Count ]]</f>
        <v>605.70499999999993</v>
      </c>
      <c r="G51" s="6"/>
      <c r="H51" s="6"/>
      <c r="I51" s="6">
        <f>Table4[[#This Row],[MC ($M)]]-Table4[[#This Row],[Cash ($M)]]+Table4[[#This Row],[Debt ($M)]]</f>
        <v>605.70499999999993</v>
      </c>
      <c r="J51" s="3"/>
      <c r="K51" s="3"/>
      <c r="L51" s="9"/>
      <c r="N51" s="2" t="s">
        <v>91</v>
      </c>
      <c r="O51" s="2" t="s">
        <v>128</v>
      </c>
      <c r="P51" s="3"/>
    </row>
    <row r="52" spans="2:16" ht="13.9" customHeight="1">
      <c r="B52" s="2" t="s">
        <v>171</v>
      </c>
      <c r="C52" s="2" t="s">
        <v>63</v>
      </c>
      <c r="D52" s="3">
        <v>12.96</v>
      </c>
      <c r="E52" s="4">
        <v>38.5</v>
      </c>
      <c r="F52" s="6">
        <f>Table4[[#This Row],[Price]]*Table4[[#This Row],[Share Count ]]</f>
        <v>498.96000000000004</v>
      </c>
      <c r="G52" s="6"/>
      <c r="H52" s="6"/>
      <c r="I52" s="6">
        <f>Table4[[#This Row],[MC ($M)]]-Table4[[#This Row],[Cash ($M)]]+Table4[[#This Row],[Debt ($M)]]</f>
        <v>498.96000000000004</v>
      </c>
      <c r="J52" s="3"/>
      <c r="K52" s="3"/>
      <c r="L52" s="9"/>
      <c r="N52" s="2" t="s">
        <v>91</v>
      </c>
      <c r="O52" s="2" t="s">
        <v>127</v>
      </c>
      <c r="P52" s="3"/>
    </row>
    <row r="53" spans="2:16" ht="13.9" customHeight="1">
      <c r="B53" s="2" t="s">
        <v>85</v>
      </c>
      <c r="C53" s="2" t="s">
        <v>52</v>
      </c>
      <c r="D53" s="3">
        <v>9.52</v>
      </c>
      <c r="E53" s="4">
        <v>40.4</v>
      </c>
      <c r="F53" s="6">
        <f>Table4[[#This Row],[Price]]*Table4[[#This Row],[Share Count ]]</f>
        <v>384.60799999999995</v>
      </c>
      <c r="G53" s="6"/>
      <c r="H53" s="6"/>
      <c r="I53" s="6">
        <f>Table4[[#This Row],[MC ($M)]]-Table4[[#This Row],[Cash ($M)]]+Table4[[#This Row],[Debt ($M)]]</f>
        <v>384.60799999999995</v>
      </c>
      <c r="J53" s="3"/>
      <c r="K53" s="3"/>
      <c r="L53" s="9"/>
      <c r="N53" s="2" t="s">
        <v>91</v>
      </c>
      <c r="O53" s="2" t="s">
        <v>93</v>
      </c>
      <c r="P53" s="3"/>
    </row>
    <row r="54" spans="2:16" ht="13.9" customHeight="1">
      <c r="B54" s="2" t="s">
        <v>178</v>
      </c>
      <c r="C54" s="2" t="s">
        <v>69</v>
      </c>
      <c r="D54" s="3">
        <v>13.35</v>
      </c>
      <c r="E54" s="4">
        <v>23.9</v>
      </c>
      <c r="F54" s="6">
        <f>Table4[[#This Row],[Price]]*Table4[[#This Row],[Share Count ]]</f>
        <v>319.065</v>
      </c>
      <c r="G54" s="6"/>
      <c r="H54" s="6"/>
      <c r="I54" s="6">
        <f>Table4[[#This Row],[MC ($M)]]-Table4[[#This Row],[Cash ($M)]]+Table4[[#This Row],[Debt ($M)]]</f>
        <v>319.065</v>
      </c>
      <c r="J54" s="3"/>
      <c r="K54" s="3"/>
      <c r="L54" s="9"/>
      <c r="N54" s="2" t="s">
        <v>91</v>
      </c>
      <c r="O54" s="2" t="s">
        <v>138</v>
      </c>
      <c r="P54" s="3"/>
    </row>
    <row r="55" spans="2:16" ht="13.9" customHeight="1">
      <c r="B55" s="2" t="s">
        <v>150</v>
      </c>
      <c r="C55" s="2" t="s">
        <v>55</v>
      </c>
      <c r="D55" s="3">
        <v>1.29</v>
      </c>
      <c r="E55" s="4">
        <v>185.8</v>
      </c>
      <c r="F55" s="6">
        <f>Table4[[#This Row],[Price]]*Table4[[#This Row],[Share Count ]]</f>
        <v>239.68200000000002</v>
      </c>
      <c r="G55" s="6"/>
      <c r="H55" s="6"/>
      <c r="I55" s="6">
        <f>Table4[[#This Row],[MC ($M)]]-Table4[[#This Row],[Cash ($M)]]+Table4[[#This Row],[Debt ($M)]]</f>
        <v>239.68200000000002</v>
      </c>
      <c r="J55" s="3"/>
      <c r="K55" s="3"/>
      <c r="L55" s="9"/>
      <c r="N55" s="2" t="s">
        <v>91</v>
      </c>
      <c r="O55" s="2" t="s">
        <v>99</v>
      </c>
      <c r="P55" s="3"/>
    </row>
    <row r="56" spans="2:16" ht="13.9" customHeight="1">
      <c r="B56" s="2" t="s">
        <v>176</v>
      </c>
      <c r="C56" s="2" t="s">
        <v>68</v>
      </c>
      <c r="D56" s="3">
        <v>3.93</v>
      </c>
      <c r="E56" s="4">
        <v>55.7</v>
      </c>
      <c r="F56" s="6">
        <f>Table4[[#This Row],[Price]]*Table4[[#This Row],[Share Count ]]</f>
        <v>218.90100000000001</v>
      </c>
      <c r="G56" s="6"/>
      <c r="H56" s="6"/>
      <c r="I56" s="6">
        <f>Table4[[#This Row],[MC ($M)]]-Table4[[#This Row],[Cash ($M)]]+Table4[[#This Row],[Debt ($M)]]</f>
        <v>218.90100000000001</v>
      </c>
      <c r="J56" s="3"/>
      <c r="K56" s="3"/>
      <c r="L56" s="9"/>
      <c r="N56" s="2" t="s">
        <v>91</v>
      </c>
      <c r="O56" s="2" t="s">
        <v>136</v>
      </c>
      <c r="P56" s="3"/>
    </row>
    <row r="57" spans="2:16" ht="13.9" customHeight="1">
      <c r="B57" s="2" t="s">
        <v>175</v>
      </c>
      <c r="C57" s="2" t="s">
        <v>67</v>
      </c>
      <c r="D57" s="3">
        <v>4.72</v>
      </c>
      <c r="E57" s="4">
        <v>16.5</v>
      </c>
      <c r="F57" s="6">
        <f>Table4[[#This Row],[Price]]*Table4[[#This Row],[Share Count ]]</f>
        <v>77.88</v>
      </c>
      <c r="G57" s="6"/>
      <c r="H57" s="6"/>
      <c r="I57" s="6">
        <f>Table4[[#This Row],[MC ($M)]]-Table4[[#This Row],[Cash ($M)]]+Table4[[#This Row],[Debt ($M)]]</f>
        <v>77.88</v>
      </c>
      <c r="J57" s="3"/>
      <c r="K57" s="3"/>
      <c r="L57" s="9"/>
      <c r="N57" s="2" t="s">
        <v>91</v>
      </c>
      <c r="O57" s="2" t="s">
        <v>134</v>
      </c>
      <c r="P57" s="3"/>
    </row>
    <row r="58" spans="2:16" ht="13.9" customHeight="1">
      <c r="B58" s="2" t="s">
        <v>167</v>
      </c>
      <c r="C58" s="2" t="s">
        <v>49</v>
      </c>
      <c r="D58" s="3">
        <v>2.5</v>
      </c>
      <c r="E58" s="4">
        <v>20.2</v>
      </c>
      <c r="F58" s="6">
        <f>Table4[[#This Row],[Price]]*Table4[[#This Row],[Share Count ]]</f>
        <v>50.5</v>
      </c>
      <c r="G58" s="6"/>
      <c r="H58" s="6"/>
      <c r="I58" s="6">
        <f>Table4[[#This Row],[MC ($M)]]-Table4[[#This Row],[Cash ($M)]]+Table4[[#This Row],[Debt ($M)]]</f>
        <v>50.5</v>
      </c>
      <c r="J58" s="3"/>
      <c r="K58" s="3"/>
      <c r="L58" s="9"/>
      <c r="N58" s="2" t="s">
        <v>91</v>
      </c>
      <c r="O58" s="2" t="s">
        <v>122</v>
      </c>
      <c r="P58" s="3"/>
    </row>
    <row r="59" spans="2:16" ht="13.9" customHeight="1">
      <c r="B59" s="2" t="s">
        <v>86</v>
      </c>
      <c r="C59" s="2" t="s">
        <v>53</v>
      </c>
      <c r="D59" s="3">
        <v>0.98</v>
      </c>
      <c r="E59" s="4">
        <v>37.6</v>
      </c>
      <c r="F59" s="6">
        <f>Table4[[#This Row],[Price]]*Table4[[#This Row],[Share Count ]]</f>
        <v>36.847999999999999</v>
      </c>
      <c r="G59" s="6"/>
      <c r="H59" s="6"/>
      <c r="I59" s="6">
        <f>Table4[[#This Row],[MC ($M)]]-Table4[[#This Row],[Cash ($M)]]+Table4[[#This Row],[Debt ($M)]]</f>
        <v>36.847999999999999</v>
      </c>
      <c r="J59" s="3"/>
      <c r="K59" s="3"/>
      <c r="L59" s="9"/>
      <c r="N59" s="2" t="s">
        <v>91</v>
      </c>
      <c r="O59" s="2" t="s">
        <v>94</v>
      </c>
      <c r="P59" s="3"/>
    </row>
    <row r="60" spans="2:16" ht="13.9" customHeight="1">
      <c r="B60" s="2" t="s">
        <v>77</v>
      </c>
      <c r="C60" s="2" t="s">
        <v>61</v>
      </c>
      <c r="D60" s="3">
        <v>1.42</v>
      </c>
      <c r="E60" s="4">
        <v>8.8000000000000007</v>
      </c>
      <c r="F60" s="6">
        <f>Table4[[#This Row],[Price]]*Table4[[#This Row],[Share Count ]]</f>
        <v>12.496</v>
      </c>
      <c r="G60" s="6"/>
      <c r="H60" s="6"/>
      <c r="I60" s="6">
        <f>Table4[[#This Row],[MC ($M)]]-Table4[[#This Row],[Cash ($M)]]+Table4[[#This Row],[Debt ($M)]]</f>
        <v>12.496</v>
      </c>
      <c r="J60" s="3"/>
      <c r="K60" s="3"/>
      <c r="L60" s="9"/>
      <c r="N60" s="2" t="s">
        <v>91</v>
      </c>
      <c r="O60" s="2" t="s">
        <v>119</v>
      </c>
      <c r="P60" s="3"/>
    </row>
    <row r="61" spans="2:16" ht="13.9" customHeight="1">
      <c r="J61" s="3"/>
      <c r="K61" s="3"/>
      <c r="L61" s="9"/>
    </row>
    <row r="62" spans="2:16" ht="13.9" customHeight="1">
      <c r="J62" s="3"/>
      <c r="K62" s="3"/>
      <c r="L62" s="9"/>
    </row>
    <row r="63" spans="2:16" ht="13.9" customHeight="1">
      <c r="J63" s="3"/>
      <c r="K63" s="3"/>
      <c r="L63" s="9"/>
    </row>
    <row r="64" spans="2:16" ht="13.9" customHeight="1">
      <c r="J64" s="3"/>
      <c r="K64" s="3"/>
      <c r="L64" s="9"/>
    </row>
    <row r="65" spans="10:12" ht="13.9" customHeight="1">
      <c r="J65" s="3"/>
      <c r="K65" s="3"/>
      <c r="L65" s="9"/>
    </row>
    <row r="66" spans="10:12" ht="13.9" customHeight="1">
      <c r="J66" s="3"/>
      <c r="K66" s="3"/>
      <c r="L66" s="9"/>
    </row>
    <row r="67" spans="10:12" ht="13.9" customHeight="1">
      <c r="J67" s="3"/>
      <c r="K67" s="3"/>
      <c r="L67" s="9"/>
    </row>
    <row r="68" spans="10:12" ht="13.9" customHeight="1">
      <c r="J68" s="3"/>
      <c r="K68" s="3"/>
      <c r="L68" s="9"/>
    </row>
    <row r="69" spans="10:12" ht="13.9" customHeight="1">
      <c r="J69" s="3"/>
      <c r="K69" s="3"/>
      <c r="L69" s="9"/>
    </row>
    <row r="70" spans="10:12" ht="13.9" customHeight="1">
      <c r="J70" s="3"/>
      <c r="K70" s="3"/>
      <c r="L70" s="9"/>
    </row>
    <row r="71" spans="10:12" ht="13.9" customHeight="1">
      <c r="J71" s="3"/>
      <c r="K71" s="3"/>
      <c r="L71" s="9"/>
    </row>
    <row r="72" spans="10:12" ht="13.9" customHeight="1">
      <c r="J72" s="3"/>
      <c r="K72" s="3"/>
      <c r="L72" s="9"/>
    </row>
  </sheetData>
  <phoneticPr fontId="6" type="noConversion"/>
  <hyperlinks>
    <hyperlink ref="C7" r:id="rId1" xr:uid="{426F8A59-D0D3-4B06-A2F3-2FB148EA51C0}"/>
    <hyperlink ref="C31" r:id="rId2" xr:uid="{2D379C01-EB9C-4FC6-AE11-39C65785E045}"/>
    <hyperlink ref="C3" r:id="rId3" xr:uid="{BD385BD7-588E-48EF-B301-D5FB5D51DCEB}"/>
    <hyperlink ref="C10" r:id="rId4" xr:uid="{D832F864-5E10-448D-B5E6-A41747F24422}"/>
    <hyperlink ref="C37" r:id="rId5" xr:uid="{00568186-9937-41F0-A573-81F07A883F35}"/>
    <hyperlink ref="C29" r:id="rId6" xr:uid="{005180B3-25D4-4F2E-A649-03376394116A}"/>
    <hyperlink ref="C9" r:id="rId7" xr:uid="{B49CD5A4-3D0B-4623-BA9B-93008A472BB3}"/>
  </hyperlinks>
  <pageMargins left="0.7" right="0.7" top="0.75" bottom="0.75" header="0.3" footer="0.3"/>
  <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9"/>
  <sheetViews>
    <sheetView workbookViewId="0">
      <selection activeCell="B8" sqref="B8"/>
    </sheetView>
  </sheetViews>
  <sheetFormatPr defaultRowHeight="14.25"/>
  <cols>
    <col min="1" max="1" width="3.140625" style="2" customWidth="1"/>
    <col min="2" max="16384" width="9.140625" style="2"/>
  </cols>
  <sheetData>
    <row r="2" spans="2:3" ht="15">
      <c r="B2" s="10" t="s">
        <v>198</v>
      </c>
    </row>
    <row r="3" spans="2:3">
      <c r="C3" s="2" t="s">
        <v>199</v>
      </c>
    </row>
    <row r="5" spans="2:3" ht="15">
      <c r="B5" s="10" t="s">
        <v>200</v>
      </c>
    </row>
    <row r="6" spans="2:3">
      <c r="C6" s="2" t="s">
        <v>201</v>
      </c>
    </row>
    <row r="8" spans="2:3" ht="15">
      <c r="B8" s="10" t="s">
        <v>202</v>
      </c>
    </row>
    <row r="9" spans="2:3">
      <c r="C9" s="2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2025-04-22T09:51:33Z</dcterms:modified>
</cp:coreProperties>
</file>