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Staples\"/>
    </mc:Choice>
  </mc:AlternateContent>
  <xr:revisionPtr revIDLastSave="0" documentId="13_ncr:1_{7C2E6BE2-0B49-4986-9D4B-2DB6FD26C57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5" i="2" l="1"/>
  <c r="AS35" i="2"/>
  <c r="AR35" i="2"/>
  <c r="AQ35" i="2"/>
  <c r="AP35" i="2"/>
  <c r="AO35" i="2"/>
  <c r="AT23" i="2"/>
  <c r="AS23" i="2"/>
  <c r="AR23" i="2"/>
  <c r="AQ23" i="2"/>
  <c r="AP23" i="2"/>
  <c r="AO23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U5" i="2" s="1"/>
  <c r="AV5" i="2" s="1"/>
  <c r="AT11" i="2"/>
  <c r="AS11" i="2"/>
  <c r="AR11" i="2"/>
  <c r="AQ11" i="2"/>
  <c r="AP11" i="2"/>
  <c r="AO11" i="2"/>
  <c r="AT5" i="2"/>
  <c r="AS5" i="2"/>
  <c r="AR5" i="2"/>
  <c r="AQ5" i="2"/>
  <c r="AP5" i="2"/>
  <c r="AO5" i="2"/>
  <c r="AP4" i="2"/>
  <c r="AQ4" i="2" s="1"/>
  <c r="AR4" i="2" s="1"/>
  <c r="AS4" i="2" s="1"/>
  <c r="AT4" i="2" s="1"/>
  <c r="AO4" i="2"/>
  <c r="AP3" i="2"/>
  <c r="AQ3" i="2" s="1"/>
  <c r="AR3" i="2" s="1"/>
  <c r="AS3" i="2" s="1"/>
  <c r="AT3" i="2" s="1"/>
  <c r="AO3" i="2"/>
  <c r="AW5" i="2" l="1"/>
  <c r="AV23" i="2"/>
  <c r="AV35" i="2" s="1"/>
  <c r="AU23" i="2"/>
  <c r="AU35" i="2" s="1"/>
  <c r="AX5" i="2" l="1"/>
  <c r="AW23" i="2"/>
  <c r="AW35" i="2" s="1"/>
  <c r="AY5" i="2" l="1"/>
  <c r="AX23" i="2"/>
  <c r="AX35" i="2" s="1"/>
  <c r="AZ5" i="2" l="1"/>
  <c r="AY23" i="2"/>
  <c r="AY35" i="2" s="1"/>
  <c r="BA5" i="2" l="1"/>
  <c r="AZ23" i="2"/>
  <c r="AZ35" i="2" s="1"/>
  <c r="BB5" i="2" l="1"/>
  <c r="BA23" i="2"/>
  <c r="BA35" i="2" s="1"/>
  <c r="BC5" i="2" l="1"/>
  <c r="BB23" i="2"/>
  <c r="BB35" i="2" s="1"/>
  <c r="BD5" i="2" l="1"/>
  <c r="BC23" i="2"/>
  <c r="BC35" i="2" s="1"/>
  <c r="BE5" i="2" l="1"/>
  <c r="BD23" i="2"/>
  <c r="BD35" i="2" s="1"/>
  <c r="BF5" i="2" l="1"/>
  <c r="BE23" i="2"/>
  <c r="BE35" i="2" s="1"/>
  <c r="BG5" i="2" l="1"/>
  <c r="BF23" i="2"/>
  <c r="BF35" i="2" s="1"/>
  <c r="BH5" i="2" l="1"/>
  <c r="BG23" i="2"/>
  <c r="BG35" i="2" s="1"/>
  <c r="BI5" i="2" l="1"/>
  <c r="BH23" i="2"/>
  <c r="BH35" i="2" s="1"/>
  <c r="BJ5" i="2" l="1"/>
  <c r="BI23" i="2"/>
  <c r="BI35" i="2" s="1"/>
  <c r="BK5" i="2" l="1"/>
  <c r="BJ23" i="2"/>
  <c r="BJ35" i="2" s="1"/>
  <c r="BL5" i="2" l="1"/>
  <c r="BK23" i="2"/>
  <c r="BK35" i="2" s="1"/>
  <c r="BM5" i="2" l="1"/>
  <c r="BL23" i="2"/>
  <c r="BL35" i="2" s="1"/>
  <c r="BN5" i="2" l="1"/>
  <c r="BM23" i="2"/>
  <c r="BM35" i="2" s="1"/>
  <c r="BO5" i="2" l="1"/>
  <c r="BN23" i="2"/>
  <c r="BN35" i="2" s="1"/>
  <c r="BP5" i="2" l="1"/>
  <c r="BO23" i="2"/>
  <c r="BO35" i="2" s="1"/>
  <c r="BQ5" i="2" l="1"/>
  <c r="BP23" i="2"/>
  <c r="BP35" i="2" s="1"/>
  <c r="BR5" i="2" l="1"/>
  <c r="BQ23" i="2"/>
  <c r="BQ35" i="2" s="1"/>
  <c r="BS5" i="2" l="1"/>
  <c r="BR23" i="2"/>
  <c r="BR35" i="2" s="1"/>
  <c r="BT5" i="2" l="1"/>
  <c r="BS23" i="2"/>
  <c r="BS35" i="2" s="1"/>
  <c r="BU5" i="2" l="1"/>
  <c r="BT23" i="2"/>
  <c r="BT35" i="2" s="1"/>
  <c r="BV5" i="2" l="1"/>
  <c r="BU23" i="2"/>
  <c r="BU35" i="2" s="1"/>
  <c r="BW5" i="2" l="1"/>
  <c r="BV23" i="2"/>
  <c r="BV35" i="2" s="1"/>
  <c r="BX5" i="2" l="1"/>
  <c r="BW23" i="2"/>
  <c r="BW35" i="2" s="1"/>
  <c r="BY5" i="2" l="1"/>
  <c r="BX23" i="2"/>
  <c r="BX35" i="2" s="1"/>
  <c r="BZ5" i="2" l="1"/>
  <c r="BY23" i="2"/>
  <c r="BY35" i="2" s="1"/>
  <c r="CA5" i="2" l="1"/>
  <c r="BZ23" i="2"/>
  <c r="BZ35" i="2" s="1"/>
  <c r="CB5" i="2" l="1"/>
  <c r="CA23" i="2"/>
  <c r="CA35" i="2" s="1"/>
  <c r="CC5" i="2" l="1"/>
  <c r="CC23" i="2" s="1"/>
  <c r="CC35" i="2" s="1"/>
  <c r="AQ50" i="2" s="1"/>
  <c r="CB23" i="2"/>
  <c r="CB35" i="2" s="1"/>
  <c r="AQ52" i="2" l="1"/>
  <c r="AQ54" i="2" s="1"/>
  <c r="AR54" i="2" s="1"/>
  <c r="AN82" i="2" l="1"/>
  <c r="AN92" i="2"/>
  <c r="AM92" i="2"/>
  <c r="AL92" i="2"/>
  <c r="AK92" i="2"/>
  <c r="AJ92" i="2"/>
  <c r="AM7" i="2"/>
  <c r="AL7" i="2"/>
  <c r="AK7" i="2"/>
  <c r="AJ7" i="2"/>
  <c r="AM8" i="2"/>
  <c r="AL8" i="2"/>
  <c r="AK8" i="2"/>
  <c r="AJ8" i="2"/>
  <c r="AN8" i="2"/>
  <c r="AN7" i="2"/>
  <c r="AM18" i="2"/>
  <c r="AL18" i="2"/>
  <c r="AK18" i="2"/>
  <c r="AJ18" i="2"/>
  <c r="AM17" i="2"/>
  <c r="AL17" i="2"/>
  <c r="AK17" i="2"/>
  <c r="AJ17" i="2"/>
  <c r="AN18" i="2"/>
  <c r="AN17" i="2"/>
  <c r="AN56" i="2"/>
  <c r="AN55" i="2"/>
  <c r="AN104" i="2"/>
  <c r="AM104" i="2"/>
  <c r="AL104" i="2"/>
  <c r="AK104" i="2"/>
  <c r="AJ104" i="2"/>
  <c r="AM103" i="2"/>
  <c r="AL103" i="2"/>
  <c r="AK103" i="2"/>
  <c r="AJ103" i="2"/>
  <c r="J102" i="2"/>
  <c r="J101" i="2"/>
  <c r="J100" i="2"/>
  <c r="J99" i="2"/>
  <c r="J98" i="2"/>
  <c r="J97" i="2"/>
  <c r="J79" i="2"/>
  <c r="F91" i="2"/>
  <c r="F87" i="2"/>
  <c r="D102" i="2"/>
  <c r="E102" i="2" s="1"/>
  <c r="F102" i="2" s="1"/>
  <c r="D101" i="2"/>
  <c r="E101" i="2" s="1"/>
  <c r="F101" i="2" s="1"/>
  <c r="D100" i="2"/>
  <c r="E100" i="2" s="1"/>
  <c r="D99" i="2"/>
  <c r="E99" i="2" s="1"/>
  <c r="F99" i="2" s="1"/>
  <c r="D98" i="2"/>
  <c r="E98" i="2" s="1"/>
  <c r="D97" i="2"/>
  <c r="E97" i="2" s="1"/>
  <c r="F97" i="2" s="1"/>
  <c r="D94" i="2"/>
  <c r="E94" i="2" s="1"/>
  <c r="F94" i="2" s="1"/>
  <c r="D93" i="2"/>
  <c r="E93" i="2" s="1"/>
  <c r="F93" i="2" s="1"/>
  <c r="AJ93" i="2" s="1"/>
  <c r="D92" i="2"/>
  <c r="E92" i="2" s="1"/>
  <c r="F92" i="2" s="1"/>
  <c r="D91" i="2"/>
  <c r="E91" i="2" s="1"/>
  <c r="D90" i="2"/>
  <c r="D89" i="2"/>
  <c r="D88" i="2"/>
  <c r="E88" i="2" s="1"/>
  <c r="D87" i="2"/>
  <c r="E87" i="2" s="1"/>
  <c r="D84" i="2"/>
  <c r="D83" i="2"/>
  <c r="D82" i="2"/>
  <c r="D81" i="2"/>
  <c r="E81" i="2" s="1"/>
  <c r="F81" i="2" s="1"/>
  <c r="D80" i="2"/>
  <c r="D79" i="2"/>
  <c r="D78" i="2"/>
  <c r="D77" i="2"/>
  <c r="D76" i="2"/>
  <c r="E90" i="2"/>
  <c r="E84" i="2"/>
  <c r="F84" i="2" s="1"/>
  <c r="E83" i="2"/>
  <c r="F83" i="2" s="1"/>
  <c r="E82" i="2"/>
  <c r="F82" i="2" s="1"/>
  <c r="E80" i="2"/>
  <c r="F80" i="2" s="1"/>
  <c r="E79" i="2"/>
  <c r="F79" i="2" s="1"/>
  <c r="E78" i="2"/>
  <c r="F78" i="2" s="1"/>
  <c r="E77" i="2"/>
  <c r="F77" i="2" s="1"/>
  <c r="E76" i="2"/>
  <c r="F76" i="2" s="1"/>
  <c r="J91" i="2"/>
  <c r="J94" i="2"/>
  <c r="J93" i="2"/>
  <c r="J92" i="2"/>
  <c r="J90" i="2"/>
  <c r="J89" i="2"/>
  <c r="J88" i="2"/>
  <c r="J87" i="2"/>
  <c r="J84" i="2"/>
  <c r="J83" i="2"/>
  <c r="J82" i="2"/>
  <c r="J81" i="2"/>
  <c r="J80" i="2"/>
  <c r="J78" i="2"/>
  <c r="J77" i="2"/>
  <c r="J76" i="2"/>
  <c r="M102" i="2"/>
  <c r="M101" i="2"/>
  <c r="M100" i="2"/>
  <c r="M99" i="2"/>
  <c r="M98" i="2"/>
  <c r="M97" i="2"/>
  <c r="M94" i="2"/>
  <c r="N94" i="2" s="1"/>
  <c r="M93" i="2"/>
  <c r="N93" i="2" s="1"/>
  <c r="M92" i="2"/>
  <c r="M91" i="2"/>
  <c r="N91" i="2" s="1"/>
  <c r="M90" i="2"/>
  <c r="M89" i="2"/>
  <c r="M88" i="2"/>
  <c r="M87" i="2"/>
  <c r="M84" i="2"/>
  <c r="M83" i="2"/>
  <c r="N83" i="2" s="1"/>
  <c r="AL83" i="2" s="1"/>
  <c r="M82" i="2"/>
  <c r="M81" i="2"/>
  <c r="M80" i="2"/>
  <c r="N80" i="2" s="1"/>
  <c r="M79" i="2"/>
  <c r="M78" i="2"/>
  <c r="M77" i="2"/>
  <c r="M76" i="2"/>
  <c r="I94" i="2"/>
  <c r="I92" i="2"/>
  <c r="I91" i="2"/>
  <c r="I90" i="2"/>
  <c r="I89" i="2"/>
  <c r="I88" i="2"/>
  <c r="I87" i="2"/>
  <c r="I84" i="2"/>
  <c r="I83" i="2"/>
  <c r="I82" i="2"/>
  <c r="I81" i="2"/>
  <c r="I80" i="2"/>
  <c r="I79" i="2"/>
  <c r="I78" i="2"/>
  <c r="I77" i="2"/>
  <c r="I76" i="2"/>
  <c r="L102" i="2"/>
  <c r="L101" i="2"/>
  <c r="L100" i="2"/>
  <c r="L99" i="2"/>
  <c r="L98" i="2"/>
  <c r="L97" i="2"/>
  <c r="L94" i="2"/>
  <c r="L92" i="2"/>
  <c r="L91" i="2"/>
  <c r="L90" i="2"/>
  <c r="L89" i="2"/>
  <c r="L88" i="2"/>
  <c r="L87" i="2"/>
  <c r="L84" i="2"/>
  <c r="L83" i="2"/>
  <c r="L82" i="2"/>
  <c r="L81" i="2"/>
  <c r="L80" i="2"/>
  <c r="L79" i="2"/>
  <c r="L78" i="2"/>
  <c r="L77" i="2"/>
  <c r="L76" i="2"/>
  <c r="H102" i="2"/>
  <c r="H101" i="2"/>
  <c r="H100" i="2"/>
  <c r="H99" i="2"/>
  <c r="H98" i="2"/>
  <c r="H97" i="2"/>
  <c r="H94" i="2"/>
  <c r="H93" i="2"/>
  <c r="H92" i="2"/>
  <c r="H91" i="2"/>
  <c r="H90" i="2"/>
  <c r="H89" i="2"/>
  <c r="H88" i="2"/>
  <c r="H87" i="2"/>
  <c r="H84" i="2"/>
  <c r="H83" i="2"/>
  <c r="H82" i="2"/>
  <c r="H81" i="2"/>
  <c r="H80" i="2"/>
  <c r="H79" i="2"/>
  <c r="H78" i="2"/>
  <c r="H77" i="2"/>
  <c r="H76" i="2"/>
  <c r="V102" i="2"/>
  <c r="V101" i="2"/>
  <c r="V100" i="2"/>
  <c r="V99" i="2"/>
  <c r="V98" i="2"/>
  <c r="V97" i="2"/>
  <c r="V94" i="2"/>
  <c r="V93" i="2"/>
  <c r="V92" i="2"/>
  <c r="V91" i="2"/>
  <c r="V90" i="2"/>
  <c r="V89" i="2"/>
  <c r="V88" i="2"/>
  <c r="V87" i="2"/>
  <c r="V84" i="2"/>
  <c r="V83" i="2"/>
  <c r="V82" i="2"/>
  <c r="V81" i="2"/>
  <c r="V80" i="2"/>
  <c r="V79" i="2"/>
  <c r="V78" i="2"/>
  <c r="V77" i="2"/>
  <c r="V76" i="2"/>
  <c r="R102" i="2"/>
  <c r="R101" i="2"/>
  <c r="R100" i="2"/>
  <c r="R99" i="2"/>
  <c r="R98" i="2"/>
  <c r="R97" i="2"/>
  <c r="R94" i="2"/>
  <c r="R93" i="2"/>
  <c r="R92" i="2"/>
  <c r="R91" i="2"/>
  <c r="R90" i="2"/>
  <c r="R89" i="2"/>
  <c r="R88" i="2"/>
  <c r="R87" i="2"/>
  <c r="R84" i="2"/>
  <c r="R83" i="2"/>
  <c r="R82" i="2"/>
  <c r="R81" i="2"/>
  <c r="R80" i="2"/>
  <c r="R79" i="2"/>
  <c r="R78" i="2"/>
  <c r="R77" i="2"/>
  <c r="R76" i="2"/>
  <c r="Q102" i="2"/>
  <c r="Q101" i="2"/>
  <c r="Q100" i="2"/>
  <c r="Q99" i="2"/>
  <c r="Q98" i="2"/>
  <c r="Q97" i="2"/>
  <c r="Q94" i="2"/>
  <c r="Q93" i="2"/>
  <c r="Q92" i="2"/>
  <c r="Q91" i="2"/>
  <c r="Q90" i="2"/>
  <c r="Q89" i="2"/>
  <c r="Q88" i="2"/>
  <c r="Q87" i="2"/>
  <c r="Q84" i="2"/>
  <c r="Q83" i="2"/>
  <c r="AM83" i="2" s="1"/>
  <c r="Q82" i="2"/>
  <c r="Q81" i="2"/>
  <c r="Q80" i="2"/>
  <c r="Q79" i="2"/>
  <c r="Q78" i="2"/>
  <c r="Q77" i="2"/>
  <c r="Q76" i="2"/>
  <c r="P102" i="2"/>
  <c r="P101" i="2"/>
  <c r="P100" i="2"/>
  <c r="P99" i="2"/>
  <c r="P98" i="2"/>
  <c r="P97" i="2"/>
  <c r="P94" i="2"/>
  <c r="P93" i="2"/>
  <c r="P92" i="2"/>
  <c r="P91" i="2"/>
  <c r="P90" i="2"/>
  <c r="P89" i="2"/>
  <c r="P88" i="2"/>
  <c r="P87" i="2"/>
  <c r="P84" i="2"/>
  <c r="P83" i="2"/>
  <c r="P82" i="2"/>
  <c r="P81" i="2"/>
  <c r="P80" i="2"/>
  <c r="P79" i="2"/>
  <c r="P78" i="2"/>
  <c r="P77" i="2"/>
  <c r="P76" i="2"/>
  <c r="U102" i="2"/>
  <c r="U101" i="2"/>
  <c r="U100" i="2"/>
  <c r="U99" i="2"/>
  <c r="U98" i="2"/>
  <c r="U97" i="2"/>
  <c r="U94" i="2"/>
  <c r="U93" i="2"/>
  <c r="U92" i="2"/>
  <c r="U91" i="2"/>
  <c r="U107" i="2" s="1"/>
  <c r="U90" i="2"/>
  <c r="U89" i="2"/>
  <c r="U88" i="2"/>
  <c r="U87" i="2"/>
  <c r="U84" i="2"/>
  <c r="U83" i="2"/>
  <c r="U82" i="2"/>
  <c r="U81" i="2"/>
  <c r="U79" i="2"/>
  <c r="U80" i="2"/>
  <c r="U78" i="2"/>
  <c r="U77" i="2"/>
  <c r="U76" i="2"/>
  <c r="N76" i="2"/>
  <c r="I101" i="2"/>
  <c r="I97" i="2"/>
  <c r="N101" i="2"/>
  <c r="T107" i="2"/>
  <c r="O107" i="2"/>
  <c r="K107" i="2"/>
  <c r="G107" i="2"/>
  <c r="C107" i="2"/>
  <c r="T98" i="2"/>
  <c r="T101" i="2"/>
  <c r="T100" i="2"/>
  <c r="T103" i="2" s="1"/>
  <c r="T102" i="2"/>
  <c r="T99" i="2"/>
  <c r="T97" i="2"/>
  <c r="T87" i="2"/>
  <c r="T94" i="2"/>
  <c r="T93" i="2"/>
  <c r="T92" i="2"/>
  <c r="T91" i="2"/>
  <c r="T90" i="2"/>
  <c r="T89" i="2"/>
  <c r="T88" i="2"/>
  <c r="S107" i="2"/>
  <c r="T84" i="2"/>
  <c r="T83" i="2"/>
  <c r="T82" i="2"/>
  <c r="T81" i="2"/>
  <c r="T80" i="2"/>
  <c r="T79" i="2"/>
  <c r="T78" i="2"/>
  <c r="T77" i="2"/>
  <c r="T76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V109" i="2"/>
  <c r="S103" i="2"/>
  <c r="O103" i="2"/>
  <c r="K103" i="2"/>
  <c r="G103" i="2"/>
  <c r="C103" i="2"/>
  <c r="S95" i="2"/>
  <c r="O95" i="2"/>
  <c r="K95" i="2"/>
  <c r="G95" i="2"/>
  <c r="C95" i="2"/>
  <c r="F98" i="2" l="1"/>
  <c r="F90" i="2"/>
  <c r="D103" i="2"/>
  <c r="D107" i="2"/>
  <c r="D95" i="2"/>
  <c r="E89" i="2"/>
  <c r="F89" i="2" s="1"/>
  <c r="AJ89" i="2" s="1"/>
  <c r="F88" i="2"/>
  <c r="AJ88" i="2" s="1"/>
  <c r="F100" i="2"/>
  <c r="AJ100" i="2" s="1"/>
  <c r="AJ102" i="2"/>
  <c r="AJ101" i="2"/>
  <c r="AJ81" i="2"/>
  <c r="AK102" i="2"/>
  <c r="I102" i="2"/>
  <c r="AK101" i="2"/>
  <c r="AK93" i="2"/>
  <c r="H95" i="2"/>
  <c r="AK84" i="2"/>
  <c r="N102" i="2"/>
  <c r="AL102" i="2" s="1"/>
  <c r="AL101" i="2"/>
  <c r="N100" i="2"/>
  <c r="AL100" i="2" s="1"/>
  <c r="N99" i="2"/>
  <c r="AL99" i="2" s="1"/>
  <c r="N97" i="2"/>
  <c r="AL97" i="2" s="1"/>
  <c r="L107" i="2"/>
  <c r="N90" i="2"/>
  <c r="AL90" i="2" s="1"/>
  <c r="N88" i="2"/>
  <c r="L95" i="2"/>
  <c r="AM102" i="2"/>
  <c r="AM94" i="2"/>
  <c r="P103" i="2"/>
  <c r="P95" i="2"/>
  <c r="AM84" i="2"/>
  <c r="AN83" i="2"/>
  <c r="AN81" i="2"/>
  <c r="AJ80" i="2"/>
  <c r="AJ83" i="2"/>
  <c r="AJ78" i="2"/>
  <c r="AJ84" i="2"/>
  <c r="AJ79" i="2"/>
  <c r="AK80" i="2"/>
  <c r="AK79" i="2"/>
  <c r="AK82" i="2"/>
  <c r="AK78" i="2"/>
  <c r="AL80" i="2"/>
  <c r="AL76" i="2"/>
  <c r="N82" i="2"/>
  <c r="N77" i="2"/>
  <c r="N81" i="2"/>
  <c r="N79" i="2"/>
  <c r="F107" i="2"/>
  <c r="AJ94" i="2"/>
  <c r="AK94" i="2"/>
  <c r="AK88" i="2"/>
  <c r="AK89" i="2"/>
  <c r="H107" i="2"/>
  <c r="I107" i="2"/>
  <c r="M107" i="2"/>
  <c r="N107" i="2"/>
  <c r="AL94" i="2"/>
  <c r="N92" i="2"/>
  <c r="N87" i="2"/>
  <c r="N89" i="2"/>
  <c r="AL93" i="2"/>
  <c r="E103" i="2"/>
  <c r="I100" i="2"/>
  <c r="I98" i="2"/>
  <c r="AK98" i="2" s="1"/>
  <c r="H103" i="2"/>
  <c r="I99" i="2"/>
  <c r="L103" i="2"/>
  <c r="AM99" i="2"/>
  <c r="AM100" i="2"/>
  <c r="AM97" i="2"/>
  <c r="AM90" i="2"/>
  <c r="Q107" i="2"/>
  <c r="R107" i="2"/>
  <c r="AM93" i="2"/>
  <c r="AM88" i="2"/>
  <c r="P107" i="2"/>
  <c r="AM81" i="2"/>
  <c r="AM76" i="2"/>
  <c r="AM82" i="2"/>
  <c r="AM80" i="2"/>
  <c r="T95" i="2"/>
  <c r="AK109" i="2"/>
  <c r="AM109" i="2"/>
  <c r="AN109" i="2"/>
  <c r="AN102" i="2"/>
  <c r="AN100" i="2"/>
  <c r="AN93" i="2"/>
  <c r="AN101" i="2"/>
  <c r="AJ109" i="2"/>
  <c r="AL109" i="2"/>
  <c r="AN99" i="2"/>
  <c r="AN90" i="2"/>
  <c r="AN89" i="2"/>
  <c r="AN84" i="2"/>
  <c r="AN80" i="2"/>
  <c r="AN78" i="2"/>
  <c r="AN76" i="2"/>
  <c r="AK72" i="2"/>
  <c r="AK70" i="2"/>
  <c r="AK69" i="2"/>
  <c r="AK68" i="2"/>
  <c r="AK67" i="2"/>
  <c r="AK66" i="2"/>
  <c r="AK65" i="2"/>
  <c r="AK64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J72" i="2"/>
  <c r="AJ70" i="2"/>
  <c r="AJ69" i="2"/>
  <c r="AJ68" i="2"/>
  <c r="AJ67" i="2"/>
  <c r="AJ66" i="2"/>
  <c r="AJ65" i="2"/>
  <c r="AJ64" i="2"/>
  <c r="AJ61" i="2"/>
  <c r="AJ60" i="2"/>
  <c r="AJ59" i="2"/>
  <c r="AJ58" i="2"/>
  <c r="AJ57" i="2"/>
  <c r="AJ56" i="2"/>
  <c r="AJ55" i="2"/>
  <c r="AJ54" i="2"/>
  <c r="AJ53" i="2"/>
  <c r="AJ52" i="2"/>
  <c r="AJ51" i="2"/>
  <c r="AJ50" i="2"/>
  <c r="AJ49" i="2"/>
  <c r="AJ48" i="2"/>
  <c r="AL72" i="2"/>
  <c r="AL70" i="2"/>
  <c r="AL69" i="2"/>
  <c r="AL68" i="2"/>
  <c r="AL67" i="2"/>
  <c r="AL66" i="2"/>
  <c r="AL65" i="2"/>
  <c r="AL64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M72" i="2"/>
  <c r="AM70" i="2"/>
  <c r="AM69" i="2"/>
  <c r="AM68" i="2"/>
  <c r="AM67" i="2"/>
  <c r="AM66" i="2"/>
  <c r="AM65" i="2"/>
  <c r="AM64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N72" i="2"/>
  <c r="AN70" i="2"/>
  <c r="AN69" i="2"/>
  <c r="AN68" i="2"/>
  <c r="AN67" i="2"/>
  <c r="AN66" i="2"/>
  <c r="AN65" i="2"/>
  <c r="AN64" i="2"/>
  <c r="AN61" i="2"/>
  <c r="AN60" i="2"/>
  <c r="AN59" i="2"/>
  <c r="AN58" i="2"/>
  <c r="AN57" i="2"/>
  <c r="AN54" i="2"/>
  <c r="AN53" i="2"/>
  <c r="AN52" i="2"/>
  <c r="AN51" i="2"/>
  <c r="AN50" i="2"/>
  <c r="AN49" i="2"/>
  <c r="AN48" i="2"/>
  <c r="J71" i="2"/>
  <c r="J73" i="2" s="1"/>
  <c r="AK73" i="2" s="1"/>
  <c r="O71" i="2"/>
  <c r="O73" i="2" s="1"/>
  <c r="V71" i="2"/>
  <c r="V73" i="2" s="1"/>
  <c r="AN73" i="2" s="1"/>
  <c r="T71" i="2"/>
  <c r="T73" i="2" s="1"/>
  <c r="S71" i="2"/>
  <c r="S73" i="2" s="1"/>
  <c r="R71" i="2"/>
  <c r="R73" i="2" s="1"/>
  <c r="AM73" i="2" s="1"/>
  <c r="Q71" i="2"/>
  <c r="Q73" i="2" s="1"/>
  <c r="P71" i="2"/>
  <c r="P73" i="2" s="1"/>
  <c r="N71" i="2"/>
  <c r="N73" i="2" s="1"/>
  <c r="AL73" i="2" s="1"/>
  <c r="M71" i="2"/>
  <c r="M73" i="2" s="1"/>
  <c r="L71" i="2"/>
  <c r="L73" i="2" s="1"/>
  <c r="K71" i="2"/>
  <c r="K73" i="2" s="1"/>
  <c r="I71" i="2"/>
  <c r="I73" i="2" s="1"/>
  <c r="H71" i="2"/>
  <c r="H73" i="2" s="1"/>
  <c r="G71" i="2"/>
  <c r="G73" i="2" s="1"/>
  <c r="F71" i="2"/>
  <c r="F73" i="2" s="1"/>
  <c r="AJ73" i="2" s="1"/>
  <c r="U71" i="2"/>
  <c r="U73" i="2" s="1"/>
  <c r="G62" i="2"/>
  <c r="H62" i="2"/>
  <c r="I62" i="2"/>
  <c r="F62" i="2"/>
  <c r="AJ62" i="2" s="1"/>
  <c r="K62" i="2"/>
  <c r="L62" i="2"/>
  <c r="M62" i="2"/>
  <c r="J62" i="2"/>
  <c r="AK62" i="2" s="1"/>
  <c r="O62" i="2"/>
  <c r="P62" i="2"/>
  <c r="N62" i="2"/>
  <c r="AL62" i="2" s="1"/>
  <c r="S62" i="2"/>
  <c r="T62" i="2"/>
  <c r="Q62" i="2"/>
  <c r="U54" i="2"/>
  <c r="U62" i="2" s="1"/>
  <c r="R62" i="2"/>
  <c r="AM62" i="2" s="1"/>
  <c r="V62" i="2"/>
  <c r="AN62" i="2" s="1"/>
  <c r="E95" i="2" l="1"/>
  <c r="AL89" i="2"/>
  <c r="AK83" i="2"/>
  <c r="M103" i="2"/>
  <c r="N98" i="2"/>
  <c r="AL98" i="2" s="1"/>
  <c r="AL107" i="2"/>
  <c r="N84" i="2"/>
  <c r="AL84" i="2" s="1"/>
  <c r="AL79" i="2"/>
  <c r="N78" i="2"/>
  <c r="AL78" i="2" s="1"/>
  <c r="AM107" i="2"/>
  <c r="AM91" i="2"/>
  <c r="AM78" i="2"/>
  <c r="AJ76" i="2"/>
  <c r="AJ77" i="2"/>
  <c r="AJ82" i="2"/>
  <c r="AK77" i="2"/>
  <c r="AK81" i="2"/>
  <c r="AK76" i="2"/>
  <c r="AL77" i="2"/>
  <c r="AL82" i="2"/>
  <c r="AL81" i="2"/>
  <c r="F95" i="2"/>
  <c r="E107" i="2"/>
  <c r="AJ107" i="2" s="1"/>
  <c r="AJ91" i="2"/>
  <c r="AJ90" i="2"/>
  <c r="AK90" i="2"/>
  <c r="J107" i="2"/>
  <c r="AK107" i="2" s="1"/>
  <c r="AK87" i="2"/>
  <c r="I95" i="2"/>
  <c r="AL88" i="2"/>
  <c r="AL91" i="2"/>
  <c r="M95" i="2"/>
  <c r="AJ99" i="2"/>
  <c r="AJ98" i="2"/>
  <c r="F103" i="2"/>
  <c r="AJ97" i="2"/>
  <c r="J103" i="2"/>
  <c r="AK97" i="2"/>
  <c r="AK100" i="2"/>
  <c r="I103" i="2"/>
  <c r="AK99" i="2"/>
  <c r="Q103" i="2"/>
  <c r="AM101" i="2"/>
  <c r="AM98" i="2"/>
  <c r="AM89" i="2"/>
  <c r="R95" i="2"/>
  <c r="AM87" i="2"/>
  <c r="Q95" i="2"/>
  <c r="AM79" i="2"/>
  <c r="AM77" i="2"/>
  <c r="AN79" i="2"/>
  <c r="U103" i="2"/>
  <c r="AN88" i="2"/>
  <c r="AN94" i="2"/>
  <c r="AN98" i="2"/>
  <c r="V103" i="2"/>
  <c r="U95" i="2"/>
  <c r="AN87" i="2"/>
  <c r="AN77" i="2"/>
  <c r="AL71" i="2"/>
  <c r="AN71" i="2"/>
  <c r="AM71" i="2"/>
  <c r="AJ71" i="2"/>
  <c r="AK71" i="2"/>
  <c r="AJ95" i="2" l="1"/>
  <c r="N103" i="2"/>
  <c r="AN97" i="2"/>
  <c r="V107" i="2"/>
  <c r="AN107" i="2" s="1"/>
  <c r="AJ87" i="2"/>
  <c r="AK91" i="2"/>
  <c r="J95" i="2"/>
  <c r="AK95" i="2" s="1"/>
  <c r="N95" i="2"/>
  <c r="AL95" i="2" s="1"/>
  <c r="AL87" i="2"/>
  <c r="R103" i="2"/>
  <c r="AM95" i="2"/>
  <c r="AN103" i="2"/>
  <c r="AN91" i="2"/>
  <c r="V95" i="2"/>
  <c r="AN95" i="2" s="1"/>
  <c r="AN38" i="2" l="1"/>
  <c r="AM38" i="2"/>
  <c r="AL38" i="2"/>
  <c r="AK38" i="2"/>
  <c r="AJ38" i="2"/>
  <c r="F36" i="2" l="1"/>
  <c r="AJ36" i="2" s="1"/>
  <c r="F34" i="2"/>
  <c r="AJ34" i="2" s="1"/>
  <c r="F32" i="2"/>
  <c r="AJ32" i="2" s="1"/>
  <c r="F31" i="2"/>
  <c r="AJ31" i="2" s="1"/>
  <c r="F30" i="2"/>
  <c r="AJ30" i="2" s="1"/>
  <c r="F29" i="2"/>
  <c r="AJ29" i="2" s="1"/>
  <c r="F27" i="2"/>
  <c r="AJ27" i="2" s="1"/>
  <c r="F26" i="2"/>
  <c r="AJ26" i="2" s="1"/>
  <c r="F24" i="2"/>
  <c r="AJ24" i="2" s="1"/>
  <c r="J36" i="2"/>
  <c r="AK36" i="2" s="1"/>
  <c r="J34" i="2"/>
  <c r="AK34" i="2" s="1"/>
  <c r="J32" i="2"/>
  <c r="AK32" i="2" s="1"/>
  <c r="J31" i="2"/>
  <c r="AK31" i="2" s="1"/>
  <c r="J30" i="2"/>
  <c r="AK30" i="2" s="1"/>
  <c r="J29" i="2"/>
  <c r="AK29" i="2" s="1"/>
  <c r="J27" i="2"/>
  <c r="AK27" i="2" s="1"/>
  <c r="J26" i="2"/>
  <c r="AK26" i="2" s="1"/>
  <c r="J24" i="2"/>
  <c r="AK24" i="2" s="1"/>
  <c r="N36" i="2"/>
  <c r="AL36" i="2" s="1"/>
  <c r="N34" i="2"/>
  <c r="AL34" i="2" s="1"/>
  <c r="N32" i="2"/>
  <c r="AL32" i="2" s="1"/>
  <c r="N31" i="2"/>
  <c r="AL31" i="2" s="1"/>
  <c r="N30" i="2"/>
  <c r="AL30" i="2" s="1"/>
  <c r="N29" i="2"/>
  <c r="AL29" i="2" s="1"/>
  <c r="N27" i="2"/>
  <c r="AL27" i="2" s="1"/>
  <c r="N26" i="2"/>
  <c r="AL26" i="2" s="1"/>
  <c r="N24" i="2"/>
  <c r="AL24" i="2" s="1"/>
  <c r="V36" i="2"/>
  <c r="AN36" i="2" s="1"/>
  <c r="V34" i="2"/>
  <c r="AN34" i="2" s="1"/>
  <c r="V32" i="2"/>
  <c r="AN32" i="2" s="1"/>
  <c r="V31" i="2"/>
  <c r="AN31" i="2" s="1"/>
  <c r="V30" i="2"/>
  <c r="AN30" i="2" s="1"/>
  <c r="V29" i="2"/>
  <c r="AN29" i="2" s="1"/>
  <c r="V27" i="2"/>
  <c r="AN27" i="2" s="1"/>
  <c r="V26" i="2"/>
  <c r="AN26" i="2" s="1"/>
  <c r="V24" i="2"/>
  <c r="AN24" i="2" s="1"/>
  <c r="R36" i="2"/>
  <c r="AM36" i="2" s="1"/>
  <c r="R34" i="2"/>
  <c r="AM34" i="2" s="1"/>
  <c r="R32" i="2"/>
  <c r="AM32" i="2" s="1"/>
  <c r="R31" i="2"/>
  <c r="AM31" i="2" s="1"/>
  <c r="R30" i="2"/>
  <c r="AM30" i="2" s="1"/>
  <c r="R29" i="2"/>
  <c r="AM29" i="2" s="1"/>
  <c r="R27" i="2"/>
  <c r="AM27" i="2" s="1"/>
  <c r="R26" i="2"/>
  <c r="AM26" i="2" s="1"/>
  <c r="R24" i="2"/>
  <c r="AM24" i="2" s="1"/>
  <c r="J4" i="2"/>
  <c r="J3" i="2"/>
  <c r="N4" i="2"/>
  <c r="N3" i="2"/>
  <c r="J14" i="2"/>
  <c r="J13" i="2"/>
  <c r="U10" i="2"/>
  <c r="T10" i="2"/>
  <c r="S10" i="2"/>
  <c r="Q10" i="2"/>
  <c r="P10" i="2"/>
  <c r="O10" i="2"/>
  <c r="M10" i="2"/>
  <c r="L10" i="2"/>
  <c r="K10" i="2"/>
  <c r="I10" i="2"/>
  <c r="H10" i="2"/>
  <c r="G10" i="2"/>
  <c r="U9" i="2"/>
  <c r="T9" i="2"/>
  <c r="S9" i="2"/>
  <c r="Q9" i="2"/>
  <c r="P9" i="2"/>
  <c r="O9" i="2"/>
  <c r="M9" i="2"/>
  <c r="L9" i="2"/>
  <c r="K9" i="2"/>
  <c r="I9" i="2"/>
  <c r="H9" i="2"/>
  <c r="G9" i="2"/>
  <c r="U20" i="2"/>
  <c r="T20" i="2"/>
  <c r="S20" i="2"/>
  <c r="Q20" i="2"/>
  <c r="P20" i="2"/>
  <c r="O20" i="2"/>
  <c r="M20" i="2"/>
  <c r="L20" i="2"/>
  <c r="K20" i="2"/>
  <c r="I20" i="2"/>
  <c r="H20" i="2"/>
  <c r="G20" i="2"/>
  <c r="U19" i="2"/>
  <c r="T19" i="2"/>
  <c r="S19" i="2"/>
  <c r="Q19" i="2"/>
  <c r="P19" i="2"/>
  <c r="O19" i="2"/>
  <c r="M19" i="2"/>
  <c r="L19" i="2"/>
  <c r="K19" i="2"/>
  <c r="I19" i="2"/>
  <c r="H19" i="2"/>
  <c r="G19" i="2"/>
  <c r="R14" i="2"/>
  <c r="R13" i="2"/>
  <c r="F14" i="2"/>
  <c r="F13" i="2"/>
  <c r="F4" i="2"/>
  <c r="F3" i="2"/>
  <c r="N14" i="2"/>
  <c r="N13" i="2"/>
  <c r="M15" i="2"/>
  <c r="I5" i="2"/>
  <c r="L5" i="2"/>
  <c r="L15" i="2"/>
  <c r="H15" i="2"/>
  <c r="H5" i="2"/>
  <c r="V14" i="2"/>
  <c r="V13" i="2"/>
  <c r="V4" i="2"/>
  <c r="V3" i="2"/>
  <c r="R4" i="2"/>
  <c r="R3" i="2"/>
  <c r="P5" i="2"/>
  <c r="T5" i="2"/>
  <c r="O15" i="2"/>
  <c r="S15" i="2"/>
  <c r="U15" i="2"/>
  <c r="T15" i="2"/>
  <c r="Q15" i="2"/>
  <c r="P15" i="2"/>
  <c r="K15" i="2"/>
  <c r="I15" i="2"/>
  <c r="G15" i="2"/>
  <c r="E15" i="2"/>
  <c r="D15" i="2"/>
  <c r="C15" i="2"/>
  <c r="U5" i="2"/>
  <c r="Q5" i="2"/>
  <c r="O5" i="2"/>
  <c r="M5" i="2"/>
  <c r="K5" i="2"/>
  <c r="G5" i="2"/>
  <c r="E5" i="2"/>
  <c r="D5" i="2"/>
  <c r="C5" i="2"/>
  <c r="S5" i="2"/>
  <c r="K18" i="2" l="1"/>
  <c r="K17" i="2"/>
  <c r="AM3" i="2"/>
  <c r="C8" i="2"/>
  <c r="C7" i="2"/>
  <c r="U8" i="2"/>
  <c r="U7" i="2"/>
  <c r="Q23" i="2"/>
  <c r="Q25" i="2" s="1"/>
  <c r="Q18" i="2"/>
  <c r="Q17" i="2"/>
  <c r="AM4" i="2"/>
  <c r="L7" i="2"/>
  <c r="L8" i="2"/>
  <c r="AJ14" i="2"/>
  <c r="AK20" i="2" s="1"/>
  <c r="H23" i="2"/>
  <c r="H25" i="2" s="1"/>
  <c r="H17" i="2"/>
  <c r="H18" i="2"/>
  <c r="L18" i="2"/>
  <c r="L17" i="2"/>
  <c r="AK3" i="2"/>
  <c r="AL9" i="2" s="1"/>
  <c r="T18" i="2"/>
  <c r="T17" i="2"/>
  <c r="I7" i="2"/>
  <c r="I8" i="2"/>
  <c r="R17" i="2"/>
  <c r="AL4" i="2"/>
  <c r="AM10" i="2" s="1"/>
  <c r="AJ13" i="2"/>
  <c r="M18" i="2"/>
  <c r="M17" i="2"/>
  <c r="R18" i="2"/>
  <c r="O8" i="2"/>
  <c r="O7" i="2"/>
  <c r="P21" i="2"/>
  <c r="P18" i="2"/>
  <c r="P17" i="2"/>
  <c r="U18" i="2"/>
  <c r="U17" i="2"/>
  <c r="G8" i="2"/>
  <c r="G7" i="2"/>
  <c r="E23" i="2"/>
  <c r="E25" i="2" s="1"/>
  <c r="E18" i="2"/>
  <c r="E17" i="2"/>
  <c r="S18" i="2"/>
  <c r="S17" i="2"/>
  <c r="AN13" i="2"/>
  <c r="AL13" i="2"/>
  <c r="AL19" i="2" s="1"/>
  <c r="AK13" i="2"/>
  <c r="AJ4" i="2"/>
  <c r="S7" i="2"/>
  <c r="S8" i="2"/>
  <c r="C18" i="2"/>
  <c r="C17" i="2"/>
  <c r="E8" i="2"/>
  <c r="E7" i="2"/>
  <c r="K7" i="2"/>
  <c r="K8" i="2"/>
  <c r="G18" i="2"/>
  <c r="G17" i="2"/>
  <c r="O18" i="2"/>
  <c r="O17" i="2"/>
  <c r="AN14" i="2"/>
  <c r="AL14" i="2"/>
  <c r="AL20" i="2" s="1"/>
  <c r="AK14" i="2"/>
  <c r="J18" i="2"/>
  <c r="P11" i="2"/>
  <c r="P7" i="2"/>
  <c r="P8" i="2"/>
  <c r="Q7" i="2"/>
  <c r="Q8" i="2"/>
  <c r="D7" i="2"/>
  <c r="D8" i="2"/>
  <c r="D23" i="2"/>
  <c r="D25" i="2" s="1"/>
  <c r="D28" i="2" s="1"/>
  <c r="D18" i="2"/>
  <c r="D17" i="2"/>
  <c r="M7" i="2"/>
  <c r="M8" i="2"/>
  <c r="I17" i="2"/>
  <c r="I18" i="2"/>
  <c r="T7" i="2"/>
  <c r="T8" i="2"/>
  <c r="H7" i="2"/>
  <c r="H8" i="2"/>
  <c r="AJ3" i="2"/>
  <c r="AL3" i="2"/>
  <c r="AM9" i="2" s="1"/>
  <c r="H28" i="2"/>
  <c r="H41" i="2"/>
  <c r="Q28" i="2"/>
  <c r="Q41" i="2"/>
  <c r="E28" i="2"/>
  <c r="E41" i="2"/>
  <c r="T21" i="2"/>
  <c r="U21" i="2"/>
  <c r="M21" i="2"/>
  <c r="O11" i="2"/>
  <c r="K21" i="2"/>
  <c r="L21" i="2"/>
  <c r="J5" i="2"/>
  <c r="AK5" i="2" s="1"/>
  <c r="AK4" i="2"/>
  <c r="AK10" i="2" s="1"/>
  <c r="R19" i="2"/>
  <c r="AM13" i="2"/>
  <c r="V10" i="2"/>
  <c r="AN4" i="2"/>
  <c r="AN10" i="2" s="1"/>
  <c r="R20" i="2"/>
  <c r="AM14" i="2"/>
  <c r="AM20" i="2" s="1"/>
  <c r="S21" i="2"/>
  <c r="AK19" i="2"/>
  <c r="L23" i="2"/>
  <c r="L25" i="2" s="1"/>
  <c r="C23" i="2"/>
  <c r="V9" i="2"/>
  <c r="AN3" i="2"/>
  <c r="AN9" i="2" s="1"/>
  <c r="K23" i="2"/>
  <c r="G11" i="2"/>
  <c r="G23" i="2"/>
  <c r="O23" i="2"/>
  <c r="T11" i="2"/>
  <c r="S11" i="2"/>
  <c r="S23" i="2"/>
  <c r="M23" i="2"/>
  <c r="M25" i="2" s="1"/>
  <c r="U23" i="2"/>
  <c r="U25" i="2" s="1"/>
  <c r="M11" i="2"/>
  <c r="I21" i="2"/>
  <c r="H11" i="2"/>
  <c r="N19" i="2"/>
  <c r="T23" i="2"/>
  <c r="T25" i="2" s="1"/>
  <c r="P23" i="2"/>
  <c r="P25" i="2" s="1"/>
  <c r="U11" i="2"/>
  <c r="I23" i="2"/>
  <c r="I25" i="2" s="1"/>
  <c r="V19" i="2"/>
  <c r="K11" i="2"/>
  <c r="G21" i="2"/>
  <c r="O21" i="2"/>
  <c r="V20" i="2"/>
  <c r="H21" i="2"/>
  <c r="Q11" i="2"/>
  <c r="Q21" i="2"/>
  <c r="L11" i="2"/>
  <c r="I11" i="2"/>
  <c r="N20" i="2"/>
  <c r="R10" i="2"/>
  <c r="N5" i="2"/>
  <c r="AL5" i="2" s="1"/>
  <c r="N10" i="2"/>
  <c r="R9" i="2"/>
  <c r="N9" i="2"/>
  <c r="J10" i="2"/>
  <c r="J9" i="2"/>
  <c r="J20" i="2"/>
  <c r="J15" i="2"/>
  <c r="J23" i="2" s="1"/>
  <c r="J25" i="2" s="1"/>
  <c r="J19" i="2"/>
  <c r="F15" i="2"/>
  <c r="F23" i="2" s="1"/>
  <c r="F25" i="2" s="1"/>
  <c r="F5" i="2"/>
  <c r="AJ5" i="2" s="1"/>
  <c r="N15" i="2"/>
  <c r="N23" i="2" s="1"/>
  <c r="N25" i="2" s="1"/>
  <c r="V15" i="2"/>
  <c r="V23" i="2" s="1"/>
  <c r="V25" i="2" s="1"/>
  <c r="V5" i="2"/>
  <c r="AN5" i="2" s="1"/>
  <c r="R15" i="2"/>
  <c r="R23" i="2" s="1"/>
  <c r="R25" i="2" s="1"/>
  <c r="R5" i="2"/>
  <c r="AM5" i="2" s="1"/>
  <c r="AK9" i="2" l="1"/>
  <c r="V17" i="2"/>
  <c r="D41" i="2"/>
  <c r="N7" i="2"/>
  <c r="N18" i="2"/>
  <c r="F8" i="2"/>
  <c r="R8" i="2"/>
  <c r="V8" i="2"/>
  <c r="V7" i="2"/>
  <c r="R7" i="2"/>
  <c r="F7" i="2"/>
  <c r="V18" i="2"/>
  <c r="J17" i="2"/>
  <c r="F17" i="2"/>
  <c r="AM19" i="2"/>
  <c r="J8" i="2"/>
  <c r="N17" i="2"/>
  <c r="N8" i="2"/>
  <c r="J7" i="2"/>
  <c r="F18" i="2"/>
  <c r="AL10" i="2"/>
  <c r="R28" i="2"/>
  <c r="R41" i="2"/>
  <c r="D33" i="2"/>
  <c r="D35" i="2" s="1"/>
  <c r="D75" i="2" s="1"/>
  <c r="D85" i="2" s="1"/>
  <c r="D43" i="2"/>
  <c r="I28" i="2"/>
  <c r="I41" i="2"/>
  <c r="I42" i="2" s="1"/>
  <c r="N28" i="2"/>
  <c r="N41" i="2"/>
  <c r="U28" i="2"/>
  <c r="U41" i="2"/>
  <c r="U42" i="2" s="1"/>
  <c r="L28" i="2"/>
  <c r="L41" i="2"/>
  <c r="L42" i="2" s="1"/>
  <c r="M28" i="2"/>
  <c r="M41" i="2"/>
  <c r="Q33" i="2"/>
  <c r="Q35" i="2" s="1"/>
  <c r="Q75" i="2" s="1"/>
  <c r="Q85" i="2" s="1"/>
  <c r="Q43" i="2"/>
  <c r="V28" i="2"/>
  <c r="V41" i="2"/>
  <c r="E33" i="2"/>
  <c r="E35" i="2" s="1"/>
  <c r="E75" i="2" s="1"/>
  <c r="E85" i="2" s="1"/>
  <c r="E43" i="2"/>
  <c r="F28" i="2"/>
  <c r="F41" i="2"/>
  <c r="P28" i="2"/>
  <c r="P41" i="2"/>
  <c r="H42" i="2"/>
  <c r="J28" i="2"/>
  <c r="J41" i="2"/>
  <c r="T28" i="2"/>
  <c r="T41" i="2"/>
  <c r="H33" i="2"/>
  <c r="H35" i="2" s="1"/>
  <c r="H75" i="2" s="1"/>
  <c r="H85" i="2" s="1"/>
  <c r="H43" i="2"/>
  <c r="H44" i="2" s="1"/>
  <c r="AN20" i="2"/>
  <c r="AM11" i="2"/>
  <c r="AN19" i="2"/>
  <c r="AN11" i="2"/>
  <c r="AJ15" i="2"/>
  <c r="AN15" i="2"/>
  <c r="AK11" i="2"/>
  <c r="AN21" i="2"/>
  <c r="G25" i="2"/>
  <c r="G41" i="2" s="1"/>
  <c r="AK23" i="2"/>
  <c r="O25" i="2"/>
  <c r="O41" i="2" s="1"/>
  <c r="AM23" i="2"/>
  <c r="AK15" i="2"/>
  <c r="C25" i="2"/>
  <c r="C41" i="2" s="1"/>
  <c r="AJ23" i="2"/>
  <c r="K25" i="2"/>
  <c r="K41" i="2" s="1"/>
  <c r="AL23" i="2"/>
  <c r="AL11" i="2"/>
  <c r="S25" i="2"/>
  <c r="S41" i="2" s="1"/>
  <c r="S42" i="2" s="1"/>
  <c r="AN23" i="2"/>
  <c r="AL15" i="2"/>
  <c r="AM15" i="2"/>
  <c r="R11" i="2"/>
  <c r="V21" i="2"/>
  <c r="N21" i="2"/>
  <c r="R21" i="2"/>
  <c r="V11" i="2"/>
  <c r="N11" i="2"/>
  <c r="J11" i="2"/>
  <c r="J21" i="2"/>
  <c r="AL21" i="2" l="1"/>
  <c r="M42" i="2"/>
  <c r="Q106" i="2"/>
  <c r="Q108" i="2" s="1"/>
  <c r="Q110" i="2" s="1"/>
  <c r="E106" i="2"/>
  <c r="E108" i="2" s="1"/>
  <c r="E110" i="2" s="1"/>
  <c r="H106" i="2"/>
  <c r="H108" i="2" s="1"/>
  <c r="H110" i="2" s="1"/>
  <c r="D106" i="2"/>
  <c r="D108" i="2" s="1"/>
  <c r="D110" i="2" s="1"/>
  <c r="T42" i="2"/>
  <c r="J42" i="2"/>
  <c r="K42" i="2"/>
  <c r="R42" i="2"/>
  <c r="AK21" i="2"/>
  <c r="Q37" i="2"/>
  <c r="Q45" i="2"/>
  <c r="H37" i="2"/>
  <c r="H45" i="2"/>
  <c r="Q42" i="2"/>
  <c r="P33" i="2"/>
  <c r="P35" i="2" s="1"/>
  <c r="P75" i="2" s="1"/>
  <c r="P85" i="2" s="1"/>
  <c r="P43" i="2"/>
  <c r="N33" i="2"/>
  <c r="N35" i="2" s="1"/>
  <c r="N75" i="2" s="1"/>
  <c r="N85" i="2" s="1"/>
  <c r="N43" i="2"/>
  <c r="F33" i="2"/>
  <c r="F35" i="2" s="1"/>
  <c r="F75" i="2" s="1"/>
  <c r="F85" i="2" s="1"/>
  <c r="F43" i="2"/>
  <c r="M33" i="2"/>
  <c r="M35" i="2" s="1"/>
  <c r="M75" i="2" s="1"/>
  <c r="M85" i="2" s="1"/>
  <c r="M43" i="2"/>
  <c r="L33" i="2"/>
  <c r="L35" i="2" s="1"/>
  <c r="L75" i="2" s="1"/>
  <c r="L85" i="2" s="1"/>
  <c r="L43" i="2"/>
  <c r="L44" i="2" s="1"/>
  <c r="O42" i="2"/>
  <c r="J33" i="2"/>
  <c r="J35" i="2" s="1"/>
  <c r="J75" i="2" s="1"/>
  <c r="J85" i="2" s="1"/>
  <c r="J43" i="2"/>
  <c r="V42" i="2"/>
  <c r="D37" i="2"/>
  <c r="D45" i="2"/>
  <c r="T33" i="2"/>
  <c r="T35" i="2" s="1"/>
  <c r="T75" i="2" s="1"/>
  <c r="T85" i="2" s="1"/>
  <c r="T43" i="2"/>
  <c r="T44" i="2" s="1"/>
  <c r="I33" i="2"/>
  <c r="I35" i="2" s="1"/>
  <c r="I75" i="2" s="1"/>
  <c r="I85" i="2" s="1"/>
  <c r="I43" i="2"/>
  <c r="I44" i="2" s="1"/>
  <c r="V33" i="2"/>
  <c r="V35" i="2" s="1"/>
  <c r="V75" i="2" s="1"/>
  <c r="V85" i="2" s="1"/>
  <c r="V43" i="2"/>
  <c r="U33" i="2"/>
  <c r="U35" i="2" s="1"/>
  <c r="U75" i="2" s="1"/>
  <c r="U85" i="2" s="1"/>
  <c r="U43" i="2"/>
  <c r="U44" i="2" s="1"/>
  <c r="E37" i="2"/>
  <c r="E45" i="2"/>
  <c r="G42" i="2"/>
  <c r="P42" i="2"/>
  <c r="N42" i="2"/>
  <c r="R33" i="2"/>
  <c r="R35" i="2" s="1"/>
  <c r="R75" i="2" s="1"/>
  <c r="R85" i="2" s="1"/>
  <c r="R43" i="2"/>
  <c r="AM21" i="2"/>
  <c r="C28" i="2"/>
  <c r="C43" i="2" s="1"/>
  <c r="AJ25" i="2"/>
  <c r="AJ41" i="2" s="1"/>
  <c r="K28" i="2"/>
  <c r="K43" i="2" s="1"/>
  <c r="AL25" i="2"/>
  <c r="AL41" i="2" s="1"/>
  <c r="O28" i="2"/>
  <c r="O43" i="2" s="1"/>
  <c r="AM25" i="2"/>
  <c r="AM41" i="2" s="1"/>
  <c r="S28" i="2"/>
  <c r="S43" i="2" s="1"/>
  <c r="AN25" i="2"/>
  <c r="AN41" i="2" s="1"/>
  <c r="G28" i="2"/>
  <c r="G43" i="2" s="1"/>
  <c r="G44" i="2" s="1"/>
  <c r="AK25" i="2"/>
  <c r="AK41" i="2" s="1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O44" i="2" l="1"/>
  <c r="V106" i="2"/>
  <c r="V108" i="2" s="1"/>
  <c r="V110" i="2" s="1"/>
  <c r="F106" i="2"/>
  <c r="F108" i="2" s="1"/>
  <c r="F110" i="2" s="1"/>
  <c r="J106" i="2"/>
  <c r="J108" i="2" s="1"/>
  <c r="J110" i="2" s="1"/>
  <c r="R106" i="2"/>
  <c r="R108" i="2" s="1"/>
  <c r="R110" i="2" s="1"/>
  <c r="T106" i="2"/>
  <c r="T108" i="2" s="1"/>
  <c r="T110" i="2" s="1"/>
  <c r="P106" i="2"/>
  <c r="P108" i="2" s="1"/>
  <c r="P110" i="2" s="1"/>
  <c r="N106" i="2"/>
  <c r="N108" i="2" s="1"/>
  <c r="N110" i="2" s="1"/>
  <c r="L106" i="2"/>
  <c r="L108" i="2" s="1"/>
  <c r="L110" i="2" s="1"/>
  <c r="I106" i="2"/>
  <c r="I108" i="2" s="1"/>
  <c r="I110" i="2" s="1"/>
  <c r="U106" i="2"/>
  <c r="U108" i="2" s="1"/>
  <c r="U110" i="2" s="1"/>
  <c r="M106" i="2"/>
  <c r="M108" i="2" s="1"/>
  <c r="M110" i="2" s="1"/>
  <c r="Q39" i="2"/>
  <c r="H39" i="2"/>
  <c r="E39" i="2"/>
  <c r="D39" i="2"/>
  <c r="J44" i="2"/>
  <c r="AK42" i="2"/>
  <c r="P44" i="2"/>
  <c r="M44" i="2"/>
  <c r="S44" i="2"/>
  <c r="R44" i="2"/>
  <c r="N37" i="2"/>
  <c r="N45" i="2"/>
  <c r="T37" i="2"/>
  <c r="T45" i="2"/>
  <c r="L37" i="2"/>
  <c r="L45" i="2"/>
  <c r="L46" i="2" s="1"/>
  <c r="P37" i="2"/>
  <c r="P45" i="2"/>
  <c r="M37" i="2"/>
  <c r="M45" i="2"/>
  <c r="Q46" i="2" s="1"/>
  <c r="H46" i="2"/>
  <c r="R37" i="2"/>
  <c r="R45" i="2"/>
  <c r="V44" i="2"/>
  <c r="I37" i="2"/>
  <c r="I45" i="2"/>
  <c r="I46" i="2" s="1"/>
  <c r="U37" i="2"/>
  <c r="U45" i="2"/>
  <c r="U46" i="2" s="1"/>
  <c r="AL42" i="2"/>
  <c r="Q44" i="2"/>
  <c r="V37" i="2"/>
  <c r="V45" i="2"/>
  <c r="V46" i="2" s="1"/>
  <c r="F45" i="2"/>
  <c r="F37" i="2"/>
  <c r="K44" i="2"/>
  <c r="J37" i="2"/>
  <c r="J45" i="2"/>
  <c r="N44" i="2"/>
  <c r="AM42" i="2"/>
  <c r="AN42" i="2"/>
  <c r="G33" i="2"/>
  <c r="AK28" i="2"/>
  <c r="AK43" i="2" s="1"/>
  <c r="O33" i="2"/>
  <c r="AM28" i="2"/>
  <c r="AM43" i="2" s="1"/>
  <c r="C33" i="2"/>
  <c r="AJ28" i="2"/>
  <c r="AJ43" i="2" s="1"/>
  <c r="S33" i="2"/>
  <c r="AN28" i="2"/>
  <c r="AN43" i="2" s="1"/>
  <c r="K33" i="2"/>
  <c r="AL28" i="2"/>
  <c r="AL43" i="2" s="1"/>
  <c r="C7" i="1"/>
  <c r="C6" i="1"/>
  <c r="C5" i="1"/>
  <c r="C8" i="1" l="1"/>
  <c r="P46" i="2"/>
  <c r="F39" i="2"/>
  <c r="U39" i="2"/>
  <c r="I39" i="2"/>
  <c r="J39" i="2"/>
  <c r="M39" i="2"/>
  <c r="N39" i="2"/>
  <c r="P39" i="2"/>
  <c r="V39" i="2"/>
  <c r="R39" i="2"/>
  <c r="L39" i="2"/>
  <c r="T39" i="2"/>
  <c r="AL44" i="2"/>
  <c r="R46" i="2"/>
  <c r="J46" i="2"/>
  <c r="T46" i="2"/>
  <c r="M46" i="2"/>
  <c r="N46" i="2"/>
  <c r="AK44" i="2"/>
  <c r="AM44" i="2"/>
  <c r="AN44" i="2"/>
  <c r="K35" i="2"/>
  <c r="AL33" i="2"/>
  <c r="G35" i="2"/>
  <c r="AK33" i="2"/>
  <c r="S35" i="2"/>
  <c r="AN33" i="2"/>
  <c r="C35" i="2"/>
  <c r="AJ33" i="2"/>
  <c r="O35" i="2"/>
  <c r="AM33" i="2"/>
  <c r="O45" i="2" l="1"/>
  <c r="O75" i="2"/>
  <c r="O85" i="2" s="1"/>
  <c r="C45" i="2"/>
  <c r="C75" i="2"/>
  <c r="C85" i="2" s="1"/>
  <c r="K45" i="2"/>
  <c r="K75" i="2"/>
  <c r="K85" i="2" s="1"/>
  <c r="G45" i="2"/>
  <c r="G46" i="2" s="1"/>
  <c r="G75" i="2"/>
  <c r="G85" i="2" s="1"/>
  <c r="S45" i="2"/>
  <c r="S75" i="2"/>
  <c r="S85" i="2" s="1"/>
  <c r="S46" i="2"/>
  <c r="K37" i="2"/>
  <c r="AL35" i="2"/>
  <c r="AL45" i="2" s="1"/>
  <c r="O37" i="2"/>
  <c r="AM75" i="2" s="1"/>
  <c r="AM35" i="2"/>
  <c r="AM45" i="2" s="1"/>
  <c r="C37" i="2"/>
  <c r="AJ35" i="2"/>
  <c r="AJ45" i="2" s="1"/>
  <c r="S37" i="2"/>
  <c r="AN75" i="2" s="1"/>
  <c r="AN35" i="2"/>
  <c r="AN45" i="2" s="1"/>
  <c r="G37" i="2"/>
  <c r="AK35" i="2"/>
  <c r="AK45" i="2" s="1"/>
  <c r="AK75" i="2" l="1"/>
  <c r="K46" i="2"/>
  <c r="AL75" i="2"/>
  <c r="AK85" i="2"/>
  <c r="G106" i="2"/>
  <c r="AJ85" i="2"/>
  <c r="C106" i="2"/>
  <c r="AL85" i="2"/>
  <c r="K106" i="2"/>
  <c r="AJ75" i="2"/>
  <c r="S106" i="2"/>
  <c r="AN85" i="2"/>
  <c r="O106" i="2"/>
  <c r="AM85" i="2"/>
  <c r="O46" i="2"/>
  <c r="AK46" i="2"/>
  <c r="AL46" i="2"/>
  <c r="AN46" i="2"/>
  <c r="AM46" i="2"/>
  <c r="K39" i="2"/>
  <c r="AL39" i="2" s="1"/>
  <c r="AL37" i="2"/>
  <c r="C39" i="2"/>
  <c r="AJ39" i="2" s="1"/>
  <c r="AJ37" i="2"/>
  <c r="AK37" i="2"/>
  <c r="G39" i="2"/>
  <c r="AK39" i="2" s="1"/>
  <c r="O39" i="2"/>
  <c r="AM39" i="2" s="1"/>
  <c r="AM37" i="2"/>
  <c r="S39" i="2"/>
  <c r="AN39" i="2" s="1"/>
  <c r="AN37" i="2"/>
  <c r="O108" i="2" l="1"/>
  <c r="AM106" i="2"/>
  <c r="C108" i="2"/>
  <c r="AJ106" i="2"/>
  <c r="S108" i="2"/>
  <c r="AN106" i="2"/>
  <c r="AK106" i="2"/>
  <c r="G108" i="2"/>
  <c r="K108" i="2"/>
  <c r="AL106" i="2"/>
  <c r="O110" i="2" l="1"/>
  <c r="AM110" i="2" s="1"/>
  <c r="AM108" i="2"/>
  <c r="K110" i="2"/>
  <c r="AL110" i="2" s="1"/>
  <c r="AL108" i="2"/>
  <c r="AK108" i="2"/>
  <c r="G110" i="2"/>
  <c r="AK110" i="2" s="1"/>
  <c r="S110" i="2"/>
  <c r="AN110" i="2" s="1"/>
  <c r="AN108" i="2"/>
  <c r="C110" i="2"/>
  <c r="AJ110" i="2" s="1"/>
  <c r="AJ108" i="2"/>
</calcChain>
</file>

<file path=xl/sharedStrings.xml><?xml version="1.0" encoding="utf-8"?>
<sst xmlns="http://schemas.openxmlformats.org/spreadsheetml/2006/main" count="227" uniqueCount="185">
  <si>
    <t>KO</t>
  </si>
  <si>
    <t>Price</t>
  </si>
  <si>
    <t>Shares</t>
  </si>
  <si>
    <t>MC</t>
  </si>
  <si>
    <t>Cash</t>
  </si>
  <si>
    <t>Debt</t>
  </si>
  <si>
    <t>EV</t>
  </si>
  <si>
    <t>Company Overview:</t>
  </si>
  <si>
    <t>Coca-Cola Co.</t>
  </si>
  <si>
    <t>Q1'25</t>
  </si>
  <si>
    <t>Founded: 1886</t>
  </si>
  <si>
    <t>Current CEO: James Robert Quincy</t>
  </si>
  <si>
    <t>Employees: 69700</t>
  </si>
  <si>
    <r>
      <t xml:space="preserve">The Coca-Cola Company, a beverage company, </t>
    </r>
    <r>
      <rPr>
        <b/>
        <sz val="11"/>
        <color theme="1"/>
        <rFont val="Calibre"/>
      </rPr>
      <t>manufactures, markets, and sells various nonalcoholic beverages</t>
    </r>
    <r>
      <rPr>
        <sz val="11"/>
        <color theme="1"/>
        <rFont val="Calibre"/>
      </rPr>
      <t xml:space="preserve"> worldwide.</t>
    </r>
  </si>
  <si>
    <r>
      <t xml:space="preserve">It also offers </t>
    </r>
    <r>
      <rPr>
        <b/>
        <sz val="11"/>
        <color theme="1"/>
        <rFont val="Calibre"/>
      </rPr>
      <t>beverage concentrates and syrups</t>
    </r>
    <r>
      <rPr>
        <sz val="11"/>
        <color theme="1"/>
        <rFont val="Calibre"/>
      </rPr>
      <t xml:space="preserve">, as well as </t>
    </r>
    <r>
      <rPr>
        <b/>
        <sz val="11"/>
        <color theme="1"/>
        <rFont val="Calibre"/>
      </rPr>
      <t>fountain syrups to fountain retailers</t>
    </r>
    <r>
      <rPr>
        <sz val="11"/>
        <color theme="1"/>
        <rFont val="Calibre"/>
      </rPr>
      <t>, such as restaurants and convenience stores.</t>
    </r>
  </si>
  <si>
    <r>
      <t>It</t>
    </r>
    <r>
      <rPr>
        <b/>
        <sz val="11"/>
        <color theme="1"/>
        <rFont val="Calibre"/>
      </rPr>
      <t xml:space="preserve"> operates through a network of </t>
    </r>
    <r>
      <rPr>
        <sz val="11"/>
        <color theme="1"/>
        <rFont val="Calibre"/>
      </rPr>
      <t xml:space="preserve">independent bottling partners, distributors, wholesalers, and retailers, as well as through </t>
    </r>
    <r>
      <rPr>
        <b/>
        <sz val="11"/>
        <color theme="1"/>
        <rFont val="Calibre"/>
      </rPr>
      <t>bottling and distribution operators</t>
    </r>
    <r>
      <rPr>
        <sz val="11"/>
        <color theme="1"/>
        <rFont val="Calibre"/>
      </rPr>
      <t>.</t>
    </r>
  </si>
  <si>
    <t>Product Lines:</t>
  </si>
  <si>
    <t>Quarterly</t>
  </si>
  <si>
    <t>Revenues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</si>
  <si>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</si>
  <si>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</si>
  <si>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</si>
  <si>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</si>
  <si>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</si>
  <si>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</si>
  <si>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</si>
  <si>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</si>
  <si>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</si>
  <si>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</si>
  <si>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</si>
  <si>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</si>
  <si>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</si>
  <si>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</si>
  <si>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</si>
  <si>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</si>
  <si>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</si>
  <si>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</si>
  <si>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</si>
  <si>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</si>
  <si>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Q2'25</t>
  </si>
  <si>
    <t>Q3'25</t>
  </si>
  <si>
    <t>Q4'25</t>
  </si>
  <si>
    <t>Q1'26</t>
  </si>
  <si>
    <t>Q2'26</t>
  </si>
  <si>
    <t>Q3'26</t>
  </si>
  <si>
    <t>Q4'26</t>
  </si>
  <si>
    <t>Concentrate Operations</t>
  </si>
  <si>
    <t>Finished Product Operations</t>
  </si>
  <si>
    <t>Ttl Revenues</t>
  </si>
  <si>
    <t>SG&amp;A</t>
  </si>
  <si>
    <t>U.S. Revenues</t>
  </si>
  <si>
    <t>International Revenues</t>
  </si>
  <si>
    <t>Concentrate Growth Y/y</t>
  </si>
  <si>
    <t>Finish Product Growth Y/y</t>
  </si>
  <si>
    <t>Ttl Revenue Growth Y/y</t>
  </si>
  <si>
    <t>U.S. Growth Y/y</t>
  </si>
  <si>
    <t>International Growth Y/y</t>
  </si>
  <si>
    <t>Dec</t>
  </si>
  <si>
    <t>Sep</t>
  </si>
  <si>
    <t>June</t>
  </si>
  <si>
    <t>Mar</t>
  </si>
  <si>
    <t>Other</t>
  </si>
  <si>
    <t>Operating Income</t>
  </si>
  <si>
    <t>Interest Income</t>
  </si>
  <si>
    <t>Equity Income (Loss), net</t>
  </si>
  <si>
    <t>Other Income (Loss), net</t>
  </si>
  <si>
    <t>Pretax Income</t>
  </si>
  <si>
    <t>Taxes</t>
  </si>
  <si>
    <t>Net Income</t>
  </si>
  <si>
    <t>Less Non-Controlling Interest</t>
  </si>
  <si>
    <t>C &amp; CE's</t>
  </si>
  <si>
    <t>ST Investments</t>
  </si>
  <si>
    <t>A/R, net</t>
  </si>
  <si>
    <t>Prepaid Expenses</t>
  </si>
  <si>
    <t>Marketable Securities</t>
  </si>
  <si>
    <t>Deffered Income Tax Assets</t>
  </si>
  <si>
    <t>PP&amp;E</t>
  </si>
  <si>
    <t>Trademarks</t>
  </si>
  <si>
    <t>Goodwill</t>
  </si>
  <si>
    <t>Other Noncurrent Assets</t>
  </si>
  <si>
    <t>Ttl Assets</t>
  </si>
  <si>
    <t>A/P</t>
  </si>
  <si>
    <t>Loans and Notes Payable</t>
  </si>
  <si>
    <t>Current Portions of LT Debt</t>
  </si>
  <si>
    <t>Accrued Income Taxes</t>
  </si>
  <si>
    <t>LT Debt</t>
  </si>
  <si>
    <t>Other Liabilities</t>
  </si>
  <si>
    <t>Deffered Income Tax Liabilities</t>
  </si>
  <si>
    <t>Ttl Liabilities</t>
  </si>
  <si>
    <t>EPS</t>
  </si>
  <si>
    <t>Interest Expenses</t>
  </si>
  <si>
    <t>The Company sells its products under the Coca-Cola, Diet Coke/Coca-Cola Light, Coca-Cola Zero Sugar, Fanta, Fresca, Schweppes, Sprite, Thums Up, Aquarius, Ciel, dogadan, Dasani, glacéau smartwater, glacéau vitaminwater, Ice Dew, I LOHAS, Powerade, Topo Chico, AdeS, Del Valle, fairlife, innocent, Minute Maid, Minute Maid Pulpy, Simply, Ayataka, BODYARMOR, Costa, FUZE TEA, Georgia, and Gold Peak brands.</t>
  </si>
  <si>
    <t>Profit Margin</t>
  </si>
  <si>
    <t>Operating Income Growth Y/y</t>
  </si>
  <si>
    <t>Profit Margin Growth Y/y</t>
  </si>
  <si>
    <t>Net Income Growth Y/y</t>
  </si>
  <si>
    <t>LT Equity Investment</t>
  </si>
  <si>
    <t>Other Investments</t>
  </si>
  <si>
    <t>Other Intangible</t>
  </si>
  <si>
    <t>SE</t>
  </si>
  <si>
    <t>L + SE</t>
  </si>
  <si>
    <t>NI</t>
  </si>
  <si>
    <t>OI</t>
  </si>
  <si>
    <t>COGS</t>
  </si>
  <si>
    <t>GP</t>
  </si>
  <si>
    <t>Ttl Rev</t>
  </si>
  <si>
    <t>NI to Coca Cola Co.</t>
  </si>
  <si>
    <t>Inv</t>
  </si>
  <si>
    <t>Dep. and Amm.</t>
  </si>
  <si>
    <t>SBC</t>
  </si>
  <si>
    <t>Deferred Taxes</t>
  </si>
  <si>
    <t>Equity (Income) Loss</t>
  </si>
  <si>
    <t>Currency Adj</t>
  </si>
  <si>
    <t>Significant (Gain) Loss</t>
  </si>
  <si>
    <t>Other Operating Charges</t>
  </si>
  <si>
    <t>Other Items</t>
  </si>
  <si>
    <t>Change in Operating Ass./Liab.</t>
  </si>
  <si>
    <t>Purchases of Investments</t>
  </si>
  <si>
    <t>Proceeds from Divestment</t>
  </si>
  <si>
    <t>Acquisition of Businesses</t>
  </si>
  <si>
    <t>Divestment from Businesses</t>
  </si>
  <si>
    <t>Purchases of PP&amp;E</t>
  </si>
  <si>
    <t>(Paid) Received from Hedging</t>
  </si>
  <si>
    <t>Other Investing Activities</t>
  </si>
  <si>
    <t>CFFO</t>
  </si>
  <si>
    <t>CFFI</t>
  </si>
  <si>
    <t>Issuance of Debt</t>
  </si>
  <si>
    <t>Payments of Loans</t>
  </si>
  <si>
    <t xml:space="preserve">Issuance of Stock </t>
  </si>
  <si>
    <t>Stock Repurchased</t>
  </si>
  <si>
    <t>Dividends</t>
  </si>
  <si>
    <t>Other Financing Activities</t>
  </si>
  <si>
    <t>Capex</t>
  </si>
  <si>
    <t>FCF</t>
  </si>
  <si>
    <t>SC</t>
  </si>
  <si>
    <t>FCF per Share</t>
  </si>
  <si>
    <t>CFA</t>
  </si>
  <si>
    <t>Effect of Exchange Rate</t>
  </si>
  <si>
    <t>Disposal of PP&amp;E</t>
  </si>
  <si>
    <t>The Company sells its products in two forms:</t>
  </si>
  <si>
    <t>List of franchised bottlers:</t>
  </si>
  <si>
    <t>The Company manufactures, markets, sells and distributes beverage syrups and concentrates which it sells to a network of bottlers to process further before distribution to end consumer points.</t>
  </si>
  <si>
    <t>Ticker:</t>
  </si>
  <si>
    <t>Liberty Coca-Cola Beverages</t>
  </si>
  <si>
    <t>Smaller Regional Operators</t>
  </si>
  <si>
    <t>CCEP</t>
  </si>
  <si>
    <t>KOF</t>
  </si>
  <si>
    <t>CCH.L</t>
  </si>
  <si>
    <t>AC.MX</t>
  </si>
  <si>
    <t>COKE</t>
  </si>
  <si>
    <t>AKO.A</t>
  </si>
  <si>
    <t>Private</t>
  </si>
  <si>
    <t>Europe, Australia, New Zealand, Indonesia, other</t>
  </si>
  <si>
    <t>Europe, Africa</t>
  </si>
  <si>
    <t>Largest independent bottler in the US, serving Southeast, Mid-Atlantic and Midwestern regions</t>
  </si>
  <si>
    <t>Lat Am: Mexico, Brazil, Columbia, Argentina, other</t>
  </si>
  <si>
    <t>Lat Am: Mexico, Ecuador, Peru, Argentina, and parts of the U.S. through Coca-Cola Southwest Beverages</t>
  </si>
  <si>
    <t>LatAm: Chile, Brazil, Argentina, Paraguay</t>
  </si>
  <si>
    <t>Significant US bottler</t>
  </si>
  <si>
    <t>Global</t>
  </si>
  <si>
    <t>Market(s):</t>
  </si>
  <si>
    <r>
      <rPr>
        <b/>
        <sz val="11"/>
        <color theme="1"/>
        <rFont val="Calibre"/>
      </rPr>
      <t>Coca-Cola Europacific</t>
    </r>
    <r>
      <rPr>
        <sz val="11"/>
        <color theme="1"/>
        <rFont val="Calibre"/>
      </rPr>
      <t xml:space="preserve"> (28% KO non-controlling stake)</t>
    </r>
  </si>
  <si>
    <r>
      <rPr>
        <b/>
        <sz val="11"/>
        <color theme="1"/>
        <rFont val="Calibre"/>
      </rPr>
      <t>Coca-Cola FEMSA</t>
    </r>
    <r>
      <rPr>
        <sz val="11"/>
        <color theme="1"/>
        <rFont val="Calibre"/>
      </rPr>
      <t xml:space="preserve"> (20% KO non-controlling stake)</t>
    </r>
  </si>
  <si>
    <r>
      <rPr>
        <b/>
        <sz val="11"/>
        <color theme="1"/>
        <rFont val="Calibre"/>
      </rPr>
      <t>Coca-Cola HBC</t>
    </r>
    <r>
      <rPr>
        <sz val="11"/>
        <color theme="1"/>
        <rFont val="Calibre"/>
      </rPr>
      <t xml:space="preserve"> (23% KO non-controlling stake)</t>
    </r>
  </si>
  <si>
    <r>
      <rPr>
        <b/>
        <sz val="11"/>
        <color theme="1"/>
        <rFont val="Calibre"/>
      </rPr>
      <t>Arca Continental</t>
    </r>
    <r>
      <rPr>
        <sz val="11"/>
        <color theme="1"/>
        <rFont val="Calibre"/>
      </rPr>
      <t xml:space="preserve"> (28% KO non-controlling stake)</t>
    </r>
  </si>
  <si>
    <r>
      <rPr>
        <b/>
        <sz val="11"/>
        <color theme="1"/>
        <rFont val="Calibre"/>
      </rPr>
      <t>Embotelladora Andina</t>
    </r>
    <r>
      <rPr>
        <sz val="11"/>
        <color theme="1"/>
        <rFont val="Calibre"/>
      </rPr>
      <t xml:space="preserve"> (19% KO non-controlling stake)</t>
    </r>
  </si>
  <si>
    <t>Concentrate Sales:</t>
  </si>
  <si>
    <t>Finished Product Sales:</t>
  </si>
  <si>
    <t xml:space="preserve">These Equity investments are managed by the Coca-Cola Bottling Investment Group (a subsidiary of The Company). Equity stakes have fluctuated throughout time. </t>
  </si>
  <si>
    <t>The Company generates revenues from branded merchandise, specialty products/limited edition offerings (small but growing segment)</t>
  </si>
  <si>
    <t>Finshed Product % of Ttl Rev</t>
  </si>
  <si>
    <t>Concentrate % of Ttl Rev</t>
  </si>
  <si>
    <t>U.S. % of Revenues</t>
  </si>
  <si>
    <t>International % of Revenues</t>
  </si>
  <si>
    <t>Discount</t>
  </si>
  <si>
    <t>Terminal</t>
  </si>
  <si>
    <t>NPV</t>
  </si>
  <si>
    <t>FV</t>
  </si>
  <si>
    <t>CP</t>
  </si>
  <si>
    <t>Master</t>
  </si>
  <si>
    <t>Headquarter: Atlanta, Georgia</t>
  </si>
  <si>
    <r>
      <t xml:space="preserve">The company provides sparkling </t>
    </r>
    <r>
      <rPr>
        <b/>
        <sz val="11"/>
        <color theme="1"/>
        <rFont val="Calibre"/>
      </rPr>
      <t>soft drinks</t>
    </r>
    <r>
      <rPr>
        <sz val="11"/>
        <color theme="1"/>
        <rFont val="Calibre"/>
      </rPr>
      <t xml:space="preserve">; flavored and enhanced </t>
    </r>
    <r>
      <rPr>
        <b/>
        <sz val="11"/>
        <color theme="1"/>
        <rFont val="Calibre"/>
      </rPr>
      <t>water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sports drinks</t>
    </r>
    <r>
      <rPr>
        <sz val="11"/>
        <color theme="1"/>
        <rFont val="Calibre"/>
      </rPr>
      <t xml:space="preserve">; </t>
    </r>
    <r>
      <rPr>
        <b/>
        <sz val="11"/>
        <color theme="1"/>
        <rFont val="Calibre"/>
      </rPr>
      <t>juice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dairy</t>
    </r>
    <r>
      <rPr>
        <sz val="11"/>
        <color theme="1"/>
        <rFont val="Calibre"/>
      </rPr>
      <t xml:space="preserve">, and </t>
    </r>
    <r>
      <rPr>
        <b/>
        <sz val="11"/>
        <color theme="1"/>
        <rFont val="Calibre"/>
      </rPr>
      <t>plant based</t>
    </r>
    <r>
      <rPr>
        <sz val="11"/>
        <color theme="1"/>
        <rFont val="Calibre"/>
      </rPr>
      <t xml:space="preserve"> beverages; </t>
    </r>
    <r>
      <rPr>
        <b/>
        <sz val="11"/>
        <color theme="1"/>
        <rFont val="Calibre"/>
      </rPr>
      <t>tea</t>
    </r>
    <r>
      <rPr>
        <sz val="11"/>
        <color theme="1"/>
        <rFont val="Calibre"/>
      </rPr>
      <t xml:space="preserve"> and </t>
    </r>
    <r>
      <rPr>
        <b/>
        <sz val="11"/>
        <color theme="1"/>
        <rFont val="Calibre"/>
      </rPr>
      <t>coffee</t>
    </r>
    <r>
      <rPr>
        <sz val="11"/>
        <color theme="1"/>
        <rFont val="Calibre"/>
      </rPr>
      <t xml:space="preserve">; and </t>
    </r>
    <r>
      <rPr>
        <b/>
        <sz val="11"/>
        <color theme="1"/>
        <rFont val="Calibre"/>
      </rPr>
      <t>energy</t>
    </r>
    <r>
      <rPr>
        <sz val="11"/>
        <color theme="1"/>
        <rFont val="Calibre"/>
      </rPr>
      <t xml:space="preserve"> </t>
    </r>
    <r>
      <rPr>
        <b/>
        <sz val="11"/>
        <color theme="1"/>
        <rFont val="Calibre"/>
      </rPr>
      <t>drinks</t>
    </r>
    <r>
      <rPr>
        <sz val="11"/>
        <color theme="1"/>
        <rFont val="Calibre"/>
      </rPr>
      <t>.</t>
    </r>
  </si>
  <si>
    <t>The Company has limited "in-house" bottling operations; they primarily franchise these operations to licensed firms.</t>
  </si>
  <si>
    <t>The Company has equity interest in many of their franchised bottling plants, and vertically integrates operations in markets that require greater control/oversight (Africa/parts of Asia). These earnings are recognized as Finished Good Revenues</t>
  </si>
  <si>
    <r>
      <rPr>
        <b/>
        <sz val="11"/>
        <color theme="1"/>
        <rFont val="Calibre"/>
      </rPr>
      <t>Coca-Cola Consolidated</t>
    </r>
    <r>
      <rPr>
        <sz val="11"/>
        <color theme="1"/>
        <rFont val="Calibre"/>
      </rPr>
      <t xml:space="preserve"> (Independent operator from KO)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</si>
</sst>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u/>
      <sz val="11"/>
      <color theme="1"/>
      <name val="Calibre"/>
    </font>
    <font>
      <sz val="11"/>
      <color rgb="FF002060"/>
      <name val="Calibre"/>
    </font>
    <font>
      <b/>
      <sz val="11"/>
      <color rgb="FF002060"/>
      <name val="Calibre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44" fontId="1" fillId="0" borderId="0" xfId="0" applyNumberFormat="1" applyFont="1"/>
    <xf numFmtId="1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4" fillId="0" borderId="0" xfId="0" applyNumberFormat="1" applyFont="1"/>
    <xf numFmtId="164" fontId="4" fillId="0" borderId="0" xfId="0" applyNumberFormat="1" applyFont="1"/>
    <xf numFmtId="10" fontId="4" fillId="0" borderId="0" xfId="0" applyNumberFormat="1" applyFont="1"/>
    <xf numFmtId="1" fontId="4" fillId="0" borderId="0" xfId="0" applyNumberFormat="1" applyFont="1"/>
    <xf numFmtId="165" fontId="4" fillId="0" borderId="0" xfId="0" applyNumberFormat="1" applyFon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0</xdr:row>
      <xdr:rowOff>0</xdr:rowOff>
    </xdr:from>
    <xdr:to>
      <xdr:col>40</xdr:col>
      <xdr:colOff>0</xdr:colOff>
      <xdr:row>112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9E1B57-24A7-4718-8E07-5022DFF2046A}"/>
            </a:ext>
          </a:extLst>
        </xdr:cNvPr>
        <xdr:cNvCxnSpPr/>
      </xdr:nvCxnSpPr>
      <xdr:spPr>
        <a:xfrm>
          <a:off x="26108025" y="0"/>
          <a:ext cx="0" cy="2033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0</xdr:row>
      <xdr:rowOff>0</xdr:rowOff>
    </xdr:from>
    <xdr:to>
      <xdr:col>22</xdr:col>
      <xdr:colOff>0</xdr:colOff>
      <xdr:row>112</xdr:row>
      <xdr:rowOff>171450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B325CB3-7E0C-4BFC-A4A5-ACF8A5B10BEF}"/>
            </a:ext>
          </a:extLst>
        </xdr:cNvPr>
        <xdr:cNvCxnSpPr/>
      </xdr:nvCxnSpPr>
      <xdr:spPr>
        <a:xfrm>
          <a:off x="15135225" y="0"/>
          <a:ext cx="0" cy="2033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85" zoomScaleNormal="85" workbookViewId="0">
      <selection activeCell="D41" sqref="D41"/>
    </sheetView>
  </sheetViews>
  <sheetFormatPr defaultColWidth="9.140625" defaultRowHeight="14.25"/>
  <cols>
    <col min="1" max="1" width="3.5703125" style="1" customWidth="1"/>
    <col min="2" max="2" width="9.140625" style="1"/>
    <col min="3" max="3" width="22.5703125" style="1" customWidth="1"/>
    <col min="4" max="4" width="9.42578125" style="1" customWidth="1"/>
    <col min="5" max="5" width="9" style="1" customWidth="1"/>
    <col min="6" max="16384" width="9.140625" style="1"/>
  </cols>
  <sheetData>
    <row r="1" spans="1:4" ht="15">
      <c r="A1" s="16" t="s">
        <v>179</v>
      </c>
    </row>
    <row r="2" spans="1:4" ht="15">
      <c r="B2" s="2" t="s">
        <v>0</v>
      </c>
    </row>
    <row r="3" spans="1:4">
      <c r="B3" s="1" t="s">
        <v>1</v>
      </c>
      <c r="C3" s="3">
        <v>69.63</v>
      </c>
      <c r="D3" s="4">
        <v>45737</v>
      </c>
    </row>
    <row r="4" spans="1:4">
      <c r="B4" s="1" t="s">
        <v>2</v>
      </c>
      <c r="C4" s="1">
        <v>4308</v>
      </c>
      <c r="D4" s="1" t="s">
        <v>9</v>
      </c>
    </row>
    <row r="5" spans="1:4">
      <c r="B5" s="1" t="s">
        <v>3</v>
      </c>
      <c r="C5" s="3">
        <f>C4*C3</f>
        <v>299966.03999999998</v>
      </c>
    </row>
    <row r="6" spans="1:4">
      <c r="B6" s="1" t="s">
        <v>4</v>
      </c>
      <c r="C6" s="3">
        <f>13938+2439</f>
        <v>16377</v>
      </c>
      <c r="D6" s="1" t="s">
        <v>9</v>
      </c>
    </row>
    <row r="7" spans="1:4">
      <c r="B7" s="1" t="s">
        <v>5</v>
      </c>
      <c r="C7" s="3">
        <f>2203+1067+42994</f>
        <v>46264</v>
      </c>
      <c r="D7" s="1" t="s">
        <v>9</v>
      </c>
    </row>
    <row r="8" spans="1:4">
      <c r="B8" s="1" t="s">
        <v>6</v>
      </c>
      <c r="C8" s="3">
        <f>C5-C6+C7</f>
        <v>329853.03999999998</v>
      </c>
    </row>
    <row r="10" spans="1:4" ht="15">
      <c r="B10" s="2" t="s">
        <v>8</v>
      </c>
    </row>
    <row r="12" spans="1:4" ht="15">
      <c r="B12" s="2" t="s">
        <v>7</v>
      </c>
    </row>
    <row r="14" spans="1:4">
      <c r="B14" s="1" t="s">
        <v>10</v>
      </c>
    </row>
    <row r="15" spans="1:4">
      <c r="B15" s="1" t="s">
        <v>180</v>
      </c>
    </row>
    <row r="16" spans="1:4">
      <c r="B16" s="1" t="s">
        <v>11</v>
      </c>
    </row>
    <row r="17" spans="2:5">
      <c r="B17" s="1" t="s">
        <v>12</v>
      </c>
    </row>
    <row r="19" spans="2:5" ht="15">
      <c r="B19" s="1" t="s">
        <v>13</v>
      </c>
    </row>
    <row r="20" spans="2:5" ht="15">
      <c r="C20" s="1" t="s">
        <v>181</v>
      </c>
    </row>
    <row r="21" spans="2:5" ht="15">
      <c r="C21" s="1" t="s">
        <v>14</v>
      </c>
    </row>
    <row r="22" spans="2:5" ht="15">
      <c r="B22" s="1" t="s">
        <v>15</v>
      </c>
    </row>
    <row r="24" spans="2:5" ht="15">
      <c r="B24" s="2" t="s">
        <v>16</v>
      </c>
    </row>
    <row r="25" spans="2:5">
      <c r="B25" s="1" t="s">
        <v>91</v>
      </c>
    </row>
    <row r="27" spans="2:5">
      <c r="B27" s="1" t="s">
        <v>139</v>
      </c>
    </row>
    <row r="29" spans="2:5">
      <c r="C29" s="1" t="s">
        <v>166</v>
      </c>
      <c r="D29" s="1" t="s">
        <v>141</v>
      </c>
    </row>
    <row r="31" spans="2:5">
      <c r="C31" s="1" t="s">
        <v>167</v>
      </c>
      <c r="D31" s="1" t="s">
        <v>182</v>
      </c>
    </row>
    <row r="32" spans="2:5">
      <c r="E32" s="1" t="s">
        <v>183</v>
      </c>
    </row>
    <row r="33" spans="4:11">
      <c r="E33" s="1" t="s">
        <v>168</v>
      </c>
    </row>
    <row r="35" spans="4:11" ht="15">
      <c r="D35" s="8" t="s">
        <v>140</v>
      </c>
      <c r="E35" s="2"/>
      <c r="F35" s="2"/>
      <c r="G35" s="2"/>
      <c r="H35" s="2"/>
      <c r="I35" s="2"/>
      <c r="J35" s="8" t="s">
        <v>142</v>
      </c>
      <c r="K35" s="8" t="s">
        <v>160</v>
      </c>
    </row>
    <row r="36" spans="4:11" ht="15">
      <c r="D36" s="1" t="s">
        <v>161</v>
      </c>
      <c r="J36" s="1" t="s">
        <v>145</v>
      </c>
      <c r="K36" s="1" t="s">
        <v>152</v>
      </c>
    </row>
    <row r="37" spans="4:11" ht="15">
      <c r="D37" s="1" t="s">
        <v>162</v>
      </c>
      <c r="J37" s="1" t="s">
        <v>146</v>
      </c>
      <c r="K37" s="1" t="s">
        <v>155</v>
      </c>
    </row>
    <row r="38" spans="4:11" ht="15">
      <c r="D38" s="1" t="s">
        <v>163</v>
      </c>
      <c r="J38" s="1" t="s">
        <v>147</v>
      </c>
      <c r="K38" s="1" t="s">
        <v>153</v>
      </c>
    </row>
    <row r="39" spans="4:11" ht="15">
      <c r="D39" s="1" t="s">
        <v>164</v>
      </c>
      <c r="J39" s="1" t="s">
        <v>148</v>
      </c>
      <c r="K39" s="1" t="s">
        <v>156</v>
      </c>
    </row>
    <row r="40" spans="4:11" ht="15">
      <c r="D40" s="1" t="s">
        <v>165</v>
      </c>
      <c r="J40" s="1" t="s">
        <v>150</v>
      </c>
      <c r="K40" s="1" t="s">
        <v>157</v>
      </c>
    </row>
    <row r="41" spans="4:11" ht="15">
      <c r="D41" s="1" t="s">
        <v>184</v>
      </c>
      <c r="J41" s="1" t="s">
        <v>149</v>
      </c>
      <c r="K41" s="1" t="s">
        <v>154</v>
      </c>
    </row>
    <row r="42" spans="4:11">
      <c r="D42" s="1" t="s">
        <v>143</v>
      </c>
      <c r="J42" s="1" t="s">
        <v>151</v>
      </c>
      <c r="K42" s="1" t="s">
        <v>158</v>
      </c>
    </row>
    <row r="43" spans="4:11">
      <c r="D43" s="1" t="s">
        <v>144</v>
      </c>
      <c r="J43" s="1" t="s">
        <v>151</v>
      </c>
      <c r="K43" s="1" t="s">
        <v>159</v>
      </c>
    </row>
    <row r="45" spans="4:11">
      <c r="D45" s="1" t="s">
        <v>169</v>
      </c>
    </row>
  </sheetData>
  <hyperlinks>
    <hyperlink ref="A1" r:id="rId1" xr:uid="{1BC84DF0-E727-41D4-B554-4126D8DB9C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A4B-70D5-4239-B198-591510344634}">
  <dimension ref="B1:CC110"/>
  <sheetViews>
    <sheetView zoomScale="85" zoomScaleNormal="85" workbookViewId="0">
      <pane xSplit="2" ySplit="2" topLeftCell="AI38" activePane="bottomRight" state="frozen"/>
      <selection pane="topRight" activeCell="C1" sqref="C1"/>
      <selection pane="bottomLeft" activeCell="A3" sqref="A3"/>
      <selection pane="bottomRight" activeCell="AS16" sqref="AS16"/>
    </sheetView>
  </sheetViews>
  <sheetFormatPr defaultColWidth="9.140625" defaultRowHeight="14.25"/>
  <cols>
    <col min="1" max="1" width="3.140625" style="1" customWidth="1"/>
    <col min="2" max="2" width="31.42578125" style="1" customWidth="1"/>
    <col min="3" max="9" width="9.140625" style="1"/>
    <col min="10" max="10" width="9.140625" style="1" customWidth="1"/>
    <col min="11" max="42" width="9.140625" style="1"/>
    <col min="43" max="43" width="9" style="1" customWidth="1"/>
    <col min="44" max="16384" width="9.140625" style="1"/>
  </cols>
  <sheetData>
    <row r="1" spans="2:81">
      <c r="B1" s="1" t="s">
        <v>17</v>
      </c>
      <c r="C1" s="1" t="s">
        <v>60</v>
      </c>
      <c r="D1" s="1" t="s">
        <v>59</v>
      </c>
      <c r="E1" s="1" t="s">
        <v>58</v>
      </c>
      <c r="F1" s="1" t="s">
        <v>57</v>
      </c>
      <c r="G1" s="1" t="s">
        <v>60</v>
      </c>
      <c r="H1" s="1" t="s">
        <v>59</v>
      </c>
      <c r="I1" s="1" t="s">
        <v>58</v>
      </c>
      <c r="J1" s="1" t="s">
        <v>57</v>
      </c>
      <c r="K1" s="1" t="s">
        <v>60</v>
      </c>
      <c r="L1" s="1" t="s">
        <v>59</v>
      </c>
      <c r="M1" s="1" t="s">
        <v>58</v>
      </c>
      <c r="N1" s="1" t="s">
        <v>57</v>
      </c>
      <c r="O1" s="1" t="s">
        <v>60</v>
      </c>
      <c r="P1" s="1" t="s">
        <v>59</v>
      </c>
      <c r="Q1" s="1" t="s">
        <v>58</v>
      </c>
      <c r="R1" s="1" t="s">
        <v>57</v>
      </c>
      <c r="S1" s="1" t="s">
        <v>60</v>
      </c>
      <c r="T1" s="1" t="s">
        <v>59</v>
      </c>
      <c r="U1" s="1" t="s">
        <v>58</v>
      </c>
      <c r="V1" s="1" t="s">
        <v>57</v>
      </c>
      <c r="W1" s="1" t="s">
        <v>60</v>
      </c>
      <c r="X1" s="1" t="s">
        <v>59</v>
      </c>
      <c r="Y1" s="1" t="s">
        <v>58</v>
      </c>
      <c r="Z1" s="1" t="s">
        <v>57</v>
      </c>
      <c r="AA1" s="1" t="s">
        <v>60</v>
      </c>
      <c r="AB1" s="1" t="s">
        <v>59</v>
      </c>
      <c r="AC1" s="1" t="s">
        <v>58</v>
      </c>
      <c r="AD1" s="1" t="s">
        <v>57</v>
      </c>
      <c r="AE1" s="1" t="s">
        <v>60</v>
      </c>
      <c r="AF1" s="1" t="s">
        <v>59</v>
      </c>
      <c r="AG1" s="1" t="s">
        <v>58</v>
      </c>
      <c r="AH1" s="1" t="s">
        <v>57</v>
      </c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</row>
    <row r="2" spans="2:81" ht="15"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  <c r="T2" s="2" t="s">
        <v>36</v>
      </c>
      <c r="U2" s="2" t="s">
        <v>37</v>
      </c>
      <c r="V2" s="2" t="s">
        <v>38</v>
      </c>
      <c r="W2" s="2" t="s">
        <v>9</v>
      </c>
      <c r="X2" s="2" t="s">
        <v>39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45</v>
      </c>
      <c r="AE2" s="2" t="s">
        <v>42</v>
      </c>
      <c r="AF2" s="2" t="s">
        <v>43</v>
      </c>
      <c r="AG2" s="2" t="s">
        <v>44</v>
      </c>
      <c r="AH2" s="2" t="s">
        <v>45</v>
      </c>
      <c r="AJ2" s="2">
        <v>2020</v>
      </c>
      <c r="AK2" s="2">
        <v>2021</v>
      </c>
      <c r="AL2" s="2">
        <v>2022</v>
      </c>
      <c r="AM2" s="2">
        <f t="shared" ref="AM2:BD2" si="0">AL2+1</f>
        <v>2023</v>
      </c>
      <c r="AN2" s="2">
        <f t="shared" si="0"/>
        <v>2024</v>
      </c>
      <c r="AO2" s="10">
        <f t="shared" si="0"/>
        <v>2025</v>
      </c>
      <c r="AP2" s="10">
        <f t="shared" si="0"/>
        <v>2026</v>
      </c>
      <c r="AQ2" s="10">
        <f t="shared" si="0"/>
        <v>2027</v>
      </c>
      <c r="AR2" s="10">
        <f t="shared" si="0"/>
        <v>2028</v>
      </c>
      <c r="AS2" s="10">
        <f t="shared" si="0"/>
        <v>2029</v>
      </c>
      <c r="AT2" s="10">
        <f t="shared" si="0"/>
        <v>2030</v>
      </c>
      <c r="AU2" s="10">
        <f t="shared" si="0"/>
        <v>2031</v>
      </c>
      <c r="AV2" s="10">
        <f t="shared" si="0"/>
        <v>2032</v>
      </c>
      <c r="AW2" s="10">
        <f t="shared" si="0"/>
        <v>2033</v>
      </c>
      <c r="AX2" s="10">
        <f t="shared" si="0"/>
        <v>2034</v>
      </c>
      <c r="AY2" s="10">
        <f t="shared" si="0"/>
        <v>2035</v>
      </c>
      <c r="AZ2" s="10">
        <f t="shared" si="0"/>
        <v>2036</v>
      </c>
      <c r="BA2" s="10">
        <f t="shared" si="0"/>
        <v>2037</v>
      </c>
      <c r="BB2" s="10">
        <f t="shared" si="0"/>
        <v>2038</v>
      </c>
      <c r="BC2" s="10">
        <f t="shared" si="0"/>
        <v>2039</v>
      </c>
      <c r="BD2" s="10">
        <f t="shared" si="0"/>
        <v>2040</v>
      </c>
      <c r="BE2" s="10">
        <f t="shared" ref="BE2" si="1">BD2+1</f>
        <v>2041</v>
      </c>
      <c r="BF2" s="10">
        <f t="shared" ref="BF2" si="2">BE2+1</f>
        <v>2042</v>
      </c>
      <c r="BG2" s="10">
        <f t="shared" ref="BG2" si="3">BF2+1</f>
        <v>2043</v>
      </c>
      <c r="BH2" s="10">
        <f t="shared" ref="BH2" si="4">BG2+1</f>
        <v>2044</v>
      </c>
      <c r="BI2" s="10">
        <f t="shared" ref="BI2" si="5">BH2+1</f>
        <v>2045</v>
      </c>
      <c r="BJ2" s="10">
        <f t="shared" ref="BJ2" si="6">BI2+1</f>
        <v>2046</v>
      </c>
      <c r="BK2" s="10">
        <f t="shared" ref="BK2" si="7">BJ2+1</f>
        <v>2047</v>
      </c>
      <c r="BL2" s="10">
        <f t="shared" ref="BL2" si="8">BK2+1</f>
        <v>2048</v>
      </c>
      <c r="BM2" s="10">
        <f t="shared" ref="BM2" si="9">BL2+1</f>
        <v>2049</v>
      </c>
      <c r="BN2" s="10">
        <f t="shared" ref="BN2" si="10">BM2+1</f>
        <v>2050</v>
      </c>
      <c r="BO2" s="10">
        <f t="shared" ref="BO2" si="11">BN2+1</f>
        <v>2051</v>
      </c>
      <c r="BP2" s="10">
        <f t="shared" ref="BP2" si="12">BO2+1</f>
        <v>2052</v>
      </c>
      <c r="BQ2" s="10">
        <f t="shared" ref="BQ2" si="13">BP2+1</f>
        <v>2053</v>
      </c>
      <c r="BR2" s="10">
        <f t="shared" ref="BR2" si="14">BQ2+1</f>
        <v>2054</v>
      </c>
      <c r="BS2" s="10">
        <f t="shared" ref="BS2" si="15">BR2+1</f>
        <v>2055</v>
      </c>
      <c r="BT2" s="10">
        <f t="shared" ref="BT2" si="16">BS2+1</f>
        <v>2056</v>
      </c>
      <c r="BU2" s="10">
        <f t="shared" ref="BU2" si="17">BT2+1</f>
        <v>2057</v>
      </c>
      <c r="BV2" s="10">
        <f t="shared" ref="BV2" si="18">BU2+1</f>
        <v>2058</v>
      </c>
      <c r="BW2" s="10">
        <f t="shared" ref="BW2" si="19">BV2+1</f>
        <v>2059</v>
      </c>
      <c r="BX2" s="10">
        <f t="shared" ref="BX2" si="20">BW2+1</f>
        <v>2060</v>
      </c>
      <c r="BY2" s="10">
        <f t="shared" ref="BY2" si="21">BX2+1</f>
        <v>2061</v>
      </c>
      <c r="BZ2" s="10">
        <f t="shared" ref="BZ2" si="22">BY2+1</f>
        <v>2062</v>
      </c>
      <c r="CA2" s="10">
        <f t="shared" ref="CA2" si="23">BZ2+1</f>
        <v>2063</v>
      </c>
      <c r="CB2" s="10">
        <f t="shared" ref="CB2" si="24">CA2+1</f>
        <v>2064</v>
      </c>
      <c r="CC2" s="10">
        <f t="shared" ref="CC2" si="25">CB2+1</f>
        <v>2065</v>
      </c>
    </row>
    <row r="3" spans="2:81">
      <c r="B3" s="1" t="s">
        <v>46</v>
      </c>
      <c r="C3" s="1">
        <v>4789</v>
      </c>
      <c r="D3" s="1">
        <v>4215</v>
      </c>
      <c r="E3" s="1">
        <v>5079</v>
      </c>
      <c r="F3" s="1">
        <f>18582-SUM(C3:E3)</f>
        <v>4499</v>
      </c>
      <c r="G3" s="1">
        <v>4982</v>
      </c>
      <c r="H3" s="1">
        <v>5994</v>
      </c>
      <c r="I3" s="1">
        <v>5871</v>
      </c>
      <c r="J3" s="1">
        <f>21799-SUM(G3:I3)</f>
        <v>4952</v>
      </c>
      <c r="K3" s="1">
        <v>5724</v>
      </c>
      <c r="L3" s="1">
        <v>6365</v>
      </c>
      <c r="M3" s="1">
        <v>6574</v>
      </c>
      <c r="N3" s="1">
        <f>24071-SUM(K3:M3)</f>
        <v>5408</v>
      </c>
      <c r="O3" s="1">
        <v>6333</v>
      </c>
      <c r="P3" s="1">
        <v>7050</v>
      </c>
      <c r="Q3" s="1">
        <v>7212</v>
      </c>
      <c r="R3" s="1">
        <f>26539-SUM(O3:Q3)</f>
        <v>5944</v>
      </c>
      <c r="S3" s="1">
        <v>6655</v>
      </c>
      <c r="T3" s="1">
        <v>7494</v>
      </c>
      <c r="U3" s="1">
        <v>7058</v>
      </c>
      <c r="V3" s="1">
        <f>27725-SUM(S3:U3)</f>
        <v>6518</v>
      </c>
      <c r="AJ3" s="1">
        <f>SUM(C3:F3)</f>
        <v>18582</v>
      </c>
      <c r="AK3" s="1">
        <f>SUM(G3:J3)</f>
        <v>21799</v>
      </c>
      <c r="AL3" s="1">
        <f>SUM(K3:N3)</f>
        <v>24071</v>
      </c>
      <c r="AM3" s="1">
        <f>SUM(O3:R3)</f>
        <v>26539</v>
      </c>
      <c r="AN3" s="1">
        <f>SUM(S3:V3)</f>
        <v>27725</v>
      </c>
      <c r="AO3" s="9">
        <f>AN3*(1+AO9)</f>
        <v>29111.25</v>
      </c>
      <c r="AP3" s="9">
        <f t="shared" ref="AP3:AT3" si="26">AO3*(1+AP9)</f>
        <v>31149.037500000002</v>
      </c>
      <c r="AQ3" s="9">
        <f t="shared" si="26"/>
        <v>33640.960500000001</v>
      </c>
      <c r="AR3" s="9">
        <f t="shared" si="26"/>
        <v>36332.237340000007</v>
      </c>
      <c r="AS3" s="9">
        <f t="shared" si="26"/>
        <v>38148.849207000007</v>
      </c>
      <c r="AT3" s="9">
        <f t="shared" si="26"/>
        <v>39674.803175280009</v>
      </c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</row>
    <row r="4" spans="2:81">
      <c r="B4" s="1" t="s">
        <v>47</v>
      </c>
      <c r="C4" s="1">
        <v>3812</v>
      </c>
      <c r="D4" s="1">
        <v>2935</v>
      </c>
      <c r="E4" s="1">
        <v>3573</v>
      </c>
      <c r="F4" s="1">
        <f>14432-SUM(C4:E4)</f>
        <v>4112</v>
      </c>
      <c r="G4" s="1">
        <v>4038</v>
      </c>
      <c r="H4" s="1">
        <v>4135</v>
      </c>
      <c r="I4" s="1">
        <v>4171</v>
      </c>
      <c r="J4" s="1">
        <f>16856-SUM(G4:I4)</f>
        <v>4512</v>
      </c>
      <c r="K4" s="1">
        <v>4767</v>
      </c>
      <c r="L4" s="1">
        <v>4960</v>
      </c>
      <c r="M4" s="1">
        <v>4489</v>
      </c>
      <c r="N4" s="1">
        <f>18933-SUM(K4:M4)</f>
        <v>4717</v>
      </c>
      <c r="O4" s="1">
        <v>4647</v>
      </c>
      <c r="P4" s="1">
        <v>4922</v>
      </c>
      <c r="Q4" s="1">
        <v>4741</v>
      </c>
      <c r="R4" s="1">
        <f>19215-SUM(O4:Q4)</f>
        <v>4905</v>
      </c>
      <c r="S4" s="1">
        <v>4645</v>
      </c>
      <c r="T4" s="1">
        <v>4869</v>
      </c>
      <c r="U4" s="1">
        <v>4796</v>
      </c>
      <c r="V4" s="1">
        <f>19336-SUM(S4:U4)</f>
        <v>5026</v>
      </c>
      <c r="AJ4" s="1">
        <f>SUM(C4:F4)</f>
        <v>14432</v>
      </c>
      <c r="AK4" s="1">
        <f>SUM(G4:J4)</f>
        <v>16856</v>
      </c>
      <c r="AL4" s="1">
        <f>SUM(K4:N4)</f>
        <v>18933</v>
      </c>
      <c r="AM4" s="1">
        <f>SUM(O4:R4)</f>
        <v>19215</v>
      </c>
      <c r="AN4" s="1">
        <f>SUM(S4:V4)</f>
        <v>19336</v>
      </c>
      <c r="AO4" s="9">
        <f>AN4*(1+AO10)</f>
        <v>20109.440000000002</v>
      </c>
      <c r="AP4" s="9">
        <f t="shared" ref="AP4:AT4" si="27">AO4*(1+AP10)</f>
        <v>20712.723200000004</v>
      </c>
      <c r="AQ4" s="9">
        <f t="shared" si="27"/>
        <v>21334.104896000004</v>
      </c>
      <c r="AR4" s="9">
        <f t="shared" si="27"/>
        <v>21974.128042880006</v>
      </c>
      <c r="AS4" s="9">
        <f t="shared" si="27"/>
        <v>22413.610603737605</v>
      </c>
      <c r="AT4" s="9">
        <f t="shared" si="27"/>
        <v>22861.882815812358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</row>
    <row r="5" spans="2:81" ht="15">
      <c r="B5" s="2" t="s">
        <v>48</v>
      </c>
      <c r="C5" s="1">
        <f t="shared" ref="C5:R5" si="28">C4+C3</f>
        <v>8601</v>
      </c>
      <c r="D5" s="1">
        <f t="shared" si="28"/>
        <v>7150</v>
      </c>
      <c r="E5" s="1">
        <f t="shared" si="28"/>
        <v>8652</v>
      </c>
      <c r="F5" s="1">
        <f t="shared" si="28"/>
        <v>8611</v>
      </c>
      <c r="G5" s="1">
        <f t="shared" si="28"/>
        <v>9020</v>
      </c>
      <c r="H5" s="1">
        <f t="shared" si="28"/>
        <v>10129</v>
      </c>
      <c r="I5" s="1">
        <f t="shared" si="28"/>
        <v>10042</v>
      </c>
      <c r="J5" s="1">
        <f>J4+J3</f>
        <v>9464</v>
      </c>
      <c r="K5" s="1">
        <f t="shared" si="28"/>
        <v>10491</v>
      </c>
      <c r="L5" s="1">
        <f t="shared" si="28"/>
        <v>11325</v>
      </c>
      <c r="M5" s="1">
        <f t="shared" si="28"/>
        <v>11063</v>
      </c>
      <c r="N5" s="1">
        <f>N4+N3</f>
        <v>10125</v>
      </c>
      <c r="O5" s="1">
        <f t="shared" si="28"/>
        <v>10980</v>
      </c>
      <c r="P5" s="1">
        <f t="shared" si="28"/>
        <v>11972</v>
      </c>
      <c r="Q5" s="1">
        <f t="shared" si="28"/>
        <v>11953</v>
      </c>
      <c r="R5" s="1">
        <f t="shared" si="28"/>
        <v>10849</v>
      </c>
      <c r="S5" s="1">
        <f>S4+S3</f>
        <v>11300</v>
      </c>
      <c r="T5" s="1">
        <f t="shared" ref="T5:V5" si="29">T4+T3</f>
        <v>12363</v>
      </c>
      <c r="U5" s="1">
        <f t="shared" si="29"/>
        <v>11854</v>
      </c>
      <c r="V5" s="1">
        <f t="shared" si="29"/>
        <v>11544</v>
      </c>
      <c r="AJ5" s="1">
        <f>SUM(C5:F5)</f>
        <v>33014</v>
      </c>
      <c r="AK5" s="1">
        <f>SUM(G5:J5)</f>
        <v>38655</v>
      </c>
      <c r="AL5" s="1">
        <f>SUM(K5:N5)</f>
        <v>43004</v>
      </c>
      <c r="AM5" s="1">
        <f>SUM(O5:R5)</f>
        <v>45754</v>
      </c>
      <c r="AN5" s="1">
        <f>SUM(S5:V5)</f>
        <v>47061</v>
      </c>
      <c r="AO5" s="14">
        <f>SUM(AO3:AO4)</f>
        <v>49220.69</v>
      </c>
      <c r="AP5" s="14">
        <f t="shared" ref="AP5:AT5" si="30">SUM(AP3:AP4)</f>
        <v>51861.760700000006</v>
      </c>
      <c r="AQ5" s="14">
        <f t="shared" si="30"/>
        <v>54975.065396000005</v>
      </c>
      <c r="AR5" s="14">
        <f t="shared" si="30"/>
        <v>58306.365382880016</v>
      </c>
      <c r="AS5" s="14">
        <f t="shared" si="30"/>
        <v>60562.459810737608</v>
      </c>
      <c r="AT5" s="14">
        <f t="shared" si="30"/>
        <v>62536.685991092367</v>
      </c>
      <c r="AU5" s="14">
        <f>AT5*(1+AU11)</f>
        <v>64412.786570825141</v>
      </c>
      <c r="AV5" s="14">
        <f t="shared" ref="AV5:CC5" si="31">AU5*(1+AV11)</f>
        <v>66345.170167949895</v>
      </c>
      <c r="AW5" s="14">
        <f t="shared" si="31"/>
        <v>68335.525272988394</v>
      </c>
      <c r="AX5" s="14">
        <f t="shared" si="31"/>
        <v>70385.591031178046</v>
      </c>
      <c r="AY5" s="14">
        <f t="shared" si="31"/>
        <v>72497.158762113395</v>
      </c>
      <c r="AZ5" s="14">
        <f t="shared" si="31"/>
        <v>74672.073524976804</v>
      </c>
      <c r="BA5" s="14">
        <f t="shared" si="31"/>
        <v>76912.235730726112</v>
      </c>
      <c r="BB5" s="14">
        <f t="shared" si="31"/>
        <v>79219.602802647903</v>
      </c>
      <c r="BC5" s="14">
        <f t="shared" si="31"/>
        <v>81596.190886727345</v>
      </c>
      <c r="BD5" s="14">
        <f t="shared" si="31"/>
        <v>84044.076613329162</v>
      </c>
      <c r="BE5" s="14">
        <f t="shared" si="31"/>
        <v>86565.398911729033</v>
      </c>
      <c r="BF5" s="14">
        <f t="shared" si="31"/>
        <v>89162.360879080908</v>
      </c>
      <c r="BG5" s="14">
        <f t="shared" si="31"/>
        <v>91837.231705453334</v>
      </c>
      <c r="BH5" s="14">
        <f t="shared" si="31"/>
        <v>94592.34865661693</v>
      </c>
      <c r="BI5" s="14">
        <f t="shared" si="31"/>
        <v>97430.119116315444</v>
      </c>
      <c r="BJ5" s="14">
        <f t="shared" si="31"/>
        <v>100353.02268980491</v>
      </c>
      <c r="BK5" s="14">
        <f t="shared" si="31"/>
        <v>103363.61337049906</v>
      </c>
      <c r="BL5" s="14">
        <f t="shared" si="31"/>
        <v>106464.52177161403</v>
      </c>
      <c r="BM5" s="14">
        <f t="shared" si="31"/>
        <v>109658.45742476246</v>
      </c>
      <c r="BN5" s="14">
        <f t="shared" si="31"/>
        <v>112948.21114750534</v>
      </c>
      <c r="BO5" s="14">
        <f t="shared" si="31"/>
        <v>116336.6574819305</v>
      </c>
      <c r="BP5" s="14">
        <f t="shared" si="31"/>
        <v>119826.75720638841</v>
      </c>
      <c r="BQ5" s="14">
        <f t="shared" si="31"/>
        <v>123421.55992258007</v>
      </c>
      <c r="BR5" s="14">
        <f t="shared" si="31"/>
        <v>127124.20672025747</v>
      </c>
      <c r="BS5" s="14">
        <f t="shared" si="31"/>
        <v>130937.9329218652</v>
      </c>
      <c r="BT5" s="14">
        <f t="shared" si="31"/>
        <v>134866.07090952116</v>
      </c>
      <c r="BU5" s="14">
        <f t="shared" si="31"/>
        <v>138912.05303680681</v>
      </c>
      <c r="BV5" s="14">
        <f t="shared" si="31"/>
        <v>143079.41462791103</v>
      </c>
      <c r="BW5" s="14">
        <f t="shared" si="31"/>
        <v>147371.79706674838</v>
      </c>
      <c r="BX5" s="14">
        <f t="shared" si="31"/>
        <v>151792.95097875083</v>
      </c>
      <c r="BY5" s="14">
        <f t="shared" si="31"/>
        <v>156346.73950811336</v>
      </c>
      <c r="BZ5" s="14">
        <f t="shared" si="31"/>
        <v>161037.14169335677</v>
      </c>
      <c r="CA5" s="14">
        <f t="shared" si="31"/>
        <v>165868.25594415748</v>
      </c>
      <c r="CB5" s="14">
        <f t="shared" si="31"/>
        <v>170844.30362248223</v>
      </c>
      <c r="CC5" s="14">
        <f t="shared" si="31"/>
        <v>175969.63273115669</v>
      </c>
    </row>
    <row r="6" spans="2:81"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</row>
    <row r="7" spans="2:81">
      <c r="B7" s="1" t="s">
        <v>171</v>
      </c>
      <c r="C7" s="7">
        <f t="shared" ref="C7:U7" si="32">C3/C5</f>
        <v>0.55679572142774092</v>
      </c>
      <c r="D7" s="7">
        <f t="shared" si="32"/>
        <v>0.58951048951048957</v>
      </c>
      <c r="E7" s="7">
        <f t="shared" si="32"/>
        <v>0.58703190013869622</v>
      </c>
      <c r="F7" s="7">
        <f t="shared" si="32"/>
        <v>0.52247125769364766</v>
      </c>
      <c r="G7" s="7">
        <f t="shared" si="32"/>
        <v>0.55232815964523285</v>
      </c>
      <c r="H7" s="7">
        <f t="shared" si="32"/>
        <v>0.59176621581597388</v>
      </c>
      <c r="I7" s="7">
        <f t="shared" si="32"/>
        <v>0.5846444931288588</v>
      </c>
      <c r="J7" s="7">
        <f t="shared" si="32"/>
        <v>0.52324598478444628</v>
      </c>
      <c r="K7" s="7">
        <f t="shared" si="32"/>
        <v>0.5456105233056906</v>
      </c>
      <c r="L7" s="7">
        <f t="shared" si="32"/>
        <v>0.56203090507726272</v>
      </c>
      <c r="M7" s="7">
        <f t="shared" si="32"/>
        <v>0.59423302901563768</v>
      </c>
      <c r="N7" s="7">
        <f t="shared" si="32"/>
        <v>0.53412345679012341</v>
      </c>
      <c r="O7" s="7">
        <f t="shared" si="32"/>
        <v>0.57677595628415301</v>
      </c>
      <c r="P7" s="7">
        <f t="shared" si="32"/>
        <v>0.58887403942532579</v>
      </c>
      <c r="Q7" s="7">
        <f t="shared" si="32"/>
        <v>0.60336317242533255</v>
      </c>
      <c r="R7" s="7">
        <f t="shared" si="32"/>
        <v>0.5478845976587704</v>
      </c>
      <c r="S7" s="7">
        <f t="shared" si="32"/>
        <v>0.58893805309734515</v>
      </c>
      <c r="T7" s="7">
        <f t="shared" si="32"/>
        <v>0.60616355253579224</v>
      </c>
      <c r="U7" s="7">
        <f t="shared" si="32"/>
        <v>0.5954108317867387</v>
      </c>
      <c r="V7" s="7">
        <f>V3/V5</f>
        <v>0.5646223146223146</v>
      </c>
      <c r="AJ7" s="7">
        <f t="shared" ref="AJ7:AM7" si="33">AJ3/AJ5</f>
        <v>0.56285212334161261</v>
      </c>
      <c r="AK7" s="7">
        <f t="shared" si="33"/>
        <v>0.5639373949036347</v>
      </c>
      <c r="AL7" s="7">
        <f t="shared" si="33"/>
        <v>0.55973862896474746</v>
      </c>
      <c r="AM7" s="7">
        <f t="shared" si="33"/>
        <v>0.58003671810114965</v>
      </c>
      <c r="AN7" s="7">
        <f>AN3/AN5</f>
        <v>0.58912900278362124</v>
      </c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</row>
    <row r="8" spans="2:81">
      <c r="B8" s="1" t="s">
        <v>170</v>
      </c>
      <c r="C8" s="7">
        <f t="shared" ref="C8:U8" si="34">C4/C5</f>
        <v>0.44320427857225903</v>
      </c>
      <c r="D8" s="7">
        <f t="shared" si="34"/>
        <v>0.41048951048951049</v>
      </c>
      <c r="E8" s="7">
        <f t="shared" si="34"/>
        <v>0.41296809986130373</v>
      </c>
      <c r="F8" s="7">
        <f t="shared" si="34"/>
        <v>0.47752874230635234</v>
      </c>
      <c r="G8" s="7">
        <f t="shared" si="34"/>
        <v>0.4476718403547672</v>
      </c>
      <c r="H8" s="7">
        <f t="shared" si="34"/>
        <v>0.40823378418402606</v>
      </c>
      <c r="I8" s="7">
        <f t="shared" si="34"/>
        <v>0.4153555068711412</v>
      </c>
      <c r="J8" s="7">
        <f t="shared" si="34"/>
        <v>0.47675401521555366</v>
      </c>
      <c r="K8" s="7">
        <f t="shared" si="34"/>
        <v>0.4543894766943094</v>
      </c>
      <c r="L8" s="7">
        <f t="shared" si="34"/>
        <v>0.43796909492273733</v>
      </c>
      <c r="M8" s="7">
        <f t="shared" si="34"/>
        <v>0.40576697098436226</v>
      </c>
      <c r="N8" s="7">
        <f t="shared" si="34"/>
        <v>0.46587654320987654</v>
      </c>
      <c r="O8" s="7">
        <f t="shared" si="34"/>
        <v>0.42322404371584699</v>
      </c>
      <c r="P8" s="7">
        <f t="shared" si="34"/>
        <v>0.41112596057467427</v>
      </c>
      <c r="Q8" s="7">
        <f t="shared" si="34"/>
        <v>0.39663682757466745</v>
      </c>
      <c r="R8" s="7">
        <f t="shared" si="34"/>
        <v>0.4521154023412296</v>
      </c>
      <c r="S8" s="7">
        <f t="shared" si="34"/>
        <v>0.41106194690265485</v>
      </c>
      <c r="T8" s="7">
        <f t="shared" si="34"/>
        <v>0.39383644746420771</v>
      </c>
      <c r="U8" s="7">
        <f t="shared" si="34"/>
        <v>0.40458916821326135</v>
      </c>
      <c r="V8" s="7">
        <f>V4/V5</f>
        <v>0.4353776853776854</v>
      </c>
      <c r="AJ8" s="7">
        <f t="shared" ref="AJ8:AM8" si="35">AJ4/AJ5</f>
        <v>0.43714787665838734</v>
      </c>
      <c r="AK8" s="7">
        <f t="shared" si="35"/>
        <v>0.4360626050963653</v>
      </c>
      <c r="AL8" s="7">
        <f t="shared" si="35"/>
        <v>0.44026137103525254</v>
      </c>
      <c r="AM8" s="7">
        <f t="shared" si="35"/>
        <v>0.41996328189885035</v>
      </c>
      <c r="AN8" s="7">
        <f>AN4/AN5</f>
        <v>0.41087099721637876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</row>
    <row r="9" spans="2:81">
      <c r="B9" s="1" t="s">
        <v>52</v>
      </c>
      <c r="C9" s="7"/>
      <c r="D9" s="7"/>
      <c r="E9" s="7"/>
      <c r="F9" s="7"/>
      <c r="G9" s="7">
        <f t="shared" ref="G9:U9" si="36">G3/C3-1</f>
        <v>4.0300689079139751E-2</v>
      </c>
      <c r="H9" s="7">
        <f t="shared" si="36"/>
        <v>0.42206405693950177</v>
      </c>
      <c r="I9" s="7">
        <f t="shared" si="36"/>
        <v>0.15593620791494378</v>
      </c>
      <c r="J9" s="7">
        <f t="shared" si="36"/>
        <v>0.10068904200933537</v>
      </c>
      <c r="K9" s="7">
        <f t="shared" si="36"/>
        <v>0.14893617021276606</v>
      </c>
      <c r="L9" s="7">
        <f t="shared" si="36"/>
        <v>6.1895228561895221E-2</v>
      </c>
      <c r="M9" s="7">
        <f t="shared" si="36"/>
        <v>0.11974110032362462</v>
      </c>
      <c r="N9" s="7">
        <f t="shared" si="36"/>
        <v>9.2084006462035628E-2</v>
      </c>
      <c r="O9" s="7">
        <f t="shared" si="36"/>
        <v>0.10639412997903563</v>
      </c>
      <c r="P9" s="7">
        <f t="shared" si="36"/>
        <v>0.10761979575805181</v>
      </c>
      <c r="Q9" s="7">
        <f t="shared" si="36"/>
        <v>9.7048980833586818E-2</v>
      </c>
      <c r="R9" s="7">
        <f t="shared" si="36"/>
        <v>9.9112426035502965E-2</v>
      </c>
      <c r="S9" s="7">
        <f t="shared" si="36"/>
        <v>5.0844781304279163E-2</v>
      </c>
      <c r="T9" s="7">
        <f t="shared" si="36"/>
        <v>6.2978723404255366E-2</v>
      </c>
      <c r="U9" s="7">
        <f t="shared" si="36"/>
        <v>-2.1353300055463098E-2</v>
      </c>
      <c r="V9" s="7">
        <f>V3/R3-1</f>
        <v>9.6567967698519608E-2</v>
      </c>
      <c r="AJ9" s="7"/>
      <c r="AK9" s="7">
        <f t="shared" ref="AK9:AM9" si="37">AK3/AJ3-1</f>
        <v>0.17312452911419651</v>
      </c>
      <c r="AL9" s="7">
        <f t="shared" si="37"/>
        <v>0.10422496444791052</v>
      </c>
      <c r="AM9" s="7">
        <f t="shared" si="37"/>
        <v>0.10253001537119366</v>
      </c>
      <c r="AN9" s="7">
        <f>AN3/AM3-1</f>
        <v>4.4688948340178669E-2</v>
      </c>
      <c r="AO9" s="12">
        <v>0.05</v>
      </c>
      <c r="AP9" s="12">
        <v>7.0000000000000007E-2</v>
      </c>
      <c r="AQ9" s="12">
        <v>0.08</v>
      </c>
      <c r="AR9" s="12">
        <v>0.08</v>
      </c>
      <c r="AS9" s="12">
        <v>0.05</v>
      </c>
      <c r="AT9" s="12">
        <v>0.04</v>
      </c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</row>
    <row r="10" spans="2:81">
      <c r="B10" s="1" t="s">
        <v>53</v>
      </c>
      <c r="C10" s="7"/>
      <c r="D10" s="7"/>
      <c r="E10" s="7"/>
      <c r="F10" s="7"/>
      <c r="G10" s="7">
        <f t="shared" ref="G10:V10" si="38">G4/C4-1</f>
        <v>5.9286463798530864E-2</v>
      </c>
      <c r="H10" s="7">
        <f t="shared" si="38"/>
        <v>0.40885860306643962</v>
      </c>
      <c r="I10" s="7">
        <f t="shared" si="38"/>
        <v>0.16736635880212702</v>
      </c>
      <c r="J10" s="7">
        <f t="shared" si="38"/>
        <v>9.7276264591439787E-2</v>
      </c>
      <c r="K10" s="7">
        <f t="shared" si="38"/>
        <v>0.18053491827637447</v>
      </c>
      <c r="L10" s="7">
        <f t="shared" si="38"/>
        <v>0.19951632406287789</v>
      </c>
      <c r="M10" s="7">
        <f t="shared" si="38"/>
        <v>7.6240709661951511E-2</v>
      </c>
      <c r="N10" s="7">
        <f t="shared" si="38"/>
        <v>4.5434397163120588E-2</v>
      </c>
      <c r="O10" s="7">
        <f t="shared" si="38"/>
        <v>-2.5173064820641966E-2</v>
      </c>
      <c r="P10" s="7">
        <f t="shared" si="38"/>
        <v>-7.6612903225806717E-3</v>
      </c>
      <c r="Q10" s="7">
        <f t="shared" si="38"/>
        <v>5.6137224326130442E-2</v>
      </c>
      <c r="R10" s="7">
        <f t="shared" si="38"/>
        <v>3.9855840576637602E-2</v>
      </c>
      <c r="S10" s="7">
        <f t="shared" si="38"/>
        <v>-4.3038519474924986E-4</v>
      </c>
      <c r="T10" s="7">
        <f t="shared" si="38"/>
        <v>-1.0767980495733465E-2</v>
      </c>
      <c r="U10" s="7">
        <f t="shared" si="38"/>
        <v>1.1600928074245953E-2</v>
      </c>
      <c r="V10" s="7">
        <f t="shared" si="38"/>
        <v>2.4668705402650426E-2</v>
      </c>
      <c r="AJ10" s="7"/>
      <c r="AK10" s="7">
        <f t="shared" ref="AK10:AN10" si="39">AK4/AJ4-1</f>
        <v>0.16796008869179602</v>
      </c>
      <c r="AL10" s="7">
        <f t="shared" si="39"/>
        <v>0.12322021831988605</v>
      </c>
      <c r="AM10" s="7">
        <f t="shared" si="39"/>
        <v>1.4894628426556755E-2</v>
      </c>
      <c r="AN10" s="7">
        <f t="shared" si="39"/>
        <v>6.2971636742128467E-3</v>
      </c>
      <c r="AO10" s="12">
        <v>0.04</v>
      </c>
      <c r="AP10" s="12">
        <v>0.03</v>
      </c>
      <c r="AQ10" s="12">
        <v>0.03</v>
      </c>
      <c r="AR10" s="12">
        <v>0.03</v>
      </c>
      <c r="AS10" s="12">
        <v>0.02</v>
      </c>
      <c r="AT10" s="12">
        <v>0.02</v>
      </c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</row>
    <row r="11" spans="2:81" ht="15">
      <c r="B11" s="2" t="s">
        <v>54</v>
      </c>
      <c r="C11" s="7"/>
      <c r="D11" s="7"/>
      <c r="E11" s="7"/>
      <c r="F11" s="7"/>
      <c r="G11" s="7">
        <f t="shared" ref="G11:V11" si="40">G5/C5-1</f>
        <v>4.8715265666782859E-2</v>
      </c>
      <c r="H11" s="7">
        <f t="shared" si="40"/>
        <v>0.41664335664335672</v>
      </c>
      <c r="I11" s="7">
        <f t="shared" si="40"/>
        <v>0.16065649560795192</v>
      </c>
      <c r="J11" s="7">
        <f t="shared" si="40"/>
        <v>9.9059342701196096E-2</v>
      </c>
      <c r="K11" s="7">
        <f t="shared" si="40"/>
        <v>0.16308203991130821</v>
      </c>
      <c r="L11" s="7">
        <f t="shared" si="40"/>
        <v>0.11807680916181251</v>
      </c>
      <c r="M11" s="7">
        <f t="shared" si="40"/>
        <v>0.10167297351125271</v>
      </c>
      <c r="N11" s="7">
        <f t="shared" si="40"/>
        <v>6.9843617920541057E-2</v>
      </c>
      <c r="O11" s="7">
        <f t="shared" si="40"/>
        <v>4.661138118387198E-2</v>
      </c>
      <c r="P11" s="7">
        <f t="shared" si="40"/>
        <v>5.713024282560708E-2</v>
      </c>
      <c r="Q11" s="7">
        <f t="shared" si="40"/>
        <v>8.0448341317906458E-2</v>
      </c>
      <c r="R11" s="7">
        <f t="shared" si="40"/>
        <v>7.150617283950611E-2</v>
      </c>
      <c r="S11" s="7">
        <f t="shared" si="40"/>
        <v>2.9143897996356971E-2</v>
      </c>
      <c r="T11" s="7">
        <f t="shared" si="40"/>
        <v>3.2659538924156406E-2</v>
      </c>
      <c r="U11" s="7">
        <f t="shared" si="40"/>
        <v>-8.2824395549234708E-3</v>
      </c>
      <c r="V11" s="7">
        <f t="shared" si="40"/>
        <v>6.4061203797584954E-2</v>
      </c>
      <c r="AJ11" s="7"/>
      <c r="AK11" s="7">
        <f t="shared" ref="AK11:AN11" si="41">AK5/AJ5-1</f>
        <v>0.17086690494941537</v>
      </c>
      <c r="AL11" s="7">
        <f t="shared" si="41"/>
        <v>0.11250808433579107</v>
      </c>
      <c r="AM11" s="7">
        <f t="shared" si="41"/>
        <v>6.3947539763743011E-2</v>
      </c>
      <c r="AN11" s="7">
        <f t="shared" si="41"/>
        <v>2.8565808453905772E-2</v>
      </c>
      <c r="AO11" s="12">
        <f>AO5/AN5-1</f>
        <v>4.5891290027836318E-2</v>
      </c>
      <c r="AP11" s="12">
        <f t="shared" ref="AP11:AT11" si="42">AP5/AO5-1</f>
        <v>5.3657734176420613E-2</v>
      </c>
      <c r="AQ11" s="12">
        <f t="shared" si="42"/>
        <v>6.0030833006408102E-2</v>
      </c>
      <c r="AR11" s="12">
        <f t="shared" si="42"/>
        <v>6.0596562512182039E-2</v>
      </c>
      <c r="AS11" s="12">
        <f t="shared" si="42"/>
        <v>3.8693792916819847E-2</v>
      </c>
      <c r="AT11" s="12">
        <f t="shared" si="42"/>
        <v>3.2598183536870273E-2</v>
      </c>
      <c r="AU11" s="12">
        <f>$AQ$49</f>
        <v>0.03</v>
      </c>
      <c r="AV11" s="12">
        <f t="shared" ref="AV11:CC11" si="43">$AQ$49</f>
        <v>0.03</v>
      </c>
      <c r="AW11" s="12">
        <f t="shared" si="43"/>
        <v>0.03</v>
      </c>
      <c r="AX11" s="12">
        <f t="shared" si="43"/>
        <v>0.03</v>
      </c>
      <c r="AY11" s="12">
        <f t="shared" si="43"/>
        <v>0.03</v>
      </c>
      <c r="AZ11" s="12">
        <f t="shared" si="43"/>
        <v>0.03</v>
      </c>
      <c r="BA11" s="12">
        <f t="shared" si="43"/>
        <v>0.03</v>
      </c>
      <c r="BB11" s="12">
        <f t="shared" si="43"/>
        <v>0.03</v>
      </c>
      <c r="BC11" s="12">
        <f t="shared" si="43"/>
        <v>0.03</v>
      </c>
      <c r="BD11" s="12">
        <f t="shared" si="43"/>
        <v>0.03</v>
      </c>
      <c r="BE11" s="12">
        <f t="shared" si="43"/>
        <v>0.03</v>
      </c>
      <c r="BF11" s="12">
        <f t="shared" si="43"/>
        <v>0.03</v>
      </c>
      <c r="BG11" s="12">
        <f t="shared" si="43"/>
        <v>0.03</v>
      </c>
      <c r="BH11" s="12">
        <f t="shared" si="43"/>
        <v>0.03</v>
      </c>
      <c r="BI11" s="12">
        <f t="shared" si="43"/>
        <v>0.03</v>
      </c>
      <c r="BJ11" s="12">
        <f t="shared" si="43"/>
        <v>0.03</v>
      </c>
      <c r="BK11" s="12">
        <f t="shared" si="43"/>
        <v>0.03</v>
      </c>
      <c r="BL11" s="12">
        <f t="shared" si="43"/>
        <v>0.03</v>
      </c>
      <c r="BM11" s="12">
        <f t="shared" si="43"/>
        <v>0.03</v>
      </c>
      <c r="BN11" s="12">
        <f t="shared" si="43"/>
        <v>0.03</v>
      </c>
      <c r="BO11" s="12">
        <f t="shared" si="43"/>
        <v>0.03</v>
      </c>
      <c r="BP11" s="12">
        <f t="shared" si="43"/>
        <v>0.03</v>
      </c>
      <c r="BQ11" s="12">
        <f t="shared" si="43"/>
        <v>0.03</v>
      </c>
      <c r="BR11" s="12">
        <f t="shared" si="43"/>
        <v>0.03</v>
      </c>
      <c r="BS11" s="12">
        <f t="shared" si="43"/>
        <v>0.03</v>
      </c>
      <c r="BT11" s="12">
        <f t="shared" si="43"/>
        <v>0.03</v>
      </c>
      <c r="BU11" s="12">
        <f t="shared" si="43"/>
        <v>0.03</v>
      </c>
      <c r="BV11" s="12">
        <f t="shared" si="43"/>
        <v>0.03</v>
      </c>
      <c r="BW11" s="12">
        <f t="shared" si="43"/>
        <v>0.03</v>
      </c>
      <c r="BX11" s="12">
        <f t="shared" si="43"/>
        <v>0.03</v>
      </c>
      <c r="BY11" s="12">
        <f t="shared" si="43"/>
        <v>0.03</v>
      </c>
      <c r="BZ11" s="12">
        <f t="shared" si="43"/>
        <v>0.03</v>
      </c>
      <c r="CA11" s="12">
        <f t="shared" si="43"/>
        <v>0.03</v>
      </c>
      <c r="CB11" s="12">
        <f t="shared" si="43"/>
        <v>0.03</v>
      </c>
      <c r="CC11" s="12">
        <f t="shared" si="43"/>
        <v>0.03</v>
      </c>
    </row>
    <row r="12" spans="2:81"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</row>
    <row r="13" spans="2:81">
      <c r="B13" s="1" t="s">
        <v>50</v>
      </c>
      <c r="C13" s="1">
        <v>2807</v>
      </c>
      <c r="D13" s="1">
        <v>2583</v>
      </c>
      <c r="E13" s="1">
        <v>3026</v>
      </c>
      <c r="F13" s="1">
        <f>11281-SUM(C13:E13)</f>
        <v>2865</v>
      </c>
      <c r="G13" s="1">
        <v>2893</v>
      </c>
      <c r="H13" s="1">
        <v>3332</v>
      </c>
      <c r="I13" s="1">
        <v>3418</v>
      </c>
      <c r="J13" s="1">
        <f>13010-SUM(G13:I13)</f>
        <v>3367</v>
      </c>
      <c r="K13" s="1">
        <v>3523</v>
      </c>
      <c r="L13" s="1">
        <v>3957</v>
      </c>
      <c r="M13" s="1">
        <v>4144</v>
      </c>
      <c r="N13" s="1">
        <f>15413-SUM(K13:M13)</f>
        <v>3789</v>
      </c>
      <c r="O13" s="1">
        <v>3849</v>
      </c>
      <c r="P13" s="1">
        <v>4302</v>
      </c>
      <c r="Q13" s="1">
        <v>4411</v>
      </c>
      <c r="R13" s="1">
        <f>16550-SUM(O13:Q13)</f>
        <v>3988</v>
      </c>
      <c r="S13" s="1">
        <v>4118</v>
      </c>
      <c r="T13" s="1">
        <v>4740</v>
      </c>
      <c r="U13" s="1">
        <v>4903</v>
      </c>
      <c r="V13" s="1">
        <f>18362-SUM(S13:U13)</f>
        <v>4601</v>
      </c>
      <c r="AJ13" s="1">
        <f>SUM(C13:F13)</f>
        <v>11281</v>
      </c>
      <c r="AK13" s="1">
        <f>SUM(G13:J13)</f>
        <v>13010</v>
      </c>
      <c r="AL13" s="1">
        <f>SUM(K13:N13)</f>
        <v>15413</v>
      </c>
      <c r="AM13" s="1">
        <f>SUM(O13:R13)</f>
        <v>16550</v>
      </c>
      <c r="AN13" s="1">
        <f>SUM(S13:V13)</f>
        <v>18362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</row>
    <row r="14" spans="2:81">
      <c r="B14" s="1" t="s">
        <v>51</v>
      </c>
      <c r="C14" s="1">
        <v>5794</v>
      </c>
      <c r="D14" s="1">
        <v>4567</v>
      </c>
      <c r="E14" s="1">
        <v>5626</v>
      </c>
      <c r="F14" s="1">
        <f>21733-SUM(C14:E14)</f>
        <v>5746</v>
      </c>
      <c r="G14" s="1">
        <v>6127</v>
      </c>
      <c r="H14" s="1">
        <v>6797</v>
      </c>
      <c r="I14" s="1">
        <v>6624</v>
      </c>
      <c r="J14" s="1">
        <f>25645-SUM(G14:I14)</f>
        <v>6097</v>
      </c>
      <c r="K14" s="1">
        <v>6968</v>
      </c>
      <c r="L14" s="1">
        <v>7368</v>
      </c>
      <c r="M14" s="1">
        <v>6919</v>
      </c>
      <c r="N14" s="1">
        <f>27591-SUM(K14:M14)</f>
        <v>6336</v>
      </c>
      <c r="O14" s="1">
        <v>7131</v>
      </c>
      <c r="P14" s="1">
        <v>7670</v>
      </c>
      <c r="Q14" s="1">
        <v>7542</v>
      </c>
      <c r="R14" s="1">
        <f>29204-SUM(O14:Q14)</f>
        <v>6861</v>
      </c>
      <c r="S14" s="1">
        <v>7182</v>
      </c>
      <c r="T14" s="1">
        <v>7623</v>
      </c>
      <c r="U14" s="1">
        <v>6951</v>
      </c>
      <c r="V14" s="1">
        <f>28699-SUM(S14:U14)</f>
        <v>6943</v>
      </c>
      <c r="AJ14" s="1">
        <f>SUM(C14:F14)</f>
        <v>21733</v>
      </c>
      <c r="AK14" s="1">
        <f>SUM(G14:J14)</f>
        <v>25645</v>
      </c>
      <c r="AL14" s="1">
        <f>SUM(K14:N14)</f>
        <v>27591</v>
      </c>
      <c r="AM14" s="1">
        <f>SUM(O14:R14)</f>
        <v>29204</v>
      </c>
      <c r="AN14" s="1">
        <f>SUM(S14:V14)</f>
        <v>28699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</row>
    <row r="15" spans="2:81" ht="15">
      <c r="B15" s="2" t="s">
        <v>48</v>
      </c>
      <c r="C15" s="1">
        <f t="shared" ref="C15" si="44">C14+C13</f>
        <v>8601</v>
      </c>
      <c r="D15" s="1">
        <f t="shared" ref="D15" si="45">D14+D13</f>
        <v>7150</v>
      </c>
      <c r="E15" s="1">
        <f t="shared" ref="E15" si="46">E14+E13</f>
        <v>8652</v>
      </c>
      <c r="F15" s="1">
        <f t="shared" ref="F15" si="47">F14+F13</f>
        <v>8611</v>
      </c>
      <c r="G15" s="1">
        <f t="shared" ref="G15:H15" si="48">G14+G13</f>
        <v>9020</v>
      </c>
      <c r="H15" s="1">
        <f t="shared" si="48"/>
        <v>10129</v>
      </c>
      <c r="I15" s="1">
        <f t="shared" ref="I15" si="49">I14+I13</f>
        <v>10042</v>
      </c>
      <c r="J15" s="1">
        <f t="shared" ref="J15" si="50">J14+J13</f>
        <v>9464</v>
      </c>
      <c r="K15" s="1">
        <f t="shared" ref="K15:M15" si="51">K14+K13</f>
        <v>10491</v>
      </c>
      <c r="L15" s="1">
        <f t="shared" si="51"/>
        <v>11325</v>
      </c>
      <c r="M15" s="1">
        <f t="shared" si="51"/>
        <v>11063</v>
      </c>
      <c r="N15" s="1">
        <f t="shared" ref="N15:O15" si="52">N14+N13</f>
        <v>10125</v>
      </c>
      <c r="O15" s="1">
        <f t="shared" si="52"/>
        <v>10980</v>
      </c>
      <c r="P15" s="1">
        <f t="shared" ref="P15" si="53">P14+P13</f>
        <v>11972</v>
      </c>
      <c r="Q15" s="1">
        <f t="shared" ref="Q15" si="54">Q14+Q13</f>
        <v>11953</v>
      </c>
      <c r="R15" s="1">
        <f t="shared" ref="R15:S15" si="55">R14+R13</f>
        <v>10849</v>
      </c>
      <c r="S15" s="1">
        <f t="shared" si="55"/>
        <v>11300</v>
      </c>
      <c r="T15" s="1">
        <f t="shared" ref="T15" si="56">T14+T13</f>
        <v>12363</v>
      </c>
      <c r="U15" s="1">
        <f t="shared" ref="U15" si="57">U14+U13</f>
        <v>11854</v>
      </c>
      <c r="V15" s="1">
        <f t="shared" ref="V15" si="58">V14+V13</f>
        <v>11544</v>
      </c>
      <c r="AJ15" s="1">
        <f>SUM(C15:F15)</f>
        <v>33014</v>
      </c>
      <c r="AK15" s="1">
        <f>SUM(G15:J15)</f>
        <v>38655</v>
      </c>
      <c r="AL15" s="1">
        <f>SUM(K15:N15)</f>
        <v>43004</v>
      </c>
      <c r="AM15" s="1">
        <f>SUM(O15:R15)</f>
        <v>45754</v>
      </c>
      <c r="AN15" s="1">
        <f>SUM(S15:V15)</f>
        <v>47061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</row>
    <row r="16" spans="2:81"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</row>
    <row r="17" spans="2:81">
      <c r="B17" s="1" t="s">
        <v>172</v>
      </c>
      <c r="C17" s="5">
        <f t="shared" ref="C17:U17" si="59">C13/C15</f>
        <v>0.32635740030229043</v>
      </c>
      <c r="D17" s="5">
        <f t="shared" si="59"/>
        <v>0.36125874125874124</v>
      </c>
      <c r="E17" s="5">
        <f t="shared" si="59"/>
        <v>0.34974572353213129</v>
      </c>
      <c r="F17" s="5">
        <f t="shared" si="59"/>
        <v>0.33271397050284518</v>
      </c>
      <c r="G17" s="5">
        <f t="shared" si="59"/>
        <v>0.32073170731707318</v>
      </c>
      <c r="H17" s="5">
        <f t="shared" si="59"/>
        <v>0.32895646164478232</v>
      </c>
      <c r="I17" s="5">
        <f t="shared" si="59"/>
        <v>0.34037044413463452</v>
      </c>
      <c r="J17" s="5">
        <f t="shared" si="59"/>
        <v>0.35576923076923078</v>
      </c>
      <c r="K17" s="5">
        <f t="shared" si="59"/>
        <v>0.33581164807930608</v>
      </c>
      <c r="L17" s="5">
        <f t="shared" si="59"/>
        <v>0.3494039735099338</v>
      </c>
      <c r="M17" s="5">
        <f t="shared" si="59"/>
        <v>0.37458193979933108</v>
      </c>
      <c r="N17" s="5">
        <f t="shared" si="59"/>
        <v>0.37422222222222223</v>
      </c>
      <c r="O17" s="5">
        <f t="shared" si="59"/>
        <v>0.35054644808743168</v>
      </c>
      <c r="P17" s="5">
        <f t="shared" si="59"/>
        <v>0.35933845639826262</v>
      </c>
      <c r="Q17" s="5">
        <f t="shared" si="59"/>
        <v>0.36902869572492264</v>
      </c>
      <c r="R17" s="5">
        <f t="shared" si="59"/>
        <v>0.3675914830859987</v>
      </c>
      <c r="S17" s="5">
        <f t="shared" si="59"/>
        <v>0.36442477876106194</v>
      </c>
      <c r="T17" s="5">
        <f t="shared" si="59"/>
        <v>0.38340208687211841</v>
      </c>
      <c r="U17" s="5">
        <f t="shared" si="59"/>
        <v>0.41361565716213938</v>
      </c>
      <c r="V17" s="5">
        <f>V13/V15</f>
        <v>0.39856202356202358</v>
      </c>
      <c r="AJ17" s="7">
        <f t="shared" ref="AJ17:AM17" si="60">AJ13/AJ15</f>
        <v>0.34170351971890711</v>
      </c>
      <c r="AK17" s="7">
        <f t="shared" si="60"/>
        <v>0.33656706764972188</v>
      </c>
      <c r="AL17" s="7">
        <f t="shared" si="60"/>
        <v>0.35840852013766161</v>
      </c>
      <c r="AM17" s="7">
        <f t="shared" si="60"/>
        <v>0.36171700834899678</v>
      </c>
      <c r="AN17" s="7">
        <f>AN13/AN15</f>
        <v>0.39017445443148252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</row>
    <row r="18" spans="2:81">
      <c r="B18" s="1" t="s">
        <v>173</v>
      </c>
      <c r="C18" s="5">
        <f t="shared" ref="C18:U18" si="61">C14/C15</f>
        <v>0.67364259969770957</v>
      </c>
      <c r="D18" s="5">
        <f t="shared" si="61"/>
        <v>0.63874125874125876</v>
      </c>
      <c r="E18" s="5">
        <f t="shared" si="61"/>
        <v>0.65025427646786871</v>
      </c>
      <c r="F18" s="5">
        <f t="shared" si="61"/>
        <v>0.66728602949715476</v>
      </c>
      <c r="G18" s="5">
        <f t="shared" si="61"/>
        <v>0.67926829268292688</v>
      </c>
      <c r="H18" s="5">
        <f t="shared" si="61"/>
        <v>0.67104353835521768</v>
      </c>
      <c r="I18" s="5">
        <f t="shared" si="61"/>
        <v>0.65962955586536542</v>
      </c>
      <c r="J18" s="5">
        <f t="shared" si="61"/>
        <v>0.64423076923076927</v>
      </c>
      <c r="K18" s="5">
        <f t="shared" si="61"/>
        <v>0.66418835192069392</v>
      </c>
      <c r="L18" s="5">
        <f t="shared" si="61"/>
        <v>0.6505960264900662</v>
      </c>
      <c r="M18" s="5">
        <f t="shared" si="61"/>
        <v>0.62541806020066892</v>
      </c>
      <c r="N18" s="5">
        <f t="shared" si="61"/>
        <v>0.62577777777777777</v>
      </c>
      <c r="O18" s="5">
        <f t="shared" si="61"/>
        <v>0.64945355191256826</v>
      </c>
      <c r="P18" s="5">
        <f t="shared" si="61"/>
        <v>0.64066154360173744</v>
      </c>
      <c r="Q18" s="5">
        <f t="shared" si="61"/>
        <v>0.63097130427507742</v>
      </c>
      <c r="R18" s="5">
        <f t="shared" si="61"/>
        <v>0.63240851691400124</v>
      </c>
      <c r="S18" s="5">
        <f t="shared" si="61"/>
        <v>0.63557522123893806</v>
      </c>
      <c r="T18" s="5">
        <f t="shared" si="61"/>
        <v>0.61659791312788159</v>
      </c>
      <c r="U18" s="5">
        <f t="shared" si="61"/>
        <v>0.58638434283786067</v>
      </c>
      <c r="V18" s="5">
        <f>V14/V15</f>
        <v>0.60143797643797647</v>
      </c>
      <c r="AJ18" s="7">
        <f t="shared" ref="AJ18:AM18" si="62">AJ14/AJ15</f>
        <v>0.65829648028109289</v>
      </c>
      <c r="AK18" s="7">
        <f t="shared" si="62"/>
        <v>0.66343293235027812</v>
      </c>
      <c r="AL18" s="7">
        <f t="shared" si="62"/>
        <v>0.64159147986233833</v>
      </c>
      <c r="AM18" s="7">
        <f t="shared" si="62"/>
        <v>0.63828299165100322</v>
      </c>
      <c r="AN18" s="7">
        <f>AN14/AN15</f>
        <v>0.60982554556851742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</row>
    <row r="19" spans="2:81">
      <c r="B19" s="1" t="s">
        <v>55</v>
      </c>
      <c r="G19" s="5">
        <f t="shared" ref="G19:U19" si="63">G13/C13-1</f>
        <v>3.0637691485571716E-2</v>
      </c>
      <c r="H19" s="5">
        <f t="shared" si="63"/>
        <v>0.2899728997289972</v>
      </c>
      <c r="I19" s="5">
        <f t="shared" si="63"/>
        <v>0.12954395241242556</v>
      </c>
      <c r="J19" s="5">
        <f t="shared" si="63"/>
        <v>0.17521815008726005</v>
      </c>
      <c r="K19" s="5">
        <f t="shared" si="63"/>
        <v>0.21776702385067415</v>
      </c>
      <c r="L19" s="5">
        <f t="shared" si="63"/>
        <v>0.18757503001200471</v>
      </c>
      <c r="M19" s="5">
        <f t="shared" si="63"/>
        <v>0.21240491515506155</v>
      </c>
      <c r="N19" s="5">
        <f>N13/J13-1</f>
        <v>0.12533412533412536</v>
      </c>
      <c r="O19" s="5">
        <f t="shared" si="63"/>
        <v>9.2534771501561197E-2</v>
      </c>
      <c r="P19" s="5">
        <f t="shared" si="63"/>
        <v>8.7187263078089439E-2</v>
      </c>
      <c r="Q19" s="5">
        <f t="shared" si="63"/>
        <v>6.4430501930502038E-2</v>
      </c>
      <c r="R19" s="5">
        <f t="shared" si="63"/>
        <v>5.2520453945632095E-2</v>
      </c>
      <c r="S19" s="5">
        <f t="shared" si="63"/>
        <v>6.9888282670823587E-2</v>
      </c>
      <c r="T19" s="5">
        <f t="shared" si="63"/>
        <v>0.10181311018131112</v>
      </c>
      <c r="U19" s="5">
        <f t="shared" si="63"/>
        <v>0.11153933348447054</v>
      </c>
      <c r="V19" s="5">
        <f>V13/R13-1</f>
        <v>0.15371113340020059</v>
      </c>
      <c r="AK19" s="5">
        <f>AK13/AJ13-1</f>
        <v>0.15326655438347658</v>
      </c>
      <c r="AL19" s="5">
        <f t="shared" ref="AL19:AM19" si="64">AL13/AK13-1</f>
        <v>0.1847040737893928</v>
      </c>
      <c r="AM19" s="5">
        <f t="shared" si="64"/>
        <v>7.3768896386167571E-2</v>
      </c>
      <c r="AN19" s="5">
        <f>AN13/AM13-1</f>
        <v>0.10948640483383687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</row>
    <row r="20" spans="2:81">
      <c r="B20" s="1" t="s">
        <v>56</v>
      </c>
      <c r="G20" s="5">
        <f t="shared" ref="G20:V20" si="65">G14/C14-1</f>
        <v>5.7473248187780435E-2</v>
      </c>
      <c r="H20" s="5">
        <f t="shared" si="65"/>
        <v>0.48828552660389746</v>
      </c>
      <c r="I20" s="5">
        <f t="shared" si="65"/>
        <v>0.17739068610024877</v>
      </c>
      <c r="J20" s="5">
        <f t="shared" si="65"/>
        <v>6.1085972850678738E-2</v>
      </c>
      <c r="K20" s="5">
        <f t="shared" si="65"/>
        <v>0.13726130243185897</v>
      </c>
      <c r="L20" s="5">
        <f t="shared" si="65"/>
        <v>8.4007650434015035E-2</v>
      </c>
      <c r="M20" s="5">
        <f t="shared" si="65"/>
        <v>4.4535024154589431E-2</v>
      </c>
      <c r="N20" s="5">
        <f t="shared" si="65"/>
        <v>3.9199606363785389E-2</v>
      </c>
      <c r="O20" s="5">
        <f t="shared" si="65"/>
        <v>2.3392652123995328E-2</v>
      </c>
      <c r="P20" s="5">
        <f t="shared" si="65"/>
        <v>4.0988056460369071E-2</v>
      </c>
      <c r="Q20" s="5">
        <f t="shared" si="65"/>
        <v>9.0041913571325294E-2</v>
      </c>
      <c r="R20" s="5">
        <f t="shared" si="65"/>
        <v>8.2859848484848397E-2</v>
      </c>
      <c r="S20" s="5">
        <f t="shared" si="65"/>
        <v>7.1518721076988534E-3</v>
      </c>
      <c r="T20" s="5">
        <f t="shared" si="65"/>
        <v>-6.1277705345501587E-3</v>
      </c>
      <c r="U20" s="5">
        <f t="shared" si="65"/>
        <v>-7.8361177406523486E-2</v>
      </c>
      <c r="V20" s="5">
        <f t="shared" si="65"/>
        <v>1.1951610552397574E-2</v>
      </c>
      <c r="AK20" s="5">
        <f>AK14/AJ14-1</f>
        <v>0.18000276077853949</v>
      </c>
      <c r="AL20" s="5">
        <f t="shared" ref="AL20:AN20" si="66">AL14/AK14-1</f>
        <v>7.5882238253070833E-2</v>
      </c>
      <c r="AM20" s="5">
        <f t="shared" si="66"/>
        <v>5.8461092385198032E-2</v>
      </c>
      <c r="AN20" s="5">
        <f t="shared" si="66"/>
        <v>-1.7292151760032848E-2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</row>
    <row r="21" spans="2:81" ht="15">
      <c r="B21" s="2" t="s">
        <v>54</v>
      </c>
      <c r="G21" s="5">
        <f t="shared" ref="G21:V21" si="67">G15/C15-1</f>
        <v>4.8715265666782859E-2</v>
      </c>
      <c r="H21" s="5">
        <f t="shared" si="67"/>
        <v>0.41664335664335672</v>
      </c>
      <c r="I21" s="5">
        <f t="shared" si="67"/>
        <v>0.16065649560795192</v>
      </c>
      <c r="J21" s="5">
        <f t="shared" si="67"/>
        <v>9.9059342701196096E-2</v>
      </c>
      <c r="K21" s="5">
        <f t="shared" si="67"/>
        <v>0.16308203991130821</v>
      </c>
      <c r="L21" s="5">
        <f t="shared" si="67"/>
        <v>0.11807680916181251</v>
      </c>
      <c r="M21" s="5">
        <f t="shared" si="67"/>
        <v>0.10167297351125271</v>
      </c>
      <c r="N21" s="5">
        <f t="shared" si="67"/>
        <v>6.9843617920541057E-2</v>
      </c>
      <c r="O21" s="5">
        <f t="shared" si="67"/>
        <v>4.661138118387198E-2</v>
      </c>
      <c r="P21" s="5">
        <f t="shared" si="67"/>
        <v>5.713024282560708E-2</v>
      </c>
      <c r="Q21" s="5">
        <f t="shared" si="67"/>
        <v>8.0448341317906458E-2</v>
      </c>
      <c r="R21" s="5">
        <f t="shared" si="67"/>
        <v>7.150617283950611E-2</v>
      </c>
      <c r="S21" s="5">
        <f t="shared" si="67"/>
        <v>2.9143897996356971E-2</v>
      </c>
      <c r="T21" s="5">
        <f t="shared" si="67"/>
        <v>3.2659538924156406E-2</v>
      </c>
      <c r="U21" s="5">
        <f t="shared" si="67"/>
        <v>-8.2824395549234708E-3</v>
      </c>
      <c r="V21" s="5">
        <f t="shared" si="67"/>
        <v>6.4061203797584954E-2</v>
      </c>
      <c r="AK21" s="5">
        <f t="shared" ref="AK21:AN21" si="68">AK15/AJ15-1</f>
        <v>0.17086690494941537</v>
      </c>
      <c r="AL21" s="5">
        <f t="shared" si="68"/>
        <v>0.11250808433579107</v>
      </c>
      <c r="AM21" s="5">
        <f t="shared" si="68"/>
        <v>6.3947539763743011E-2</v>
      </c>
      <c r="AN21" s="5">
        <f t="shared" si="68"/>
        <v>2.8565808453905772E-2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</row>
    <row r="22" spans="2:81"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</row>
    <row r="23" spans="2:81">
      <c r="B23" s="1" t="s">
        <v>105</v>
      </c>
      <c r="C23" s="1">
        <f t="shared" ref="C23:U23" si="69">C15</f>
        <v>8601</v>
      </c>
      <c r="D23" s="1">
        <f t="shared" si="69"/>
        <v>7150</v>
      </c>
      <c r="E23" s="1">
        <f t="shared" si="69"/>
        <v>8652</v>
      </c>
      <c r="F23" s="1">
        <f t="shared" si="69"/>
        <v>8611</v>
      </c>
      <c r="G23" s="1">
        <f t="shared" si="69"/>
        <v>9020</v>
      </c>
      <c r="H23" s="1">
        <f t="shared" si="69"/>
        <v>10129</v>
      </c>
      <c r="I23" s="1">
        <f t="shared" si="69"/>
        <v>10042</v>
      </c>
      <c r="J23" s="1">
        <f t="shared" si="69"/>
        <v>9464</v>
      </c>
      <c r="K23" s="1">
        <f t="shared" si="69"/>
        <v>10491</v>
      </c>
      <c r="L23" s="1">
        <f t="shared" si="69"/>
        <v>11325</v>
      </c>
      <c r="M23" s="1">
        <f t="shared" si="69"/>
        <v>11063</v>
      </c>
      <c r="N23" s="1">
        <f t="shared" si="69"/>
        <v>10125</v>
      </c>
      <c r="O23" s="1">
        <f t="shared" si="69"/>
        <v>10980</v>
      </c>
      <c r="P23" s="1">
        <f t="shared" si="69"/>
        <v>11972</v>
      </c>
      <c r="Q23" s="1">
        <f t="shared" si="69"/>
        <v>11953</v>
      </c>
      <c r="R23" s="1">
        <f t="shared" si="69"/>
        <v>10849</v>
      </c>
      <c r="S23" s="1">
        <f t="shared" si="69"/>
        <v>11300</v>
      </c>
      <c r="T23" s="1">
        <f t="shared" si="69"/>
        <v>12363</v>
      </c>
      <c r="U23" s="1">
        <f t="shared" si="69"/>
        <v>11854</v>
      </c>
      <c r="V23" s="1">
        <f t="shared" ref="V23" si="70">V15</f>
        <v>11544</v>
      </c>
      <c r="AJ23" s="1">
        <f t="shared" ref="AJ23:AJ39" si="71">SUM(C23:F23)</f>
        <v>33014</v>
      </c>
      <c r="AK23" s="1">
        <f t="shared" ref="AK23:AK39" si="72">SUM(G23:J23)</f>
        <v>38655</v>
      </c>
      <c r="AL23" s="1">
        <f t="shared" ref="AL23:AL39" si="73">SUM(K23:N23)</f>
        <v>43004</v>
      </c>
      <c r="AM23" s="1">
        <f t="shared" ref="AM23:AM39" si="74">SUM(O23:R23)</f>
        <v>45754</v>
      </c>
      <c r="AN23" s="1">
        <f t="shared" ref="AN23:AN39" si="75">SUM(S23:V23)</f>
        <v>47061</v>
      </c>
      <c r="AO23" s="14">
        <f>AO5</f>
        <v>49220.69</v>
      </c>
      <c r="AP23" s="14">
        <f t="shared" ref="AP23:CC23" si="76">AP5</f>
        <v>51861.760700000006</v>
      </c>
      <c r="AQ23" s="14">
        <f t="shared" si="76"/>
        <v>54975.065396000005</v>
      </c>
      <c r="AR23" s="14">
        <f t="shared" si="76"/>
        <v>58306.365382880016</v>
      </c>
      <c r="AS23" s="14">
        <f t="shared" si="76"/>
        <v>60562.459810737608</v>
      </c>
      <c r="AT23" s="14">
        <f t="shared" si="76"/>
        <v>62536.685991092367</v>
      </c>
      <c r="AU23" s="14">
        <f t="shared" si="76"/>
        <v>64412.786570825141</v>
      </c>
      <c r="AV23" s="14">
        <f t="shared" si="76"/>
        <v>66345.170167949895</v>
      </c>
      <c r="AW23" s="14">
        <f t="shared" si="76"/>
        <v>68335.525272988394</v>
      </c>
      <c r="AX23" s="14">
        <f t="shared" si="76"/>
        <v>70385.591031178046</v>
      </c>
      <c r="AY23" s="14">
        <f t="shared" si="76"/>
        <v>72497.158762113395</v>
      </c>
      <c r="AZ23" s="14">
        <f t="shared" si="76"/>
        <v>74672.073524976804</v>
      </c>
      <c r="BA23" s="14">
        <f t="shared" si="76"/>
        <v>76912.235730726112</v>
      </c>
      <c r="BB23" s="14">
        <f t="shared" si="76"/>
        <v>79219.602802647903</v>
      </c>
      <c r="BC23" s="14">
        <f t="shared" si="76"/>
        <v>81596.190886727345</v>
      </c>
      <c r="BD23" s="14">
        <f t="shared" si="76"/>
        <v>84044.076613329162</v>
      </c>
      <c r="BE23" s="14">
        <f t="shared" si="76"/>
        <v>86565.398911729033</v>
      </c>
      <c r="BF23" s="14">
        <f t="shared" si="76"/>
        <v>89162.360879080908</v>
      </c>
      <c r="BG23" s="14">
        <f t="shared" si="76"/>
        <v>91837.231705453334</v>
      </c>
      <c r="BH23" s="14">
        <f t="shared" si="76"/>
        <v>94592.34865661693</v>
      </c>
      <c r="BI23" s="14">
        <f t="shared" si="76"/>
        <v>97430.119116315444</v>
      </c>
      <c r="BJ23" s="14">
        <f t="shared" si="76"/>
        <v>100353.02268980491</v>
      </c>
      <c r="BK23" s="14">
        <f t="shared" si="76"/>
        <v>103363.61337049906</v>
      </c>
      <c r="BL23" s="14">
        <f t="shared" si="76"/>
        <v>106464.52177161403</v>
      </c>
      <c r="BM23" s="14">
        <f t="shared" si="76"/>
        <v>109658.45742476246</v>
      </c>
      <c r="BN23" s="14">
        <f t="shared" si="76"/>
        <v>112948.21114750534</v>
      </c>
      <c r="BO23" s="14">
        <f t="shared" si="76"/>
        <v>116336.6574819305</v>
      </c>
      <c r="BP23" s="14">
        <f t="shared" si="76"/>
        <v>119826.75720638841</v>
      </c>
      <c r="BQ23" s="14">
        <f t="shared" si="76"/>
        <v>123421.55992258007</v>
      </c>
      <c r="BR23" s="14">
        <f t="shared" si="76"/>
        <v>127124.20672025747</v>
      </c>
      <c r="BS23" s="14">
        <f t="shared" si="76"/>
        <v>130937.9329218652</v>
      </c>
      <c r="BT23" s="14">
        <f t="shared" si="76"/>
        <v>134866.07090952116</v>
      </c>
      <c r="BU23" s="14">
        <f t="shared" si="76"/>
        <v>138912.05303680681</v>
      </c>
      <c r="BV23" s="14">
        <f t="shared" si="76"/>
        <v>143079.41462791103</v>
      </c>
      <c r="BW23" s="14">
        <f t="shared" si="76"/>
        <v>147371.79706674838</v>
      </c>
      <c r="BX23" s="14">
        <f t="shared" si="76"/>
        <v>151792.95097875083</v>
      </c>
      <c r="BY23" s="14">
        <f t="shared" si="76"/>
        <v>156346.73950811336</v>
      </c>
      <c r="BZ23" s="14">
        <f t="shared" si="76"/>
        <v>161037.14169335677</v>
      </c>
      <c r="CA23" s="14">
        <f t="shared" si="76"/>
        <v>165868.25594415748</v>
      </c>
      <c r="CB23" s="14">
        <f t="shared" si="76"/>
        <v>170844.30362248223</v>
      </c>
      <c r="CC23" s="14">
        <f t="shared" si="76"/>
        <v>175969.63273115669</v>
      </c>
    </row>
    <row r="24" spans="2:81">
      <c r="B24" s="1" t="s">
        <v>103</v>
      </c>
      <c r="C24" s="1">
        <v>3371</v>
      </c>
      <c r="D24" s="1">
        <v>3013</v>
      </c>
      <c r="E24" s="1">
        <v>3471</v>
      </c>
      <c r="F24" s="1">
        <f>13433-SUM(C24:E24)</f>
        <v>3578</v>
      </c>
      <c r="G24" s="1">
        <v>3505</v>
      </c>
      <c r="H24" s="1">
        <v>3787</v>
      </c>
      <c r="I24" s="1">
        <v>3977</v>
      </c>
      <c r="J24" s="1">
        <f>15357-SUM(G24:I24)</f>
        <v>4088</v>
      </c>
      <c r="K24" s="1">
        <v>4091</v>
      </c>
      <c r="L24" s="1">
        <v>4830</v>
      </c>
      <c r="M24" s="1">
        <v>4566</v>
      </c>
      <c r="N24" s="1">
        <f>18000-SUM(K24:M24)</f>
        <v>4513</v>
      </c>
      <c r="O24" s="1">
        <v>4317</v>
      </c>
      <c r="P24" s="1">
        <v>4912</v>
      </c>
      <c r="Q24" s="1">
        <v>4657</v>
      </c>
      <c r="R24" s="1">
        <f>18520-SUM(O24:Q24)</f>
        <v>4634</v>
      </c>
      <c r="S24" s="1">
        <v>4235</v>
      </c>
      <c r="T24" s="1">
        <v>4812</v>
      </c>
      <c r="U24" s="1">
        <v>4664</v>
      </c>
      <c r="V24" s="1">
        <f>18324-SUM(S24:U24)</f>
        <v>4613</v>
      </c>
      <c r="AJ24" s="1">
        <f t="shared" si="71"/>
        <v>13433</v>
      </c>
      <c r="AK24" s="1">
        <f t="shared" si="72"/>
        <v>15357</v>
      </c>
      <c r="AL24" s="1">
        <f t="shared" si="73"/>
        <v>18000</v>
      </c>
      <c r="AM24" s="1">
        <f t="shared" si="74"/>
        <v>18520</v>
      </c>
      <c r="AN24" s="1">
        <f t="shared" si="75"/>
        <v>18324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</row>
    <row r="25" spans="2:81">
      <c r="B25" s="1" t="s">
        <v>104</v>
      </c>
      <c r="C25" s="1">
        <f t="shared" ref="C25:R25" si="77">C23-C24</f>
        <v>5230</v>
      </c>
      <c r="D25" s="1">
        <f t="shared" si="77"/>
        <v>4137</v>
      </c>
      <c r="E25" s="1">
        <f t="shared" si="77"/>
        <v>5181</v>
      </c>
      <c r="F25" s="1">
        <f t="shared" si="77"/>
        <v>5033</v>
      </c>
      <c r="G25" s="1">
        <f t="shared" si="77"/>
        <v>5515</v>
      </c>
      <c r="H25" s="1">
        <f t="shared" si="77"/>
        <v>6342</v>
      </c>
      <c r="I25" s="1">
        <f t="shared" si="77"/>
        <v>6065</v>
      </c>
      <c r="J25" s="1">
        <f t="shared" si="77"/>
        <v>5376</v>
      </c>
      <c r="K25" s="1">
        <f t="shared" si="77"/>
        <v>6400</v>
      </c>
      <c r="L25" s="1">
        <f t="shared" si="77"/>
        <v>6495</v>
      </c>
      <c r="M25" s="1">
        <f t="shared" si="77"/>
        <v>6497</v>
      </c>
      <c r="N25" s="1">
        <f t="shared" si="77"/>
        <v>5612</v>
      </c>
      <c r="O25" s="1">
        <f t="shared" si="77"/>
        <v>6663</v>
      </c>
      <c r="P25" s="1">
        <f t="shared" si="77"/>
        <v>7060</v>
      </c>
      <c r="Q25" s="1">
        <f t="shared" si="77"/>
        <v>7296</v>
      </c>
      <c r="R25" s="1">
        <f t="shared" si="77"/>
        <v>6215</v>
      </c>
      <c r="S25" s="1">
        <f>S23-S24</f>
        <v>7065</v>
      </c>
      <c r="T25" s="1">
        <f t="shared" ref="T25:V25" si="78">T23-T24</f>
        <v>7551</v>
      </c>
      <c r="U25" s="1">
        <f t="shared" si="78"/>
        <v>7190</v>
      </c>
      <c r="V25" s="1">
        <f t="shared" si="78"/>
        <v>6931</v>
      </c>
      <c r="AJ25" s="1">
        <f t="shared" si="71"/>
        <v>19581</v>
      </c>
      <c r="AK25" s="1">
        <f t="shared" si="72"/>
        <v>23298</v>
      </c>
      <c r="AL25" s="1">
        <f t="shared" si="73"/>
        <v>25004</v>
      </c>
      <c r="AM25" s="1">
        <f t="shared" si="74"/>
        <v>27234</v>
      </c>
      <c r="AN25" s="1">
        <f t="shared" si="75"/>
        <v>28737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</row>
    <row r="26" spans="2:81">
      <c r="B26" s="1" t="s">
        <v>49</v>
      </c>
      <c r="C26" s="1">
        <v>2648</v>
      </c>
      <c r="D26" s="1">
        <v>1983</v>
      </c>
      <c r="E26" s="1">
        <v>2511</v>
      </c>
      <c r="F26" s="1">
        <f>9731-SUM(C26:E26)</f>
        <v>2589</v>
      </c>
      <c r="G26" s="1">
        <v>2669</v>
      </c>
      <c r="H26" s="1">
        <v>3017</v>
      </c>
      <c r="I26" s="1">
        <v>3122</v>
      </c>
      <c r="J26" s="1">
        <f>12144-SUM(G26:I26)</f>
        <v>3336</v>
      </c>
      <c r="K26" s="1">
        <v>2967</v>
      </c>
      <c r="L26" s="1">
        <v>3203</v>
      </c>
      <c r="M26" s="1">
        <v>3279</v>
      </c>
      <c r="N26" s="1">
        <f>12880-SUM(K26:M26)</f>
        <v>3431</v>
      </c>
      <c r="O26" s="1">
        <v>3185</v>
      </c>
      <c r="P26" s="1">
        <v>3321</v>
      </c>
      <c r="Q26" s="1">
        <v>3667</v>
      </c>
      <c r="R26" s="1">
        <f>13972-SUM(O26:Q26)</f>
        <v>3799</v>
      </c>
      <c r="S26" s="1">
        <v>3351</v>
      </c>
      <c r="T26" s="1">
        <v>3549</v>
      </c>
      <c r="U26" s="1">
        <v>3636</v>
      </c>
      <c r="V26" s="1">
        <f>14582-SUM(S26:U26)</f>
        <v>4046</v>
      </c>
      <c r="AJ26" s="1">
        <f t="shared" si="71"/>
        <v>9731</v>
      </c>
      <c r="AK26" s="1">
        <f t="shared" si="72"/>
        <v>12144</v>
      </c>
      <c r="AL26" s="1">
        <f t="shared" si="73"/>
        <v>12880</v>
      </c>
      <c r="AM26" s="1">
        <f t="shared" si="74"/>
        <v>13972</v>
      </c>
      <c r="AN26" s="1">
        <f t="shared" si="75"/>
        <v>14582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</row>
    <row r="27" spans="2:81">
      <c r="B27" s="1" t="s">
        <v>61</v>
      </c>
      <c r="C27" s="1">
        <v>202</v>
      </c>
      <c r="D27" s="1">
        <v>173</v>
      </c>
      <c r="E27" s="1">
        <v>372</v>
      </c>
      <c r="F27" s="1">
        <f>853-SUM(C27:E27)</f>
        <v>106</v>
      </c>
      <c r="G27" s="1">
        <v>124</v>
      </c>
      <c r="H27" s="1">
        <v>309</v>
      </c>
      <c r="I27" s="1">
        <v>45</v>
      </c>
      <c r="J27" s="1">
        <f>846-SUM(G27:I27)</f>
        <v>368</v>
      </c>
      <c r="K27" s="1">
        <v>28</v>
      </c>
      <c r="L27" s="1">
        <v>951</v>
      </c>
      <c r="M27" s="1">
        <v>130</v>
      </c>
      <c r="N27" s="1">
        <f>1215-SUM(K27:M27)</f>
        <v>106</v>
      </c>
      <c r="O27" s="1">
        <v>111</v>
      </c>
      <c r="P27" s="1">
        <v>1338</v>
      </c>
      <c r="Q27" s="1">
        <v>359</v>
      </c>
      <c r="R27" s="1">
        <f>1951-SUM(O27:Q27)</f>
        <v>143</v>
      </c>
      <c r="S27" s="1">
        <v>1573</v>
      </c>
      <c r="T27" s="1">
        <v>1370</v>
      </c>
      <c r="U27" s="1">
        <v>1044</v>
      </c>
      <c r="V27" s="1">
        <f>4163-SUM(S27:U27)</f>
        <v>176</v>
      </c>
      <c r="AJ27" s="1">
        <f t="shared" si="71"/>
        <v>853</v>
      </c>
      <c r="AK27" s="1">
        <f t="shared" si="72"/>
        <v>846</v>
      </c>
      <c r="AL27" s="1">
        <f t="shared" si="73"/>
        <v>1215</v>
      </c>
      <c r="AM27" s="1">
        <f t="shared" si="74"/>
        <v>1951</v>
      </c>
      <c r="AN27" s="1">
        <f t="shared" si="75"/>
        <v>4163</v>
      </c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</row>
    <row r="28" spans="2:81">
      <c r="B28" s="1" t="s">
        <v>102</v>
      </c>
      <c r="C28" s="1">
        <f t="shared" ref="C28:R28" si="79">C25-SUM(C26:C27)</f>
        <v>2380</v>
      </c>
      <c r="D28" s="1">
        <f t="shared" si="79"/>
        <v>1981</v>
      </c>
      <c r="E28" s="1">
        <f t="shared" si="79"/>
        <v>2298</v>
      </c>
      <c r="F28" s="1">
        <f t="shared" si="79"/>
        <v>2338</v>
      </c>
      <c r="G28" s="1">
        <f t="shared" si="79"/>
        <v>2722</v>
      </c>
      <c r="H28" s="1">
        <f t="shared" si="79"/>
        <v>3016</v>
      </c>
      <c r="I28" s="1">
        <f t="shared" si="79"/>
        <v>2898</v>
      </c>
      <c r="J28" s="1">
        <f t="shared" si="79"/>
        <v>1672</v>
      </c>
      <c r="K28" s="1">
        <f t="shared" si="79"/>
        <v>3405</v>
      </c>
      <c r="L28" s="1">
        <f t="shared" si="79"/>
        <v>2341</v>
      </c>
      <c r="M28" s="1">
        <f t="shared" si="79"/>
        <v>3088</v>
      </c>
      <c r="N28" s="1">
        <f t="shared" si="79"/>
        <v>2075</v>
      </c>
      <c r="O28" s="1">
        <f t="shared" si="79"/>
        <v>3367</v>
      </c>
      <c r="P28" s="1">
        <f t="shared" si="79"/>
        <v>2401</v>
      </c>
      <c r="Q28" s="1">
        <f t="shared" si="79"/>
        <v>3270</v>
      </c>
      <c r="R28" s="1">
        <f t="shared" si="79"/>
        <v>2273</v>
      </c>
      <c r="S28" s="1">
        <f>S25-SUM(S26:S27)</f>
        <v>2141</v>
      </c>
      <c r="T28" s="1">
        <f t="shared" ref="T28:V28" si="80">T25-SUM(T26:T27)</f>
        <v>2632</v>
      </c>
      <c r="U28" s="1">
        <f t="shared" si="80"/>
        <v>2510</v>
      </c>
      <c r="V28" s="1">
        <f t="shared" si="80"/>
        <v>2709</v>
      </c>
      <c r="AJ28" s="1">
        <f t="shared" si="71"/>
        <v>8997</v>
      </c>
      <c r="AK28" s="1">
        <f t="shared" si="72"/>
        <v>10308</v>
      </c>
      <c r="AL28" s="1">
        <f t="shared" si="73"/>
        <v>10909</v>
      </c>
      <c r="AM28" s="1">
        <f t="shared" si="74"/>
        <v>11311</v>
      </c>
      <c r="AN28" s="1">
        <f t="shared" si="75"/>
        <v>9992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</row>
    <row r="29" spans="2:81">
      <c r="B29" s="1" t="s">
        <v>63</v>
      </c>
      <c r="C29" s="1">
        <v>112</v>
      </c>
      <c r="D29" s="1">
        <v>100</v>
      </c>
      <c r="E29" s="1">
        <v>82</v>
      </c>
      <c r="F29" s="1">
        <f>370-SUM(C29:E29)</f>
        <v>76</v>
      </c>
      <c r="G29" s="1">
        <v>66</v>
      </c>
      <c r="H29" s="1">
        <v>71</v>
      </c>
      <c r="I29" s="1">
        <v>68</v>
      </c>
      <c r="J29" s="1">
        <f>276-SUM(G29:I29)</f>
        <v>71</v>
      </c>
      <c r="K29" s="1">
        <v>78</v>
      </c>
      <c r="L29" s="1">
        <v>100</v>
      </c>
      <c r="M29" s="1">
        <v>128</v>
      </c>
      <c r="N29" s="1">
        <f>449-SUM(K29:M29)</f>
        <v>143</v>
      </c>
      <c r="O29" s="1">
        <v>168</v>
      </c>
      <c r="P29" s="1">
        <v>224</v>
      </c>
      <c r="Q29" s="1">
        <v>248</v>
      </c>
      <c r="R29" s="1">
        <f>907-SUM(O29:Q29)</f>
        <v>267</v>
      </c>
      <c r="S29" s="1">
        <v>246</v>
      </c>
      <c r="T29" s="1">
        <v>275</v>
      </c>
      <c r="U29" s="1">
        <v>263</v>
      </c>
      <c r="V29" s="1">
        <f>988-SUM(S29:U29)</f>
        <v>204</v>
      </c>
      <c r="AJ29" s="1">
        <f t="shared" si="71"/>
        <v>370</v>
      </c>
      <c r="AK29" s="1">
        <f t="shared" si="72"/>
        <v>276</v>
      </c>
      <c r="AL29" s="1">
        <f t="shared" si="73"/>
        <v>449</v>
      </c>
      <c r="AM29" s="1">
        <f t="shared" si="74"/>
        <v>907</v>
      </c>
      <c r="AN29" s="1">
        <f t="shared" si="75"/>
        <v>988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</row>
    <row r="30" spans="2:81">
      <c r="B30" s="1" t="s">
        <v>90</v>
      </c>
      <c r="C30" s="1">
        <v>193</v>
      </c>
      <c r="D30" s="1">
        <v>274</v>
      </c>
      <c r="E30" s="1">
        <v>660</v>
      </c>
      <c r="F30" s="1">
        <f>1437-SUM(C30:E30)</f>
        <v>310</v>
      </c>
      <c r="G30" s="1">
        <v>442</v>
      </c>
      <c r="H30" s="1">
        <v>780</v>
      </c>
      <c r="I30" s="1">
        <v>210</v>
      </c>
      <c r="J30" s="1">
        <f>1597-SUM(G30:I30)</f>
        <v>165</v>
      </c>
      <c r="K30" s="1">
        <v>182</v>
      </c>
      <c r="L30" s="1">
        <v>198</v>
      </c>
      <c r="M30" s="1">
        <v>198</v>
      </c>
      <c r="N30" s="1">
        <f>882-SUM(K30:M30)</f>
        <v>304</v>
      </c>
      <c r="O30" s="1">
        <v>372</v>
      </c>
      <c r="P30" s="1">
        <v>374</v>
      </c>
      <c r="Q30" s="1">
        <v>368</v>
      </c>
      <c r="R30" s="1">
        <f>1527-SUM(O30:Q30)</f>
        <v>413</v>
      </c>
      <c r="S30" s="1">
        <v>382</v>
      </c>
      <c r="T30" s="1">
        <v>418</v>
      </c>
      <c r="U30" s="1">
        <v>425</v>
      </c>
      <c r="V30" s="1">
        <f>1656-SUM(S30:U30)</f>
        <v>431</v>
      </c>
      <c r="AJ30" s="1">
        <f t="shared" si="71"/>
        <v>1437</v>
      </c>
      <c r="AK30" s="1">
        <f t="shared" si="72"/>
        <v>1597</v>
      </c>
      <c r="AL30" s="1">
        <f t="shared" si="73"/>
        <v>882</v>
      </c>
      <c r="AM30" s="1">
        <f t="shared" si="74"/>
        <v>1527</v>
      </c>
      <c r="AN30" s="1">
        <f t="shared" si="75"/>
        <v>1656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</row>
    <row r="31" spans="2:81">
      <c r="B31" s="1" t="s">
        <v>64</v>
      </c>
      <c r="C31" s="1">
        <v>167</v>
      </c>
      <c r="D31" s="1">
        <v>176</v>
      </c>
      <c r="E31" s="1">
        <v>431</v>
      </c>
      <c r="F31" s="1">
        <f>978-SUM(C31:E31)</f>
        <v>204</v>
      </c>
      <c r="G31" s="1">
        <v>279</v>
      </c>
      <c r="H31" s="1">
        <v>402</v>
      </c>
      <c r="I31" s="1">
        <v>455</v>
      </c>
      <c r="J31" s="1">
        <f>1438-SUM(G31:I31)</f>
        <v>302</v>
      </c>
      <c r="K31" s="1">
        <v>262</v>
      </c>
      <c r="L31" s="1">
        <v>392</v>
      </c>
      <c r="M31" s="1">
        <v>479</v>
      </c>
      <c r="N31" s="1">
        <f>1472-SUM(K31:M31)</f>
        <v>339</v>
      </c>
      <c r="O31" s="1">
        <v>275</v>
      </c>
      <c r="P31" s="1">
        <v>538</v>
      </c>
      <c r="Q31" s="1">
        <v>517</v>
      </c>
      <c r="R31" s="1">
        <f>1691-SUM(O31:Q31)</f>
        <v>361</v>
      </c>
      <c r="S31" s="1">
        <v>354</v>
      </c>
      <c r="T31" s="1">
        <v>537</v>
      </c>
      <c r="U31" s="1">
        <v>541</v>
      </c>
      <c r="V31" s="1">
        <f>1770-SUM(S31:U31)</f>
        <v>338</v>
      </c>
      <c r="AJ31" s="1">
        <f t="shared" si="71"/>
        <v>978</v>
      </c>
      <c r="AK31" s="1">
        <f t="shared" si="72"/>
        <v>1438</v>
      </c>
      <c r="AL31" s="1">
        <f t="shared" si="73"/>
        <v>1472</v>
      </c>
      <c r="AM31" s="1">
        <f t="shared" si="74"/>
        <v>1691</v>
      </c>
      <c r="AN31" s="1">
        <f t="shared" si="75"/>
        <v>1770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</row>
    <row r="32" spans="2:81">
      <c r="B32" s="1" t="s">
        <v>65</v>
      </c>
      <c r="C32" s="1">
        <v>544</v>
      </c>
      <c r="D32" s="1">
        <v>214</v>
      </c>
      <c r="E32" s="1">
        <v>30</v>
      </c>
      <c r="F32" s="1">
        <f>841-SUM(C32:E32)</f>
        <v>53</v>
      </c>
      <c r="G32" s="1">
        <v>138</v>
      </c>
      <c r="H32" s="1">
        <v>909</v>
      </c>
      <c r="I32" s="1">
        <v>-127</v>
      </c>
      <c r="J32" s="1">
        <f>2000-SUM(G32:I32)</f>
        <v>1080</v>
      </c>
      <c r="K32" s="1">
        <v>-105</v>
      </c>
      <c r="L32" s="1">
        <v>-351</v>
      </c>
      <c r="M32" s="1">
        <v>-53</v>
      </c>
      <c r="N32" s="1">
        <f>-262-SUM(K32:M32)</f>
        <v>247</v>
      </c>
      <c r="O32" s="1">
        <v>615</v>
      </c>
      <c r="P32" s="1">
        <v>91</v>
      </c>
      <c r="Q32" s="1">
        <v>-130</v>
      </c>
      <c r="R32" s="1">
        <f>570-SUM(O32:Q32)</f>
        <v>-6</v>
      </c>
      <c r="S32" s="1">
        <v>1513</v>
      </c>
      <c r="T32" s="1">
        <v>2</v>
      </c>
      <c r="U32" s="1">
        <v>491</v>
      </c>
      <c r="V32" s="1">
        <f>1992-SUM(S32:U32)</f>
        <v>-14</v>
      </c>
      <c r="AJ32" s="1">
        <f t="shared" si="71"/>
        <v>841</v>
      </c>
      <c r="AK32" s="1">
        <f t="shared" si="72"/>
        <v>2000</v>
      </c>
      <c r="AL32" s="1">
        <f t="shared" si="73"/>
        <v>-262</v>
      </c>
      <c r="AM32" s="1">
        <f t="shared" si="74"/>
        <v>570</v>
      </c>
      <c r="AN32" s="1">
        <f t="shared" si="75"/>
        <v>1992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</row>
    <row r="33" spans="2:81">
      <c r="B33" s="1" t="s">
        <v>66</v>
      </c>
      <c r="C33" s="1">
        <f t="shared" ref="C33:R33" si="81">C28+C29-C30+C31+C32</f>
        <v>3010</v>
      </c>
      <c r="D33" s="1">
        <f t="shared" si="81"/>
        <v>2197</v>
      </c>
      <c r="E33" s="1">
        <f t="shared" si="81"/>
        <v>2181</v>
      </c>
      <c r="F33" s="1">
        <f t="shared" si="81"/>
        <v>2361</v>
      </c>
      <c r="G33" s="1">
        <f t="shared" si="81"/>
        <v>2763</v>
      </c>
      <c r="H33" s="1">
        <f t="shared" si="81"/>
        <v>3618</v>
      </c>
      <c r="I33" s="1">
        <f t="shared" si="81"/>
        <v>3084</v>
      </c>
      <c r="J33" s="1">
        <f t="shared" si="81"/>
        <v>2960</v>
      </c>
      <c r="K33" s="1">
        <f t="shared" si="81"/>
        <v>3458</v>
      </c>
      <c r="L33" s="1">
        <f t="shared" si="81"/>
        <v>2284</v>
      </c>
      <c r="M33" s="1">
        <f t="shared" si="81"/>
        <v>3444</v>
      </c>
      <c r="N33" s="1">
        <f t="shared" si="81"/>
        <v>2500</v>
      </c>
      <c r="O33" s="1">
        <f t="shared" si="81"/>
        <v>4053</v>
      </c>
      <c r="P33" s="1">
        <f t="shared" si="81"/>
        <v>2880</v>
      </c>
      <c r="Q33" s="1">
        <f t="shared" si="81"/>
        <v>3537</v>
      </c>
      <c r="R33" s="1">
        <f t="shared" si="81"/>
        <v>2482</v>
      </c>
      <c r="S33" s="1">
        <f>S28+S29-S30+S31+S32</f>
        <v>3872</v>
      </c>
      <c r="T33" s="1">
        <f t="shared" ref="T33:V33" si="82">T28+T29-T30+T31+T32</f>
        <v>3028</v>
      </c>
      <c r="U33" s="1">
        <f t="shared" si="82"/>
        <v>3380</v>
      </c>
      <c r="V33" s="1">
        <f t="shared" si="82"/>
        <v>2806</v>
      </c>
      <c r="AJ33" s="1">
        <f t="shared" si="71"/>
        <v>9749</v>
      </c>
      <c r="AK33" s="1">
        <f t="shared" si="72"/>
        <v>12425</v>
      </c>
      <c r="AL33" s="1">
        <f t="shared" si="73"/>
        <v>11686</v>
      </c>
      <c r="AM33" s="1">
        <f t="shared" si="74"/>
        <v>12952</v>
      </c>
      <c r="AN33" s="1">
        <f t="shared" si="75"/>
        <v>13086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</row>
    <row r="34" spans="2:81">
      <c r="B34" s="1" t="s">
        <v>67</v>
      </c>
      <c r="C34" s="1">
        <v>215</v>
      </c>
      <c r="D34" s="1">
        <v>438</v>
      </c>
      <c r="E34" s="1">
        <v>441</v>
      </c>
      <c r="F34" s="1">
        <f>1981-SUM(C34:E34)</f>
        <v>887</v>
      </c>
      <c r="G34" s="1">
        <v>508</v>
      </c>
      <c r="H34" s="1">
        <v>994</v>
      </c>
      <c r="I34" s="1">
        <v>609</v>
      </c>
      <c r="J34" s="1">
        <f>2621-SUM(G34:I34)</f>
        <v>510</v>
      </c>
      <c r="K34" s="1">
        <v>665</v>
      </c>
      <c r="L34" s="1">
        <v>384</v>
      </c>
      <c r="M34" s="1">
        <v>622</v>
      </c>
      <c r="N34" s="1">
        <f>2115-SUM(K34:M34)</f>
        <v>444</v>
      </c>
      <c r="O34" s="1">
        <v>940</v>
      </c>
      <c r="P34" s="1">
        <v>359</v>
      </c>
      <c r="Q34" s="1">
        <v>454</v>
      </c>
      <c r="R34" s="1">
        <f>2249-SUM(O34:Q34)</f>
        <v>496</v>
      </c>
      <c r="S34" s="1">
        <v>687</v>
      </c>
      <c r="T34" s="1">
        <v>627</v>
      </c>
      <c r="U34" s="1">
        <v>530</v>
      </c>
      <c r="V34" s="1">
        <f>2437-SUM(S34:U34)</f>
        <v>593</v>
      </c>
      <c r="AJ34" s="1">
        <f t="shared" si="71"/>
        <v>1981</v>
      </c>
      <c r="AK34" s="1">
        <f t="shared" si="72"/>
        <v>2621</v>
      </c>
      <c r="AL34" s="1">
        <f t="shared" si="73"/>
        <v>2115</v>
      </c>
      <c r="AM34" s="1">
        <f t="shared" si="74"/>
        <v>2249</v>
      </c>
      <c r="AN34" s="1">
        <f t="shared" si="75"/>
        <v>2437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</row>
    <row r="35" spans="2:81" ht="15">
      <c r="B35" s="2" t="s">
        <v>101</v>
      </c>
      <c r="C35" s="1">
        <f t="shared" ref="C35:R35" si="83">C33-C34</f>
        <v>2795</v>
      </c>
      <c r="D35" s="1">
        <f t="shared" si="83"/>
        <v>1759</v>
      </c>
      <c r="E35" s="1">
        <f t="shared" si="83"/>
        <v>1740</v>
      </c>
      <c r="F35" s="1">
        <f t="shared" si="83"/>
        <v>1474</v>
      </c>
      <c r="G35" s="1">
        <f t="shared" si="83"/>
        <v>2255</v>
      </c>
      <c r="H35" s="1">
        <f t="shared" si="83"/>
        <v>2624</v>
      </c>
      <c r="I35" s="1">
        <f t="shared" si="83"/>
        <v>2475</v>
      </c>
      <c r="J35" s="1">
        <f t="shared" si="83"/>
        <v>2450</v>
      </c>
      <c r="K35" s="1">
        <f t="shared" si="83"/>
        <v>2793</v>
      </c>
      <c r="L35" s="1">
        <f t="shared" si="83"/>
        <v>1900</v>
      </c>
      <c r="M35" s="1">
        <f t="shared" si="83"/>
        <v>2822</v>
      </c>
      <c r="N35" s="1">
        <f t="shared" si="83"/>
        <v>2056</v>
      </c>
      <c r="O35" s="1">
        <f t="shared" si="83"/>
        <v>3113</v>
      </c>
      <c r="P35" s="1">
        <f t="shared" si="83"/>
        <v>2521</v>
      </c>
      <c r="Q35" s="1">
        <f t="shared" si="83"/>
        <v>3083</v>
      </c>
      <c r="R35" s="1">
        <f t="shared" si="83"/>
        <v>1986</v>
      </c>
      <c r="S35" s="1">
        <f>S33-S34</f>
        <v>3185</v>
      </c>
      <c r="T35" s="1">
        <f t="shared" ref="T35:V35" si="84">T33-T34</f>
        <v>2401</v>
      </c>
      <c r="U35" s="1">
        <f t="shared" si="84"/>
        <v>2850</v>
      </c>
      <c r="V35" s="1">
        <f t="shared" si="84"/>
        <v>2213</v>
      </c>
      <c r="AJ35" s="1">
        <f t="shared" si="71"/>
        <v>7768</v>
      </c>
      <c r="AK35" s="1">
        <f t="shared" si="72"/>
        <v>9804</v>
      </c>
      <c r="AL35" s="1">
        <f t="shared" si="73"/>
        <v>9571</v>
      </c>
      <c r="AM35" s="1">
        <f t="shared" si="74"/>
        <v>10703</v>
      </c>
      <c r="AN35" s="1">
        <f t="shared" si="75"/>
        <v>10649</v>
      </c>
      <c r="AO35" s="9">
        <f>AO23*AO45</f>
        <v>11320.7587</v>
      </c>
      <c r="AP35" s="9">
        <f t="shared" ref="AP35:AT35" si="85">AP23*AP45</f>
        <v>12187.513764500001</v>
      </c>
      <c r="AQ35" s="9">
        <f t="shared" si="85"/>
        <v>12919.14036806</v>
      </c>
      <c r="AR35" s="9">
        <f t="shared" si="85"/>
        <v>13701.995864976803</v>
      </c>
      <c r="AS35" s="9">
        <f t="shared" si="85"/>
        <v>14232.178055523336</v>
      </c>
      <c r="AT35" s="9">
        <f t="shared" si="85"/>
        <v>14696.121207906705</v>
      </c>
      <c r="AU35" s="9">
        <f>AU23*0.235</f>
        <v>15137.004844143907</v>
      </c>
      <c r="AV35" s="9">
        <f t="shared" ref="AV35:CC35" si="86">AV23*0.235</f>
        <v>15591.114989468224</v>
      </c>
      <c r="AW35" s="9">
        <f t="shared" si="86"/>
        <v>16058.848439152272</v>
      </c>
      <c r="AX35" s="9">
        <f t="shared" si="86"/>
        <v>16540.613892326841</v>
      </c>
      <c r="AY35" s="9">
        <f t="shared" si="86"/>
        <v>17036.832309096648</v>
      </c>
      <c r="AZ35" s="9">
        <f t="shared" si="86"/>
        <v>17547.937278369547</v>
      </c>
      <c r="BA35" s="9">
        <f t="shared" si="86"/>
        <v>18074.375396720636</v>
      </c>
      <c r="BB35" s="9">
        <f t="shared" si="86"/>
        <v>18616.606658622255</v>
      </c>
      <c r="BC35" s="9">
        <f t="shared" si="86"/>
        <v>19175.104858380924</v>
      </c>
      <c r="BD35" s="9">
        <f t="shared" si="86"/>
        <v>19750.358004132351</v>
      </c>
      <c r="BE35" s="9">
        <f t="shared" si="86"/>
        <v>20342.86874425632</v>
      </c>
      <c r="BF35" s="9">
        <f t="shared" si="86"/>
        <v>20953.154806584011</v>
      </c>
      <c r="BG35" s="9">
        <f t="shared" si="86"/>
        <v>21581.749450781532</v>
      </c>
      <c r="BH35" s="9">
        <f t="shared" si="86"/>
        <v>22229.201934304976</v>
      </c>
      <c r="BI35" s="9">
        <f t="shared" si="86"/>
        <v>22896.077992334129</v>
      </c>
      <c r="BJ35" s="9">
        <f t="shared" si="86"/>
        <v>23582.960332104154</v>
      </c>
      <c r="BK35" s="9">
        <f t="shared" si="86"/>
        <v>24290.449142067278</v>
      </c>
      <c r="BL35" s="9">
        <f t="shared" si="86"/>
        <v>25019.162616329297</v>
      </c>
      <c r="BM35" s="9">
        <f t="shared" si="86"/>
        <v>25769.737494819175</v>
      </c>
      <c r="BN35" s="9">
        <f t="shared" si="86"/>
        <v>26542.829619663753</v>
      </c>
      <c r="BO35" s="9">
        <f t="shared" si="86"/>
        <v>27339.114508253664</v>
      </c>
      <c r="BP35" s="9">
        <f t="shared" si="86"/>
        <v>28159.287943501276</v>
      </c>
      <c r="BQ35" s="9">
        <f t="shared" si="86"/>
        <v>29004.066581806313</v>
      </c>
      <c r="BR35" s="9">
        <f t="shared" si="86"/>
        <v>29874.188579260503</v>
      </c>
      <c r="BS35" s="9">
        <f t="shared" si="86"/>
        <v>30770.41423663832</v>
      </c>
      <c r="BT35" s="9">
        <f t="shared" si="86"/>
        <v>31693.526663737473</v>
      </c>
      <c r="BU35" s="9">
        <f t="shared" si="86"/>
        <v>32644.3324636496</v>
      </c>
      <c r="BV35" s="9">
        <f t="shared" si="86"/>
        <v>33623.662437559091</v>
      </c>
      <c r="BW35" s="9">
        <f t="shared" si="86"/>
        <v>34632.372310685867</v>
      </c>
      <c r="BX35" s="9">
        <f t="shared" si="86"/>
        <v>35671.343480006442</v>
      </c>
      <c r="BY35" s="9">
        <f t="shared" si="86"/>
        <v>36741.483784406635</v>
      </c>
      <c r="BZ35" s="9">
        <f t="shared" si="86"/>
        <v>37843.72829793884</v>
      </c>
      <c r="CA35" s="9">
        <f t="shared" si="86"/>
        <v>38979.040146877007</v>
      </c>
      <c r="CB35" s="9">
        <f t="shared" si="86"/>
        <v>40148.411351283321</v>
      </c>
      <c r="CC35" s="9">
        <f t="shared" si="86"/>
        <v>41352.863691821818</v>
      </c>
    </row>
    <row r="36" spans="2:81">
      <c r="B36" s="1" t="s">
        <v>69</v>
      </c>
      <c r="C36" s="1">
        <v>20</v>
      </c>
      <c r="D36" s="1">
        <v>-20</v>
      </c>
      <c r="E36" s="1">
        <v>3</v>
      </c>
      <c r="F36" s="1">
        <f>21-SUM(C36:E36)</f>
        <v>18</v>
      </c>
      <c r="G36" s="1">
        <v>10</v>
      </c>
      <c r="H36" s="1">
        <v>-17</v>
      </c>
      <c r="I36" s="1">
        <v>4</v>
      </c>
      <c r="J36" s="1">
        <f>33-SUM(G36:I36)</f>
        <v>36</v>
      </c>
      <c r="K36" s="1">
        <v>12</v>
      </c>
      <c r="L36" s="1">
        <v>-5</v>
      </c>
      <c r="M36" s="1">
        <v>-3</v>
      </c>
      <c r="N36" s="1">
        <f>29-SUM(K36:M36)</f>
        <v>25</v>
      </c>
      <c r="O36" s="1">
        <v>6</v>
      </c>
      <c r="P36" s="1">
        <v>-26</v>
      </c>
      <c r="Q36" s="1">
        <v>-4</v>
      </c>
      <c r="R36" s="1">
        <f>-11-SUM(O36:Q36)</f>
        <v>13</v>
      </c>
      <c r="S36" s="1">
        <v>8</v>
      </c>
      <c r="T36" s="1">
        <v>-10</v>
      </c>
      <c r="U36" s="1">
        <v>2</v>
      </c>
      <c r="V36" s="1">
        <f>18-SUM(S36:U36)</f>
        <v>18</v>
      </c>
      <c r="AJ36" s="1">
        <f t="shared" si="71"/>
        <v>21</v>
      </c>
      <c r="AK36" s="1">
        <f t="shared" si="72"/>
        <v>33</v>
      </c>
      <c r="AL36" s="1">
        <f t="shared" si="73"/>
        <v>29</v>
      </c>
      <c r="AM36" s="1">
        <f t="shared" si="74"/>
        <v>-11</v>
      </c>
      <c r="AN36" s="1">
        <f t="shared" si="75"/>
        <v>18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</row>
    <row r="37" spans="2:81">
      <c r="B37" s="1" t="s">
        <v>106</v>
      </c>
      <c r="C37" s="1">
        <f t="shared" ref="C37:N37" si="87">C35-C36</f>
        <v>2775</v>
      </c>
      <c r="D37" s="1">
        <f t="shared" si="87"/>
        <v>1779</v>
      </c>
      <c r="E37" s="1">
        <f t="shared" si="87"/>
        <v>1737</v>
      </c>
      <c r="F37" s="1">
        <f t="shared" si="87"/>
        <v>1456</v>
      </c>
      <c r="G37" s="1">
        <f t="shared" si="87"/>
        <v>2245</v>
      </c>
      <c r="H37" s="1">
        <f t="shared" si="87"/>
        <v>2641</v>
      </c>
      <c r="I37" s="1">
        <f t="shared" si="87"/>
        <v>2471</v>
      </c>
      <c r="J37" s="1">
        <f t="shared" si="87"/>
        <v>2414</v>
      </c>
      <c r="K37" s="1">
        <f t="shared" si="87"/>
        <v>2781</v>
      </c>
      <c r="L37" s="1">
        <f t="shared" si="87"/>
        <v>1905</v>
      </c>
      <c r="M37" s="1">
        <f t="shared" si="87"/>
        <v>2825</v>
      </c>
      <c r="N37" s="1">
        <f t="shared" si="87"/>
        <v>2031</v>
      </c>
      <c r="O37" s="1">
        <f>O35-O36</f>
        <v>3107</v>
      </c>
      <c r="P37" s="1">
        <f t="shared" ref="P37:V37" si="88">P35-P36</f>
        <v>2547</v>
      </c>
      <c r="Q37" s="1">
        <f t="shared" si="88"/>
        <v>3087</v>
      </c>
      <c r="R37" s="1">
        <f t="shared" si="88"/>
        <v>1973</v>
      </c>
      <c r="S37" s="1">
        <f t="shared" si="88"/>
        <v>3177</v>
      </c>
      <c r="T37" s="1">
        <f t="shared" si="88"/>
        <v>2411</v>
      </c>
      <c r="U37" s="1">
        <f t="shared" si="88"/>
        <v>2848</v>
      </c>
      <c r="V37" s="1">
        <f t="shared" si="88"/>
        <v>2195</v>
      </c>
      <c r="AJ37" s="1">
        <f t="shared" si="71"/>
        <v>7747</v>
      </c>
      <c r="AK37" s="1">
        <f t="shared" si="72"/>
        <v>9771</v>
      </c>
      <c r="AL37" s="1">
        <f t="shared" si="73"/>
        <v>9542</v>
      </c>
      <c r="AM37" s="1">
        <f t="shared" si="74"/>
        <v>10714</v>
      </c>
      <c r="AN37" s="1">
        <f t="shared" si="75"/>
        <v>10631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</row>
    <row r="38" spans="2:81">
      <c r="B38" s="1" t="s">
        <v>2</v>
      </c>
      <c r="C38" s="1">
        <v>4289</v>
      </c>
      <c r="D38" s="1">
        <v>4295</v>
      </c>
      <c r="E38" s="1">
        <v>4296</v>
      </c>
      <c r="F38" s="1">
        <v>4295</v>
      </c>
      <c r="G38" s="1">
        <v>4307</v>
      </c>
      <c r="H38" s="1">
        <v>4313</v>
      </c>
      <c r="I38" s="1">
        <v>4318</v>
      </c>
      <c r="J38" s="1">
        <v>4315</v>
      </c>
      <c r="K38" s="1">
        <v>4332</v>
      </c>
      <c r="L38" s="1">
        <v>4331</v>
      </c>
      <c r="M38" s="1">
        <v>4325</v>
      </c>
      <c r="N38" s="1">
        <v>4328</v>
      </c>
      <c r="O38" s="1">
        <v>4326</v>
      </c>
      <c r="P38" s="1">
        <v>4325</v>
      </c>
      <c r="Q38" s="1">
        <v>4324</v>
      </c>
      <c r="R38" s="1">
        <v>4323</v>
      </c>
      <c r="S38" s="1">
        <v>4310</v>
      </c>
      <c r="T38" s="1">
        <v>4309</v>
      </c>
      <c r="U38" s="1">
        <v>4311</v>
      </c>
      <c r="V38" s="1">
        <v>4309</v>
      </c>
      <c r="AJ38" s="1">
        <f t="shared" si="71"/>
        <v>17175</v>
      </c>
      <c r="AK38" s="1">
        <f t="shared" si="72"/>
        <v>17253</v>
      </c>
      <c r="AL38" s="1">
        <f t="shared" si="73"/>
        <v>17316</v>
      </c>
      <c r="AM38" s="1">
        <f t="shared" si="74"/>
        <v>17298</v>
      </c>
      <c r="AN38" s="1">
        <f t="shared" si="75"/>
        <v>17239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</row>
    <row r="39" spans="2:81" ht="15">
      <c r="B39" s="2" t="s">
        <v>89</v>
      </c>
      <c r="C39" s="6">
        <f t="shared" ref="C39:J39" si="89">C37/C38</f>
        <v>0.64700396362788526</v>
      </c>
      <c r="D39" s="6">
        <f t="shared" si="89"/>
        <v>0.41420256111757858</v>
      </c>
      <c r="E39" s="6">
        <f t="shared" si="89"/>
        <v>0.40432960893854747</v>
      </c>
      <c r="F39" s="6">
        <f t="shared" si="89"/>
        <v>0.33899883585564611</v>
      </c>
      <c r="G39" s="6">
        <f t="shared" si="89"/>
        <v>0.52124448572091941</v>
      </c>
      <c r="H39" s="6">
        <f t="shared" si="89"/>
        <v>0.61233480176211452</v>
      </c>
      <c r="I39" s="6">
        <f t="shared" si="89"/>
        <v>0.57225567392311261</v>
      </c>
      <c r="J39" s="6">
        <f t="shared" si="89"/>
        <v>0.55944380069524913</v>
      </c>
      <c r="K39" s="6">
        <f t="shared" ref="K39:V39" si="90">K37/K38</f>
        <v>0.64196675900277012</v>
      </c>
      <c r="L39" s="6">
        <f t="shared" si="90"/>
        <v>0.43985222812283536</v>
      </c>
      <c r="M39" s="6">
        <f t="shared" si="90"/>
        <v>0.65317919075144504</v>
      </c>
      <c r="N39" s="6">
        <f t="shared" si="90"/>
        <v>0.46926987060998154</v>
      </c>
      <c r="O39" s="6">
        <f t="shared" si="90"/>
        <v>0.71821544151641237</v>
      </c>
      <c r="P39" s="6">
        <f t="shared" si="90"/>
        <v>0.58890173410404623</v>
      </c>
      <c r="Q39" s="6">
        <f t="shared" si="90"/>
        <v>0.71392229417206288</v>
      </c>
      <c r="R39" s="6">
        <f t="shared" si="90"/>
        <v>0.45639602128151746</v>
      </c>
      <c r="S39" s="6">
        <f t="shared" si="90"/>
        <v>0.73712296983758696</v>
      </c>
      <c r="T39" s="6">
        <f t="shared" si="90"/>
        <v>0.55952657229055469</v>
      </c>
      <c r="U39" s="6">
        <f t="shared" si="90"/>
        <v>0.66063558339132455</v>
      </c>
      <c r="V39" s="6">
        <f t="shared" si="90"/>
        <v>0.50939893246692969</v>
      </c>
      <c r="AJ39" s="6">
        <f t="shared" si="71"/>
        <v>1.8045349695396575</v>
      </c>
      <c r="AK39" s="6">
        <f t="shared" si="72"/>
        <v>2.2652787621013957</v>
      </c>
      <c r="AL39" s="6">
        <f t="shared" si="73"/>
        <v>2.2042680484870321</v>
      </c>
      <c r="AM39" s="6">
        <f t="shared" si="74"/>
        <v>2.477435491074039</v>
      </c>
      <c r="AN39" s="6">
        <f t="shared" si="75"/>
        <v>2.466684057986396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</row>
    <row r="40" spans="2:81" ht="15">
      <c r="B40" s="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AJ40" s="6"/>
      <c r="AK40" s="6"/>
      <c r="AL40" s="6"/>
      <c r="AM40" s="6"/>
      <c r="AN40" s="6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</row>
    <row r="41" spans="2:81">
      <c r="B41" s="1" t="s">
        <v>92</v>
      </c>
      <c r="C41" s="7">
        <f t="shared" ref="C41:U41" si="91">C25/C23</f>
        <v>0.60806882920590632</v>
      </c>
      <c r="D41" s="7">
        <f t="shared" si="91"/>
        <v>0.57860139860139859</v>
      </c>
      <c r="E41" s="7">
        <f t="shared" si="91"/>
        <v>0.59882108183079052</v>
      </c>
      <c r="F41" s="7">
        <f t="shared" si="91"/>
        <v>0.58448496109627224</v>
      </c>
      <c r="G41" s="7">
        <f t="shared" si="91"/>
        <v>0.61141906873614194</v>
      </c>
      <c r="H41" s="7">
        <f t="shared" si="91"/>
        <v>0.62612301313061502</v>
      </c>
      <c r="I41" s="7">
        <f t="shared" si="91"/>
        <v>0.60396335391356304</v>
      </c>
      <c r="J41" s="7">
        <f t="shared" si="91"/>
        <v>0.56804733727810652</v>
      </c>
      <c r="K41" s="7">
        <f t="shared" si="91"/>
        <v>0.61004670670098182</v>
      </c>
      <c r="L41" s="7">
        <f t="shared" si="91"/>
        <v>0.57350993377483439</v>
      </c>
      <c r="M41" s="7">
        <f t="shared" si="91"/>
        <v>0.58727289162071772</v>
      </c>
      <c r="N41" s="7">
        <f t="shared" si="91"/>
        <v>0.55427160493827166</v>
      </c>
      <c r="O41" s="7">
        <f t="shared" si="91"/>
        <v>0.60683060109289622</v>
      </c>
      <c r="P41" s="7">
        <f t="shared" si="91"/>
        <v>0.58970932175075175</v>
      </c>
      <c r="Q41" s="7">
        <f t="shared" si="91"/>
        <v>0.61039069689617664</v>
      </c>
      <c r="R41" s="7">
        <f t="shared" si="91"/>
        <v>0.57286385842013088</v>
      </c>
      <c r="S41" s="7">
        <f t="shared" si="91"/>
        <v>0.62522123893805315</v>
      </c>
      <c r="T41" s="7">
        <f t="shared" si="91"/>
        <v>0.61077408396020383</v>
      </c>
      <c r="U41" s="7">
        <f t="shared" si="91"/>
        <v>0.60654631348068166</v>
      </c>
      <c r="V41" s="7">
        <f>V25/V23</f>
        <v>0.60039847539847535</v>
      </c>
      <c r="AJ41" s="7">
        <f>AJ25/AJ23</f>
        <v>0.59311201308535777</v>
      </c>
      <c r="AK41" s="7">
        <f>AK25/AK23</f>
        <v>0.60271633682576642</v>
      </c>
      <c r="AL41" s="7">
        <f>AL25/AL23</f>
        <v>0.58143428518277374</v>
      </c>
      <c r="AM41" s="7">
        <f>AM25/AM23</f>
        <v>0.5952266468505486</v>
      </c>
      <c r="AN41" s="7">
        <f>AN25/AN23</f>
        <v>0.61063300822336963</v>
      </c>
      <c r="AO41" s="12">
        <v>0.61</v>
      </c>
      <c r="AP41" s="12">
        <v>0.61</v>
      </c>
      <c r="AQ41" s="12">
        <v>0.62</v>
      </c>
      <c r="AR41" s="12">
        <v>0.62</v>
      </c>
      <c r="AS41" s="12">
        <v>0.62</v>
      </c>
      <c r="AT41" s="12">
        <v>0.62</v>
      </c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</row>
    <row r="42" spans="2:81">
      <c r="B42" s="1" t="s">
        <v>94</v>
      </c>
      <c r="C42" s="7"/>
      <c r="D42" s="7"/>
      <c r="E42" s="7"/>
      <c r="F42" s="7"/>
      <c r="G42" s="7">
        <f t="shared" ref="G42:U42" si="92">G41/C41-1</f>
        <v>5.5096386614830184E-3</v>
      </c>
      <c r="H42" s="7">
        <f t="shared" si="92"/>
        <v>8.2131869442566563E-2</v>
      </c>
      <c r="I42" s="7">
        <f t="shared" si="92"/>
        <v>8.5873263964770796E-3</v>
      </c>
      <c r="J42" s="7">
        <f t="shared" si="92"/>
        <v>-2.8123262209065136E-2</v>
      </c>
      <c r="K42" s="7">
        <f t="shared" si="92"/>
        <v>-2.244552231576491E-3</v>
      </c>
      <c r="L42" s="7">
        <f t="shared" si="92"/>
        <v>-8.4029940207300813E-2</v>
      </c>
      <c r="M42" s="7">
        <f t="shared" si="92"/>
        <v>-2.7634892389901466E-2</v>
      </c>
      <c r="N42" s="7">
        <f t="shared" si="92"/>
        <v>-2.4251028806584252E-2</v>
      </c>
      <c r="O42" s="7">
        <f t="shared" si="92"/>
        <v>-5.2719006147541325E-3</v>
      </c>
      <c r="P42" s="7">
        <f t="shared" si="92"/>
        <v>2.824604600881675E-2</v>
      </c>
      <c r="Q42" s="7">
        <f t="shared" si="92"/>
        <v>3.9364672889395491E-2</v>
      </c>
      <c r="R42" s="7">
        <f t="shared" si="92"/>
        <v>3.3543579205955965E-2</v>
      </c>
      <c r="S42" s="7">
        <f t="shared" si="92"/>
        <v>3.0306048857845269E-2</v>
      </c>
      <c r="T42" s="7">
        <f t="shared" si="92"/>
        <v>3.5720585435065288E-2</v>
      </c>
      <c r="U42" s="7">
        <f t="shared" si="92"/>
        <v>-6.298233959075028E-3</v>
      </c>
      <c r="V42" s="7">
        <f>V41/R41-1</f>
        <v>4.8064852710870243E-2</v>
      </c>
      <c r="AJ42" s="6"/>
      <c r="AK42" s="7">
        <f t="shared" ref="AK42:AM42" si="93">AK41/AJ41-1</f>
        <v>1.6193102699854522E-2</v>
      </c>
      <c r="AL42" s="7">
        <f t="shared" si="93"/>
        <v>-3.5310228614468309E-2</v>
      </c>
      <c r="AM42" s="7">
        <f t="shared" si="93"/>
        <v>2.3721273442688817E-2</v>
      </c>
      <c r="AN42" s="7">
        <f>AN41/AM41-1</f>
        <v>2.5883184925169056E-2</v>
      </c>
      <c r="AO42" s="12"/>
      <c r="AP42" s="12"/>
      <c r="AQ42" s="12"/>
      <c r="AR42" s="12"/>
      <c r="AS42" s="12"/>
      <c r="AT42" s="12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</row>
    <row r="43" spans="2:81">
      <c r="B43" s="1" t="s">
        <v>62</v>
      </c>
      <c r="C43" s="7">
        <f t="shared" ref="C43:U43" si="94">C28/C23</f>
        <v>0.27671201023136843</v>
      </c>
      <c r="D43" s="7">
        <f t="shared" si="94"/>
        <v>0.27706293706293705</v>
      </c>
      <c r="E43" s="7">
        <f t="shared" si="94"/>
        <v>0.26560332871012482</v>
      </c>
      <c r="F43" s="7">
        <f t="shared" si="94"/>
        <v>0.27151318081523634</v>
      </c>
      <c r="G43" s="7">
        <f t="shared" si="94"/>
        <v>0.30177383592017737</v>
      </c>
      <c r="H43" s="7">
        <f t="shared" si="94"/>
        <v>0.29775891006022315</v>
      </c>
      <c r="I43" s="7">
        <f t="shared" si="94"/>
        <v>0.28858793069109739</v>
      </c>
      <c r="J43" s="7">
        <f t="shared" si="94"/>
        <v>0.17666948436179206</v>
      </c>
      <c r="K43" s="7">
        <f t="shared" si="94"/>
        <v>0.32456391192450673</v>
      </c>
      <c r="L43" s="7">
        <f t="shared" si="94"/>
        <v>0.20671081677704195</v>
      </c>
      <c r="M43" s="7">
        <f t="shared" si="94"/>
        <v>0.27912862695471391</v>
      </c>
      <c r="N43" s="7">
        <f t="shared" si="94"/>
        <v>0.20493827160493827</v>
      </c>
      <c r="O43" s="7">
        <f t="shared" si="94"/>
        <v>0.30664845173041894</v>
      </c>
      <c r="P43" s="7">
        <f t="shared" si="94"/>
        <v>0.20055128633478114</v>
      </c>
      <c r="Q43" s="7">
        <f t="shared" si="94"/>
        <v>0.27357148832928974</v>
      </c>
      <c r="R43" s="7">
        <f t="shared" si="94"/>
        <v>0.20951239745598674</v>
      </c>
      <c r="S43" s="7">
        <f t="shared" si="94"/>
        <v>0.18946902654867256</v>
      </c>
      <c r="T43" s="7">
        <f t="shared" si="94"/>
        <v>0.21289331068510881</v>
      </c>
      <c r="U43" s="7">
        <f t="shared" si="94"/>
        <v>0.21174287160452168</v>
      </c>
      <c r="V43" s="7">
        <f>V28/V23</f>
        <v>0.23466735966735966</v>
      </c>
      <c r="AJ43" s="7">
        <f>AJ28/AJ23</f>
        <v>0.27252074877324772</v>
      </c>
      <c r="AK43" s="7">
        <f>AK28/AK23</f>
        <v>0.26666666666666666</v>
      </c>
      <c r="AL43" s="7">
        <f>AL28/AL23</f>
        <v>0.25367407683006232</v>
      </c>
      <c r="AM43" s="7">
        <f>AM28/AM23</f>
        <v>0.24721335839489444</v>
      </c>
      <c r="AN43" s="7">
        <f>AN28/AN23</f>
        <v>0.21232018019166612</v>
      </c>
      <c r="AO43" s="12">
        <v>0.24</v>
      </c>
      <c r="AP43" s="12">
        <v>0.245</v>
      </c>
      <c r="AQ43" s="12">
        <v>0.25</v>
      </c>
      <c r="AR43" s="12">
        <v>0.25</v>
      </c>
      <c r="AS43" s="12">
        <v>0.25</v>
      </c>
      <c r="AT43" s="12">
        <v>0.25</v>
      </c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</row>
    <row r="44" spans="2:81">
      <c r="B44" s="1" t="s">
        <v>93</v>
      </c>
      <c r="C44" s="7"/>
      <c r="D44" s="7"/>
      <c r="E44" s="7"/>
      <c r="F44" s="7"/>
      <c r="G44" s="7">
        <f t="shared" ref="G44:T44" si="95">G43/C43-1</f>
        <v>9.0570068382120006E-2</v>
      </c>
      <c r="H44" s="7">
        <f t="shared" si="95"/>
        <v>7.4697731918523802E-2</v>
      </c>
      <c r="I44" s="7">
        <f t="shared" si="95"/>
        <v>8.6537326518439928E-2</v>
      </c>
      <c r="J44" s="7">
        <f t="shared" si="95"/>
        <v>-0.34931525669829289</v>
      </c>
      <c r="K44" s="7">
        <f t="shared" si="95"/>
        <v>7.5520384114272865E-2</v>
      </c>
      <c r="L44" s="7">
        <f t="shared" si="95"/>
        <v>-0.30577789683864132</v>
      </c>
      <c r="M44" s="7">
        <f t="shared" si="95"/>
        <v>-3.2777891000953407E-2</v>
      </c>
      <c r="N44" s="7">
        <f t="shared" si="95"/>
        <v>0.16000945123752142</v>
      </c>
      <c r="O44" s="7">
        <f t="shared" si="95"/>
        <v>-5.5198558853502222E-2</v>
      </c>
      <c r="P44" s="7">
        <f t="shared" si="95"/>
        <v>-2.9797813865272804E-2</v>
      </c>
      <c r="Q44" s="7">
        <f t="shared" si="95"/>
        <v>-1.9908881027547842E-2</v>
      </c>
      <c r="R44" s="7">
        <f t="shared" si="95"/>
        <v>2.2319529755115974E-2</v>
      </c>
      <c r="S44" s="7">
        <f t="shared" si="95"/>
        <v>-0.38212951841270426</v>
      </c>
      <c r="T44" s="7">
        <f t="shared" si="95"/>
        <v>6.154048959688585E-2</v>
      </c>
      <c r="U44" s="7">
        <f>U43/Q43-1</f>
        <v>-0.22600533813796708</v>
      </c>
      <c r="V44" s="7">
        <f>V43/R43-1</f>
        <v>0.12006431369607773</v>
      </c>
      <c r="AJ44" s="6"/>
      <c r="AK44" s="7">
        <f t="shared" ref="AK44:AM44" si="96">AK43/AJ43-1</f>
        <v>-2.1481234485569267E-2</v>
      </c>
      <c r="AL44" s="7">
        <f t="shared" si="96"/>
        <v>-4.8722211887266331E-2</v>
      </c>
      <c r="AM44" s="7">
        <f t="shared" si="96"/>
        <v>-2.5468579666876878E-2</v>
      </c>
      <c r="AN44" s="7">
        <f>AN43/AM43-1</f>
        <v>-0.14114600614539019</v>
      </c>
      <c r="AO44" s="12"/>
      <c r="AP44" s="12"/>
      <c r="AQ44" s="12"/>
      <c r="AR44" s="12"/>
      <c r="AS44" s="12"/>
      <c r="AT44" s="12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</row>
    <row r="45" spans="2:81">
      <c r="B45" s="1" t="s">
        <v>68</v>
      </c>
      <c r="C45" s="7">
        <f>C35/C23</f>
        <v>0.32496221369608186</v>
      </c>
      <c r="D45" s="7">
        <f t="shared" ref="D45:V45" si="97">D35/D23</f>
        <v>0.24601398601398602</v>
      </c>
      <c r="E45" s="7">
        <f t="shared" si="97"/>
        <v>0.20110957004160887</v>
      </c>
      <c r="F45" s="7">
        <f t="shared" si="97"/>
        <v>0.17117640227615841</v>
      </c>
      <c r="G45" s="7">
        <f t="shared" si="97"/>
        <v>0.25</v>
      </c>
      <c r="H45" s="7">
        <f t="shared" si="97"/>
        <v>0.25905814986671932</v>
      </c>
      <c r="I45" s="7">
        <f t="shared" si="97"/>
        <v>0.24646484763991236</v>
      </c>
      <c r="J45" s="7">
        <f t="shared" si="97"/>
        <v>0.2588757396449704</v>
      </c>
      <c r="K45" s="7">
        <f t="shared" si="97"/>
        <v>0.26622819559622535</v>
      </c>
      <c r="L45" s="7">
        <f t="shared" si="97"/>
        <v>0.16777041942604856</v>
      </c>
      <c r="M45" s="7">
        <f t="shared" si="97"/>
        <v>0.25508451595408116</v>
      </c>
      <c r="N45" s="7">
        <f t="shared" si="97"/>
        <v>0.20306172839506173</v>
      </c>
      <c r="O45" s="7">
        <f t="shared" si="97"/>
        <v>0.28351548269581056</v>
      </c>
      <c r="P45" s="7">
        <f t="shared" si="97"/>
        <v>0.21057467423989309</v>
      </c>
      <c r="Q45" s="7">
        <f t="shared" si="97"/>
        <v>0.257926880281101</v>
      </c>
      <c r="R45" s="7">
        <f t="shared" si="97"/>
        <v>0.18305834639137247</v>
      </c>
      <c r="S45" s="7">
        <f t="shared" si="97"/>
        <v>0.28185840707964605</v>
      </c>
      <c r="T45" s="7">
        <f t="shared" si="97"/>
        <v>0.19420852543880934</v>
      </c>
      <c r="U45" s="7">
        <f t="shared" si="97"/>
        <v>0.24042517293740509</v>
      </c>
      <c r="V45" s="7">
        <f t="shared" si="97"/>
        <v>0.19170131670131671</v>
      </c>
      <c r="AJ45" s="7">
        <f t="shared" ref="AJ45:AK45" si="98">AJ35/AJ23</f>
        <v>0.23529411764705882</v>
      </c>
      <c r="AK45" s="7">
        <f t="shared" si="98"/>
        <v>0.25362824990298799</v>
      </c>
      <c r="AL45" s="7">
        <f t="shared" ref="AL45" si="99">AL35/AL23</f>
        <v>0.2225606920286485</v>
      </c>
      <c r="AM45" s="7">
        <f>AM35/AM23</f>
        <v>0.23392490274074398</v>
      </c>
      <c r="AN45" s="7">
        <f>AN35/AN23</f>
        <v>0.22628078451371625</v>
      </c>
      <c r="AO45" s="12">
        <v>0.23</v>
      </c>
      <c r="AP45" s="12">
        <v>0.23499999999999999</v>
      </c>
      <c r="AQ45" s="12">
        <v>0.23499999999999999</v>
      </c>
      <c r="AR45" s="12">
        <v>0.23499999999999999</v>
      </c>
      <c r="AS45" s="12">
        <v>0.23499999999999999</v>
      </c>
      <c r="AT45" s="12">
        <v>0.23499999999999999</v>
      </c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</row>
    <row r="46" spans="2:81">
      <c r="B46" s="1" t="s">
        <v>95</v>
      </c>
      <c r="C46" s="7"/>
      <c r="D46" s="7"/>
      <c r="E46" s="7"/>
      <c r="F46" s="7"/>
      <c r="G46" s="7">
        <f t="shared" ref="G46:V46" si="100">G45/C45-1</f>
        <v>-0.23067978533094813</v>
      </c>
      <c r="H46" s="7">
        <f t="shared" si="100"/>
        <v>5.3022041811849441E-2</v>
      </c>
      <c r="I46" s="7">
        <f t="shared" si="100"/>
        <v>0.22552520791984021</v>
      </c>
      <c r="J46" s="7">
        <f t="shared" si="100"/>
        <v>0.51233310317696068</v>
      </c>
      <c r="K46" s="7">
        <f t="shared" si="100"/>
        <v>6.4912782384901391E-2</v>
      </c>
      <c r="L46" s="7">
        <f t="shared" si="100"/>
        <v>-0.35238316373229961</v>
      </c>
      <c r="M46" s="7">
        <f t="shared" si="100"/>
        <v>3.4973215842781125E-2</v>
      </c>
      <c r="N46" s="7">
        <f t="shared" si="100"/>
        <v>-0.21560155202821862</v>
      </c>
      <c r="O46" s="7">
        <f t="shared" si="100"/>
        <v>6.493409558243779E-2</v>
      </c>
      <c r="P46" s="7">
        <f t="shared" si="100"/>
        <v>0.25513588724567859</v>
      </c>
      <c r="Q46" s="7">
        <f t="shared" si="100"/>
        <v>1.1142833646286432E-2</v>
      </c>
      <c r="R46" s="7">
        <f t="shared" si="100"/>
        <v>-9.8508872951047488E-2</v>
      </c>
      <c r="S46" s="7">
        <f t="shared" si="100"/>
        <v>-5.8447447046213741E-3</v>
      </c>
      <c r="T46" s="7">
        <f t="shared" si="100"/>
        <v>-7.7721354004987919E-2</v>
      </c>
      <c r="U46" s="7">
        <f t="shared" si="100"/>
        <v>-6.7855305831721391E-2</v>
      </c>
      <c r="V46" s="7">
        <f t="shared" si="100"/>
        <v>4.7214292493748644E-2</v>
      </c>
      <c r="AJ46" s="6"/>
      <c r="AK46" s="7">
        <f t="shared" ref="AK46:AN46" si="101">AK45/AJ45-1</f>
        <v>7.7920062087698971E-2</v>
      </c>
      <c r="AL46" s="7">
        <f t="shared" si="101"/>
        <v>-0.12249249792254102</v>
      </c>
      <c r="AM46" s="7">
        <f t="shared" si="101"/>
        <v>5.106117620551176E-2</v>
      </c>
      <c r="AN46" s="7">
        <f t="shared" si="101"/>
        <v>-3.2677659101133072E-2</v>
      </c>
      <c r="AO46" s="12"/>
      <c r="AP46" s="12"/>
      <c r="AQ46" s="12"/>
      <c r="AR46" s="12"/>
      <c r="AS46" s="12"/>
      <c r="AT46" s="12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</row>
    <row r="47" spans="2:81"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</row>
    <row r="48" spans="2:81">
      <c r="B48" s="1" t="s">
        <v>70</v>
      </c>
      <c r="F48" s="1">
        <v>6795</v>
      </c>
      <c r="G48" s="1">
        <v>8484</v>
      </c>
      <c r="H48" s="1">
        <v>9188</v>
      </c>
      <c r="I48" s="1">
        <v>11301</v>
      </c>
      <c r="J48" s="1">
        <v>9684</v>
      </c>
      <c r="K48" s="1">
        <v>7681</v>
      </c>
      <c r="L48" s="1">
        <v>8976</v>
      </c>
      <c r="M48" s="1">
        <v>10127</v>
      </c>
      <c r="N48" s="1">
        <v>9519</v>
      </c>
      <c r="O48" s="1">
        <v>12004</v>
      </c>
      <c r="P48" s="1">
        <v>12564</v>
      </c>
      <c r="Q48" s="1">
        <v>11883</v>
      </c>
      <c r="R48" s="1">
        <v>9366</v>
      </c>
      <c r="S48" s="1">
        <v>10443</v>
      </c>
      <c r="T48" s="1">
        <v>13708</v>
      </c>
      <c r="U48" s="1">
        <v>13938</v>
      </c>
      <c r="V48" s="1">
        <v>10828</v>
      </c>
      <c r="AJ48" s="1">
        <f t="shared" ref="AJ48:AJ62" si="102">F48</f>
        <v>6795</v>
      </c>
      <c r="AK48" s="1">
        <f t="shared" ref="AK48:AK62" si="103">J48</f>
        <v>9684</v>
      </c>
      <c r="AL48" s="1">
        <f t="shared" ref="AL48:AL62" si="104">N48</f>
        <v>9519</v>
      </c>
      <c r="AM48" s="1">
        <f t="shared" ref="AM48:AM62" si="105">R48</f>
        <v>9366</v>
      </c>
      <c r="AN48" s="1">
        <f t="shared" ref="AN48:AN62" si="106">V48</f>
        <v>10828</v>
      </c>
      <c r="AO48" s="9"/>
      <c r="AP48" s="9" t="s">
        <v>174</v>
      </c>
      <c r="AQ48" s="13">
        <v>0.05</v>
      </c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</row>
    <row r="49" spans="2:81">
      <c r="B49" s="1" t="s">
        <v>71</v>
      </c>
      <c r="F49" s="1">
        <v>1771</v>
      </c>
      <c r="G49" s="1">
        <v>1871</v>
      </c>
      <c r="H49" s="1">
        <v>2079</v>
      </c>
      <c r="I49" s="1">
        <v>1844</v>
      </c>
      <c r="J49" s="1">
        <v>1242</v>
      </c>
      <c r="K49" s="1">
        <v>736</v>
      </c>
      <c r="L49" s="1">
        <v>776</v>
      </c>
      <c r="M49" s="1">
        <v>1120</v>
      </c>
      <c r="N49" s="1">
        <v>1043</v>
      </c>
      <c r="O49" s="1">
        <v>1166</v>
      </c>
      <c r="P49" s="1">
        <v>1867</v>
      </c>
      <c r="Q49" s="1">
        <v>2332</v>
      </c>
      <c r="R49" s="1">
        <v>2997</v>
      </c>
      <c r="S49" s="1">
        <v>4760</v>
      </c>
      <c r="T49" s="1">
        <v>3691</v>
      </c>
      <c r="U49" s="1">
        <v>2439</v>
      </c>
      <c r="V49" s="1">
        <v>2020</v>
      </c>
      <c r="AJ49" s="1">
        <f t="shared" si="102"/>
        <v>1771</v>
      </c>
      <c r="AK49" s="1">
        <f t="shared" si="103"/>
        <v>1242</v>
      </c>
      <c r="AL49" s="1">
        <f t="shared" si="104"/>
        <v>1043</v>
      </c>
      <c r="AM49" s="1">
        <f t="shared" si="105"/>
        <v>2997</v>
      </c>
      <c r="AN49" s="1">
        <f t="shared" si="106"/>
        <v>2020</v>
      </c>
      <c r="AO49" s="9"/>
      <c r="AP49" s="9" t="s">
        <v>175</v>
      </c>
      <c r="AQ49" s="13">
        <v>0.03</v>
      </c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</row>
    <row r="50" spans="2:81">
      <c r="B50" s="1" t="s">
        <v>74</v>
      </c>
      <c r="F50" s="1">
        <v>2348</v>
      </c>
      <c r="G50" s="1">
        <v>2234</v>
      </c>
      <c r="H50" s="1">
        <v>1775</v>
      </c>
      <c r="I50" s="1">
        <v>1724</v>
      </c>
      <c r="J50" s="1">
        <v>1699</v>
      </c>
      <c r="K50" s="1">
        <v>1939</v>
      </c>
      <c r="L50" s="1">
        <v>1867</v>
      </c>
      <c r="M50" s="1">
        <v>1973</v>
      </c>
      <c r="N50" s="1">
        <v>1069</v>
      </c>
      <c r="O50" s="1">
        <v>1125</v>
      </c>
      <c r="P50" s="1">
        <v>1263</v>
      </c>
      <c r="Q50" s="1">
        <v>1220</v>
      </c>
      <c r="R50" s="1">
        <v>1300</v>
      </c>
      <c r="S50" s="1">
        <v>1716</v>
      </c>
      <c r="T50" s="1">
        <v>1594</v>
      </c>
      <c r="U50" s="1">
        <v>1787</v>
      </c>
      <c r="V50" s="1">
        <v>1723</v>
      </c>
      <c r="AJ50" s="1">
        <f t="shared" si="102"/>
        <v>2348</v>
      </c>
      <c r="AK50" s="1">
        <f t="shared" si="103"/>
        <v>1699</v>
      </c>
      <c r="AL50" s="1">
        <f t="shared" si="104"/>
        <v>1069</v>
      </c>
      <c r="AM50" s="1">
        <f t="shared" si="105"/>
        <v>1300</v>
      </c>
      <c r="AN50" s="1">
        <f t="shared" si="106"/>
        <v>1723</v>
      </c>
      <c r="AO50" s="9"/>
      <c r="AP50" s="9" t="s">
        <v>176</v>
      </c>
      <c r="AQ50" s="14">
        <f>NPV(AQ48,AO35:CM35)</f>
        <v>343054.3685625692</v>
      </c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</row>
    <row r="51" spans="2:81">
      <c r="B51" s="1" t="s">
        <v>72</v>
      </c>
      <c r="F51" s="1">
        <v>3144</v>
      </c>
      <c r="G51" s="1">
        <v>3762</v>
      </c>
      <c r="H51" s="1">
        <v>4036</v>
      </c>
      <c r="I51" s="1">
        <v>3889</v>
      </c>
      <c r="J51" s="1">
        <v>3512</v>
      </c>
      <c r="K51" s="1">
        <v>4641</v>
      </c>
      <c r="L51" s="1">
        <v>4494</v>
      </c>
      <c r="M51" s="1">
        <v>3994</v>
      </c>
      <c r="N51" s="1">
        <v>3487</v>
      </c>
      <c r="O51" s="1">
        <v>4599</v>
      </c>
      <c r="P51" s="1">
        <v>3970</v>
      </c>
      <c r="Q51" s="1">
        <v>3495</v>
      </c>
      <c r="R51" s="1">
        <v>3410</v>
      </c>
      <c r="S51" s="1">
        <v>4244</v>
      </c>
      <c r="T51" s="1">
        <v>4545</v>
      </c>
      <c r="U51" s="1">
        <v>4233</v>
      </c>
      <c r="V51" s="1">
        <v>3569</v>
      </c>
      <c r="AJ51" s="1">
        <f t="shared" si="102"/>
        <v>3144</v>
      </c>
      <c r="AK51" s="1">
        <f t="shared" si="103"/>
        <v>3512</v>
      </c>
      <c r="AL51" s="1">
        <f t="shared" si="104"/>
        <v>3487</v>
      </c>
      <c r="AM51" s="1">
        <f t="shared" si="105"/>
        <v>3410</v>
      </c>
      <c r="AN51" s="1">
        <f t="shared" si="106"/>
        <v>3569</v>
      </c>
      <c r="AO51" s="9"/>
      <c r="AP51" s="9" t="s">
        <v>134</v>
      </c>
      <c r="AQ51" s="14">
        <v>4301</v>
      </c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</row>
    <row r="52" spans="2:81">
      <c r="B52" s="1" t="s">
        <v>107</v>
      </c>
      <c r="F52" s="1">
        <v>3266</v>
      </c>
      <c r="G52" s="1">
        <v>3356</v>
      </c>
      <c r="H52" s="1">
        <v>3281</v>
      </c>
      <c r="I52" s="1">
        <v>3182</v>
      </c>
      <c r="J52" s="1">
        <v>3414</v>
      </c>
      <c r="K52" s="1">
        <v>3741</v>
      </c>
      <c r="L52" s="1">
        <v>3621</v>
      </c>
      <c r="M52" s="1">
        <v>3708</v>
      </c>
      <c r="N52" s="1">
        <v>4233</v>
      </c>
      <c r="O52" s="1">
        <v>4727</v>
      </c>
      <c r="P52" s="1">
        <v>4646</v>
      </c>
      <c r="Q52" s="1">
        <v>4252</v>
      </c>
      <c r="R52" s="1">
        <v>4424</v>
      </c>
      <c r="S52" s="1">
        <v>4961</v>
      </c>
      <c r="T52" s="1">
        <v>4763</v>
      </c>
      <c r="U52" s="1">
        <v>4714</v>
      </c>
      <c r="V52" s="1">
        <v>4728</v>
      </c>
      <c r="AJ52" s="1">
        <f t="shared" si="102"/>
        <v>3266</v>
      </c>
      <c r="AK52" s="1">
        <f t="shared" si="103"/>
        <v>3414</v>
      </c>
      <c r="AL52" s="1">
        <f t="shared" si="104"/>
        <v>4233</v>
      </c>
      <c r="AM52" s="1">
        <f t="shared" si="105"/>
        <v>4424</v>
      </c>
      <c r="AN52" s="1">
        <f t="shared" si="106"/>
        <v>4728</v>
      </c>
      <c r="AO52" s="9"/>
      <c r="AP52" s="9" t="s">
        <v>177</v>
      </c>
      <c r="AQ52" s="15">
        <f>AQ50/AQ51</f>
        <v>79.761536517686395</v>
      </c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</row>
    <row r="53" spans="2:81">
      <c r="B53" s="1" t="s">
        <v>73</v>
      </c>
      <c r="F53" s="1">
        <v>1916</v>
      </c>
      <c r="G53" s="1">
        <v>2225</v>
      </c>
      <c r="H53" s="1">
        <v>2122</v>
      </c>
      <c r="I53" s="1">
        <v>2300</v>
      </c>
      <c r="J53" s="1">
        <v>2994</v>
      </c>
      <c r="K53" s="1">
        <v>3418</v>
      </c>
      <c r="L53" s="1">
        <v>3407</v>
      </c>
      <c r="M53" s="1">
        <v>3217</v>
      </c>
      <c r="N53" s="1">
        <v>3240</v>
      </c>
      <c r="O53" s="1">
        <v>3259</v>
      </c>
      <c r="P53" s="1">
        <v>3281</v>
      </c>
      <c r="Q53" s="1">
        <v>4685</v>
      </c>
      <c r="R53" s="1">
        <v>5235</v>
      </c>
      <c r="S53" s="1">
        <v>3338</v>
      </c>
      <c r="T53" s="1">
        <v>3298</v>
      </c>
      <c r="U53" s="1">
        <v>3177</v>
      </c>
      <c r="V53" s="1">
        <v>3129</v>
      </c>
      <c r="AJ53" s="1">
        <f t="shared" si="102"/>
        <v>1916</v>
      </c>
      <c r="AK53" s="1">
        <f t="shared" si="103"/>
        <v>2994</v>
      </c>
      <c r="AL53" s="1">
        <f t="shared" si="104"/>
        <v>3240</v>
      </c>
      <c r="AM53" s="1">
        <f t="shared" si="105"/>
        <v>5235</v>
      </c>
      <c r="AN53" s="1">
        <f t="shared" si="106"/>
        <v>3129</v>
      </c>
      <c r="AO53" s="9"/>
      <c r="AP53" s="9" t="s">
        <v>178</v>
      </c>
      <c r="AQ53" s="15">
        <v>70.37</v>
      </c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</row>
    <row r="54" spans="2:81">
      <c r="B54" s="1" t="s">
        <v>96</v>
      </c>
      <c r="F54" s="1">
        <v>19273</v>
      </c>
      <c r="G54" s="1">
        <v>18966</v>
      </c>
      <c r="H54" s="1">
        <v>18471</v>
      </c>
      <c r="I54" s="1">
        <v>18284</v>
      </c>
      <c r="J54" s="1">
        <v>17598</v>
      </c>
      <c r="K54" s="1">
        <v>18198</v>
      </c>
      <c r="L54" s="1">
        <v>17720</v>
      </c>
      <c r="M54" s="1">
        <v>17723</v>
      </c>
      <c r="N54" s="1">
        <v>18264</v>
      </c>
      <c r="O54" s="1">
        <v>18744</v>
      </c>
      <c r="P54" s="1">
        <v>19262</v>
      </c>
      <c r="Q54" s="1">
        <v>19256</v>
      </c>
      <c r="R54" s="1">
        <v>19671</v>
      </c>
      <c r="S54" s="1">
        <v>19495</v>
      </c>
      <c r="T54" s="1">
        <v>18940</v>
      </c>
      <c r="U54" s="1">
        <f>18993</f>
        <v>18993</v>
      </c>
      <c r="V54" s="1">
        <v>18087</v>
      </c>
      <c r="AJ54" s="1">
        <f t="shared" si="102"/>
        <v>19273</v>
      </c>
      <c r="AK54" s="1">
        <f t="shared" si="103"/>
        <v>17598</v>
      </c>
      <c r="AL54" s="1">
        <f t="shared" si="104"/>
        <v>18264</v>
      </c>
      <c r="AM54" s="1">
        <f t="shared" si="105"/>
        <v>19671</v>
      </c>
      <c r="AN54" s="1">
        <f t="shared" si="106"/>
        <v>18087</v>
      </c>
      <c r="AO54" s="9"/>
      <c r="AP54" s="9"/>
      <c r="AQ54" s="13">
        <f>AQ52/AQ53-1</f>
        <v>0.13345937924806583</v>
      </c>
      <c r="AR54" s="9" t="str">
        <f>IF(AQ54&gt;0,"Upside","Downside")</f>
        <v>Upside</v>
      </c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</row>
    <row r="55" spans="2:81">
      <c r="B55" s="1" t="s">
        <v>97</v>
      </c>
      <c r="F55" s="1">
        <v>812</v>
      </c>
      <c r="G55" s="1">
        <v>806</v>
      </c>
      <c r="H55" s="1">
        <v>945</v>
      </c>
      <c r="I55" s="1">
        <v>897</v>
      </c>
      <c r="J55" s="1">
        <v>818</v>
      </c>
      <c r="K55" s="1">
        <v>788</v>
      </c>
      <c r="L55" s="1">
        <v>655</v>
      </c>
      <c r="M55" s="1">
        <v>582</v>
      </c>
      <c r="N55" s="1">
        <v>501</v>
      </c>
      <c r="O55" s="1">
        <v>337</v>
      </c>
      <c r="P55" s="1">
        <v>158</v>
      </c>
      <c r="Q55" s="1">
        <v>104</v>
      </c>
      <c r="R55" s="1">
        <v>118</v>
      </c>
      <c r="S55" s="1">
        <v>147</v>
      </c>
      <c r="T55" s="1">
        <v>167</v>
      </c>
      <c r="U55" s="1">
        <v>44</v>
      </c>
      <c r="V55" s="1">
        <v>0</v>
      </c>
      <c r="AJ55" s="1">
        <f t="shared" si="102"/>
        <v>812</v>
      </c>
      <c r="AK55" s="1">
        <f t="shared" si="103"/>
        <v>818</v>
      </c>
      <c r="AL55" s="1">
        <f t="shared" si="104"/>
        <v>501</v>
      </c>
      <c r="AM55" s="1">
        <f t="shared" si="105"/>
        <v>118</v>
      </c>
      <c r="AN55" s="1">
        <f t="shared" si="106"/>
        <v>0</v>
      </c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</row>
    <row r="56" spans="2:81">
      <c r="B56" s="1" t="s">
        <v>79</v>
      </c>
      <c r="F56" s="1">
        <v>6184</v>
      </c>
      <c r="G56" s="1">
        <v>6494</v>
      </c>
      <c r="H56" s="1">
        <v>6553</v>
      </c>
      <c r="I56" s="1">
        <v>6490</v>
      </c>
      <c r="J56" s="1">
        <v>6731</v>
      </c>
      <c r="K56" s="1">
        <v>6392</v>
      </c>
      <c r="L56" s="1">
        <v>6470</v>
      </c>
      <c r="M56" s="1">
        <v>6130</v>
      </c>
      <c r="N56" s="1">
        <v>6189</v>
      </c>
      <c r="O56" s="1">
        <v>6324</v>
      </c>
      <c r="P56" s="1">
        <v>6592</v>
      </c>
      <c r="Q56" s="1">
        <v>7031</v>
      </c>
      <c r="R56" s="1">
        <v>7162</v>
      </c>
      <c r="S56" s="1">
        <v>7291</v>
      </c>
      <c r="T56" s="1">
        <v>7274</v>
      </c>
      <c r="U56" s="1">
        <v>12904</v>
      </c>
      <c r="V56" s="1">
        <v>0</v>
      </c>
      <c r="AJ56" s="1">
        <f t="shared" si="102"/>
        <v>6184</v>
      </c>
      <c r="AK56" s="1">
        <f t="shared" si="103"/>
        <v>6731</v>
      </c>
      <c r="AL56" s="1">
        <f t="shared" si="104"/>
        <v>6189</v>
      </c>
      <c r="AM56" s="1">
        <f t="shared" si="105"/>
        <v>7162</v>
      </c>
      <c r="AN56" s="1">
        <f t="shared" si="106"/>
        <v>0</v>
      </c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</row>
    <row r="57" spans="2:81">
      <c r="B57" s="1" t="s">
        <v>75</v>
      </c>
      <c r="F57" s="1">
        <v>2460</v>
      </c>
      <c r="G57" s="1">
        <v>2332</v>
      </c>
      <c r="H57" s="1">
        <v>2291</v>
      </c>
      <c r="I57" s="1">
        <v>2237</v>
      </c>
      <c r="J57" s="1">
        <v>2129</v>
      </c>
      <c r="K57" s="1">
        <v>2006</v>
      </c>
      <c r="L57" s="1">
        <v>1833</v>
      </c>
      <c r="M57" s="1">
        <v>1708</v>
      </c>
      <c r="N57" s="1">
        <v>1746</v>
      </c>
      <c r="O57" s="1">
        <v>1696</v>
      </c>
      <c r="P57" s="1">
        <v>1661</v>
      </c>
      <c r="Q57" s="1">
        <v>1575</v>
      </c>
      <c r="R57" s="1">
        <v>1561</v>
      </c>
      <c r="S57" s="1">
        <v>1457</v>
      </c>
      <c r="T57" s="1">
        <v>1409</v>
      </c>
      <c r="U57" s="1">
        <v>1428</v>
      </c>
      <c r="V57" s="1">
        <v>1319</v>
      </c>
      <c r="AJ57" s="1">
        <f t="shared" si="102"/>
        <v>2460</v>
      </c>
      <c r="AK57" s="1">
        <f t="shared" si="103"/>
        <v>2129</v>
      </c>
      <c r="AL57" s="1">
        <f t="shared" si="104"/>
        <v>1746</v>
      </c>
      <c r="AM57" s="1">
        <f t="shared" si="105"/>
        <v>1561</v>
      </c>
      <c r="AN57" s="1">
        <f t="shared" si="106"/>
        <v>1319</v>
      </c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</row>
    <row r="58" spans="2:81">
      <c r="B58" s="1" t="s">
        <v>76</v>
      </c>
      <c r="F58" s="1">
        <v>10777</v>
      </c>
      <c r="G58" s="1">
        <v>10673</v>
      </c>
      <c r="H58" s="1">
        <v>10547</v>
      </c>
      <c r="I58" s="1">
        <v>10058</v>
      </c>
      <c r="J58" s="1">
        <v>9920</v>
      </c>
      <c r="K58" s="1">
        <v>9784</v>
      </c>
      <c r="L58" s="1">
        <v>9462</v>
      </c>
      <c r="M58" s="1">
        <v>9243</v>
      </c>
      <c r="N58" s="1">
        <v>9841</v>
      </c>
      <c r="O58" s="1">
        <v>9848</v>
      </c>
      <c r="P58" s="1">
        <v>9706</v>
      </c>
      <c r="Q58" s="1">
        <v>8860</v>
      </c>
      <c r="R58" s="1">
        <v>9236</v>
      </c>
      <c r="S58" s="1">
        <v>9306</v>
      </c>
      <c r="T58" s="1">
        <v>9508</v>
      </c>
      <c r="U58" s="1">
        <v>9864</v>
      </c>
      <c r="V58" s="1">
        <v>10303</v>
      </c>
      <c r="AJ58" s="1">
        <f t="shared" si="102"/>
        <v>10777</v>
      </c>
      <c r="AK58" s="1">
        <f t="shared" si="103"/>
        <v>9920</v>
      </c>
      <c r="AL58" s="1">
        <f t="shared" si="104"/>
        <v>9841</v>
      </c>
      <c r="AM58" s="1">
        <f t="shared" si="105"/>
        <v>9236</v>
      </c>
      <c r="AN58" s="1">
        <f t="shared" si="106"/>
        <v>10303</v>
      </c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</row>
    <row r="59" spans="2:81">
      <c r="B59" s="1" t="s">
        <v>77</v>
      </c>
      <c r="F59" s="1">
        <v>10395</v>
      </c>
      <c r="G59" s="1">
        <v>10584</v>
      </c>
      <c r="H59" s="1">
        <v>10675</v>
      </c>
      <c r="I59" s="1">
        <v>10449</v>
      </c>
      <c r="J59" s="1">
        <v>14465</v>
      </c>
      <c r="K59" s="1">
        <v>14388</v>
      </c>
      <c r="L59" s="1">
        <v>14271</v>
      </c>
      <c r="M59" s="1">
        <v>13968</v>
      </c>
      <c r="N59" s="1">
        <v>14214</v>
      </c>
      <c r="O59" s="1">
        <v>14283</v>
      </c>
      <c r="P59" s="1">
        <v>14369</v>
      </c>
      <c r="Q59" s="1">
        <v>14213</v>
      </c>
      <c r="R59" s="1">
        <v>14349</v>
      </c>
      <c r="S59" s="1">
        <v>13532</v>
      </c>
      <c r="T59" s="1">
        <v>13510</v>
      </c>
      <c r="U59" s="1">
        <v>13598</v>
      </c>
      <c r="V59" s="1">
        <v>13301</v>
      </c>
      <c r="AJ59" s="1">
        <f t="shared" si="102"/>
        <v>10395</v>
      </c>
      <c r="AK59" s="1">
        <f t="shared" si="103"/>
        <v>14465</v>
      </c>
      <c r="AL59" s="1">
        <f t="shared" si="104"/>
        <v>14214</v>
      </c>
      <c r="AM59" s="1">
        <f t="shared" si="105"/>
        <v>14349</v>
      </c>
      <c r="AN59" s="1">
        <f t="shared" si="106"/>
        <v>13301</v>
      </c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</row>
    <row r="60" spans="2:81">
      <c r="B60" s="1" t="s">
        <v>78</v>
      </c>
      <c r="F60" s="1">
        <v>17506</v>
      </c>
      <c r="G60" s="1">
        <v>17618</v>
      </c>
      <c r="H60" s="1">
        <v>17693</v>
      </c>
      <c r="I60" s="1">
        <v>17455</v>
      </c>
      <c r="J60" s="1">
        <v>19363</v>
      </c>
      <c r="K60" s="1">
        <v>19598</v>
      </c>
      <c r="L60" s="1">
        <v>18910</v>
      </c>
      <c r="M60" s="1">
        <v>18329</v>
      </c>
      <c r="N60" s="1">
        <v>18782</v>
      </c>
      <c r="O60" s="1">
        <v>18678</v>
      </c>
      <c r="P60" s="1">
        <v>18545</v>
      </c>
      <c r="Q60" s="1">
        <v>18144</v>
      </c>
      <c r="R60" s="1">
        <v>18358</v>
      </c>
      <c r="S60" s="1">
        <v>18210</v>
      </c>
      <c r="T60" s="1">
        <v>18324</v>
      </c>
      <c r="U60" s="1">
        <v>18686</v>
      </c>
      <c r="V60" s="1">
        <v>18139</v>
      </c>
      <c r="AJ60" s="1">
        <f t="shared" si="102"/>
        <v>17506</v>
      </c>
      <c r="AK60" s="1">
        <f t="shared" si="103"/>
        <v>19363</v>
      </c>
      <c r="AL60" s="1">
        <f t="shared" si="104"/>
        <v>18782</v>
      </c>
      <c r="AM60" s="1">
        <f t="shared" si="105"/>
        <v>18358</v>
      </c>
      <c r="AN60" s="1">
        <f t="shared" si="106"/>
        <v>18139</v>
      </c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</row>
    <row r="61" spans="2:81">
      <c r="B61" s="1" t="s">
        <v>98</v>
      </c>
      <c r="F61" s="1">
        <v>649</v>
      </c>
      <c r="G61" s="1">
        <v>588</v>
      </c>
      <c r="H61" s="1">
        <v>538</v>
      </c>
      <c r="I61" s="1">
        <v>496</v>
      </c>
      <c r="J61" s="1">
        <v>785</v>
      </c>
      <c r="K61" s="1">
        <v>754</v>
      </c>
      <c r="L61" s="1">
        <v>707</v>
      </c>
      <c r="M61" s="1">
        <v>649</v>
      </c>
      <c r="N61" s="1">
        <v>635</v>
      </c>
      <c r="O61" s="1">
        <v>614</v>
      </c>
      <c r="P61" s="1">
        <v>572</v>
      </c>
      <c r="Q61" s="1">
        <v>528</v>
      </c>
      <c r="R61" s="1">
        <v>516</v>
      </c>
      <c r="S61" s="1">
        <v>492</v>
      </c>
      <c r="T61" s="1">
        <v>471</v>
      </c>
      <c r="U61" s="1">
        <v>461</v>
      </c>
      <c r="V61" s="1">
        <v>13403</v>
      </c>
      <c r="AJ61" s="1">
        <f t="shared" si="102"/>
        <v>649</v>
      </c>
      <c r="AK61" s="1">
        <f t="shared" si="103"/>
        <v>785</v>
      </c>
      <c r="AL61" s="1">
        <f t="shared" si="104"/>
        <v>635</v>
      </c>
      <c r="AM61" s="1">
        <f t="shared" si="105"/>
        <v>516</v>
      </c>
      <c r="AN61" s="1">
        <f t="shared" si="106"/>
        <v>13403</v>
      </c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</row>
    <row r="62" spans="2:81">
      <c r="B62" s="1" t="s">
        <v>80</v>
      </c>
      <c r="F62" s="1">
        <f t="shared" ref="F62:V62" si="107">SUM(F48:F61)</f>
        <v>87296</v>
      </c>
      <c r="G62" s="1">
        <f t="shared" si="107"/>
        <v>89993</v>
      </c>
      <c r="H62" s="1">
        <f t="shared" si="107"/>
        <v>90194</v>
      </c>
      <c r="I62" s="1">
        <f t="shared" si="107"/>
        <v>90606</v>
      </c>
      <c r="J62" s="1">
        <f t="shared" si="107"/>
        <v>94354</v>
      </c>
      <c r="K62" s="1">
        <f t="shared" si="107"/>
        <v>94064</v>
      </c>
      <c r="L62" s="1">
        <f t="shared" si="107"/>
        <v>93169</v>
      </c>
      <c r="M62" s="1">
        <f t="shared" si="107"/>
        <v>92471</v>
      </c>
      <c r="N62" s="1">
        <f t="shared" si="107"/>
        <v>92763</v>
      </c>
      <c r="O62" s="1">
        <f t="shared" si="107"/>
        <v>97404</v>
      </c>
      <c r="P62" s="1">
        <f t="shared" si="107"/>
        <v>98456</v>
      </c>
      <c r="Q62" s="1">
        <f t="shared" si="107"/>
        <v>97578</v>
      </c>
      <c r="R62" s="1">
        <f t="shared" si="107"/>
        <v>97703</v>
      </c>
      <c r="S62" s="1">
        <f t="shared" si="107"/>
        <v>99392</v>
      </c>
      <c r="T62" s="1">
        <f t="shared" si="107"/>
        <v>101202</v>
      </c>
      <c r="U62" s="1">
        <f t="shared" si="107"/>
        <v>106266</v>
      </c>
      <c r="V62" s="1">
        <f t="shared" si="107"/>
        <v>100549</v>
      </c>
      <c r="AJ62" s="1">
        <f t="shared" si="102"/>
        <v>87296</v>
      </c>
      <c r="AK62" s="1">
        <f t="shared" si="103"/>
        <v>94354</v>
      </c>
      <c r="AL62" s="1">
        <f t="shared" si="104"/>
        <v>92763</v>
      </c>
      <c r="AM62" s="1">
        <f t="shared" si="105"/>
        <v>97703</v>
      </c>
      <c r="AN62" s="1">
        <f t="shared" si="106"/>
        <v>100549</v>
      </c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</row>
    <row r="63" spans="2:81"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</row>
    <row r="64" spans="2:81">
      <c r="B64" s="1" t="s">
        <v>81</v>
      </c>
      <c r="F64" s="1">
        <v>11145</v>
      </c>
      <c r="G64" s="1">
        <v>10929</v>
      </c>
      <c r="H64" s="1">
        <v>12124</v>
      </c>
      <c r="I64" s="1">
        <v>12830</v>
      </c>
      <c r="J64" s="1">
        <v>14619</v>
      </c>
      <c r="K64" s="1">
        <v>13272</v>
      </c>
      <c r="L64" s="1">
        <v>14213</v>
      </c>
      <c r="M64" s="1">
        <v>16103</v>
      </c>
      <c r="N64" s="1">
        <v>15749</v>
      </c>
      <c r="O64" s="1">
        <v>15593</v>
      </c>
      <c r="P64" s="1">
        <v>16483</v>
      </c>
      <c r="Q64" s="1">
        <v>16837</v>
      </c>
      <c r="R64" s="1">
        <v>15485</v>
      </c>
      <c r="S64" s="1">
        <v>19425</v>
      </c>
      <c r="T64" s="1">
        <v>21909</v>
      </c>
      <c r="U64" s="1">
        <v>23820</v>
      </c>
      <c r="V64" s="1">
        <v>21715</v>
      </c>
      <c r="AJ64" s="1">
        <f t="shared" ref="AJ64:AJ73" si="108">F64</f>
        <v>11145</v>
      </c>
      <c r="AK64" s="1">
        <f t="shared" ref="AK64:AK73" si="109">J64</f>
        <v>14619</v>
      </c>
      <c r="AL64" s="1">
        <f t="shared" ref="AL64:AL73" si="110">N64</f>
        <v>15749</v>
      </c>
      <c r="AM64" s="1">
        <f t="shared" ref="AM64:AM73" si="111">R64</f>
        <v>15485</v>
      </c>
      <c r="AN64" s="1">
        <f t="shared" ref="AN64:AN73" si="112">V64</f>
        <v>21715</v>
      </c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</row>
    <row r="65" spans="2:81">
      <c r="B65" s="1" t="s">
        <v>82</v>
      </c>
      <c r="F65" s="1">
        <v>2183</v>
      </c>
      <c r="G65" s="1">
        <v>1933</v>
      </c>
      <c r="H65" s="1">
        <v>1867</v>
      </c>
      <c r="I65" s="1">
        <v>1866</v>
      </c>
      <c r="J65" s="1">
        <v>3307</v>
      </c>
      <c r="K65" s="1">
        <v>3610</v>
      </c>
      <c r="L65" s="1">
        <v>4358</v>
      </c>
      <c r="M65" s="1">
        <v>3396</v>
      </c>
      <c r="N65" s="1">
        <v>2373</v>
      </c>
      <c r="O65" s="1">
        <v>5455</v>
      </c>
      <c r="P65" s="1">
        <v>4828</v>
      </c>
      <c r="Q65" s="1">
        <v>3915</v>
      </c>
      <c r="R65" s="1">
        <v>4557</v>
      </c>
      <c r="S65" s="1">
        <v>6054</v>
      </c>
      <c r="T65" s="1">
        <v>3793</v>
      </c>
      <c r="U65" s="1">
        <v>2203</v>
      </c>
      <c r="V65" s="1">
        <v>1499</v>
      </c>
      <c r="AJ65" s="1">
        <f t="shared" si="108"/>
        <v>2183</v>
      </c>
      <c r="AK65" s="1">
        <f t="shared" si="109"/>
        <v>3307</v>
      </c>
      <c r="AL65" s="1">
        <f t="shared" si="110"/>
        <v>2373</v>
      </c>
      <c r="AM65" s="1">
        <f t="shared" si="111"/>
        <v>4557</v>
      </c>
      <c r="AN65" s="1">
        <f t="shared" si="112"/>
        <v>1499</v>
      </c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</row>
    <row r="66" spans="2:81">
      <c r="B66" s="1" t="s">
        <v>83</v>
      </c>
      <c r="F66" s="1">
        <v>485</v>
      </c>
      <c r="G66" s="1">
        <v>2880</v>
      </c>
      <c r="H66" s="1">
        <v>337</v>
      </c>
      <c r="I66" s="1">
        <v>448</v>
      </c>
      <c r="J66" s="1">
        <v>1338</v>
      </c>
      <c r="K66" s="1">
        <v>1039</v>
      </c>
      <c r="L66" s="1">
        <v>788</v>
      </c>
      <c r="M66" s="1">
        <v>729</v>
      </c>
      <c r="N66" s="1">
        <v>399</v>
      </c>
      <c r="O66" s="1">
        <v>811</v>
      </c>
      <c r="P66" s="1">
        <v>1171</v>
      </c>
      <c r="Q66" s="1">
        <v>2080</v>
      </c>
      <c r="R66" s="1">
        <v>1960</v>
      </c>
      <c r="S66" s="1">
        <v>1392</v>
      </c>
      <c r="T66" s="1">
        <v>1939</v>
      </c>
      <c r="U66" s="1">
        <v>1067</v>
      </c>
      <c r="V66" s="1">
        <v>648</v>
      </c>
      <c r="AJ66" s="1">
        <f t="shared" si="108"/>
        <v>485</v>
      </c>
      <c r="AK66" s="1">
        <f t="shared" si="109"/>
        <v>1338</v>
      </c>
      <c r="AL66" s="1">
        <f t="shared" si="110"/>
        <v>399</v>
      </c>
      <c r="AM66" s="1">
        <f t="shared" si="111"/>
        <v>1960</v>
      </c>
      <c r="AN66" s="1">
        <f t="shared" si="112"/>
        <v>648</v>
      </c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</row>
    <row r="67" spans="2:81">
      <c r="B67" s="1" t="s">
        <v>84</v>
      </c>
      <c r="F67" s="1">
        <v>788</v>
      </c>
      <c r="G67" s="1">
        <v>744</v>
      </c>
      <c r="H67" s="1">
        <v>971</v>
      </c>
      <c r="I67" s="1">
        <v>846</v>
      </c>
      <c r="J67" s="1">
        <v>686</v>
      </c>
      <c r="K67" s="1">
        <v>866</v>
      </c>
      <c r="L67" s="1">
        <v>1172</v>
      </c>
      <c r="M67" s="1">
        <v>1211</v>
      </c>
      <c r="N67" s="1">
        <v>1203</v>
      </c>
      <c r="O67" s="1">
        <v>1498</v>
      </c>
      <c r="P67" s="1">
        <v>1633</v>
      </c>
      <c r="Q67" s="1">
        <v>1577</v>
      </c>
      <c r="R67" s="1">
        <v>1569</v>
      </c>
      <c r="S67" s="1">
        <v>1485</v>
      </c>
      <c r="T67" s="1">
        <v>1622</v>
      </c>
      <c r="U67" s="1">
        <v>1479</v>
      </c>
      <c r="V67" s="1">
        <v>1387</v>
      </c>
      <c r="AJ67" s="1">
        <f t="shared" si="108"/>
        <v>788</v>
      </c>
      <c r="AK67" s="1">
        <f t="shared" si="109"/>
        <v>686</v>
      </c>
      <c r="AL67" s="1">
        <f t="shared" si="110"/>
        <v>1203</v>
      </c>
      <c r="AM67" s="1">
        <f t="shared" si="111"/>
        <v>1569</v>
      </c>
      <c r="AN67" s="1">
        <f t="shared" si="112"/>
        <v>1387</v>
      </c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</row>
    <row r="68" spans="2:81">
      <c r="B68" s="1" t="s">
        <v>85</v>
      </c>
      <c r="F68" s="1">
        <v>40125</v>
      </c>
      <c r="G68" s="1">
        <v>40170</v>
      </c>
      <c r="H68" s="1">
        <v>39804</v>
      </c>
      <c r="I68" s="1">
        <v>39394</v>
      </c>
      <c r="J68" s="1">
        <v>38116</v>
      </c>
      <c r="K68" s="1">
        <v>37052</v>
      </c>
      <c r="L68" s="1">
        <v>36755</v>
      </c>
      <c r="M68" s="1">
        <v>35462</v>
      </c>
      <c r="N68" s="1">
        <v>36377</v>
      </c>
      <c r="O68" s="1">
        <v>36134</v>
      </c>
      <c r="P68" s="1">
        <v>35626</v>
      </c>
      <c r="Q68" s="1">
        <v>34176</v>
      </c>
      <c r="R68" s="1">
        <v>35547</v>
      </c>
      <c r="S68" s="1">
        <v>35104</v>
      </c>
      <c r="T68" s="1">
        <v>38085</v>
      </c>
      <c r="U68" s="1">
        <v>42994</v>
      </c>
      <c r="V68" s="1">
        <v>42375</v>
      </c>
      <c r="AJ68" s="1">
        <f t="shared" si="108"/>
        <v>40125</v>
      </c>
      <c r="AK68" s="1">
        <f t="shared" si="109"/>
        <v>38116</v>
      </c>
      <c r="AL68" s="1">
        <f t="shared" si="110"/>
        <v>36377</v>
      </c>
      <c r="AM68" s="1">
        <f t="shared" si="111"/>
        <v>35547</v>
      </c>
      <c r="AN68" s="1">
        <f t="shared" si="112"/>
        <v>42375</v>
      </c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</row>
    <row r="69" spans="2:81">
      <c r="B69" s="1" t="s">
        <v>86</v>
      </c>
      <c r="F69" s="1">
        <v>9453</v>
      </c>
      <c r="G69" s="1">
        <v>8558</v>
      </c>
      <c r="H69" s="1">
        <v>8350</v>
      </c>
      <c r="I69" s="1">
        <v>8401</v>
      </c>
      <c r="J69" s="1">
        <v>8607</v>
      </c>
      <c r="K69" s="1">
        <v>8252</v>
      </c>
      <c r="L69" s="1">
        <v>8046</v>
      </c>
      <c r="M69" s="1">
        <v>8010</v>
      </c>
      <c r="N69" s="1">
        <v>7922</v>
      </c>
      <c r="O69" s="1">
        <v>7874</v>
      </c>
      <c r="P69" s="1">
        <v>8449</v>
      </c>
      <c r="Q69" s="1">
        <v>8427</v>
      </c>
      <c r="R69" s="1">
        <v>8466</v>
      </c>
      <c r="S69" s="1">
        <v>5465</v>
      </c>
      <c r="T69" s="1">
        <v>4077</v>
      </c>
      <c r="U69" s="1">
        <v>4257</v>
      </c>
      <c r="V69" s="1">
        <v>4084</v>
      </c>
      <c r="AJ69" s="1">
        <f t="shared" si="108"/>
        <v>9453</v>
      </c>
      <c r="AK69" s="1">
        <f t="shared" si="109"/>
        <v>8607</v>
      </c>
      <c r="AL69" s="1">
        <f t="shared" si="110"/>
        <v>7922</v>
      </c>
      <c r="AM69" s="1">
        <f t="shared" si="111"/>
        <v>8466</v>
      </c>
      <c r="AN69" s="1">
        <f t="shared" si="112"/>
        <v>4084</v>
      </c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</row>
    <row r="70" spans="2:81">
      <c r="B70" s="1" t="s">
        <v>87</v>
      </c>
      <c r="F70" s="1">
        <v>1833</v>
      </c>
      <c r="G70" s="1">
        <v>2447</v>
      </c>
      <c r="H70" s="1">
        <v>2486</v>
      </c>
      <c r="I70" s="1">
        <v>2688</v>
      </c>
      <c r="J70" s="1">
        <v>2821</v>
      </c>
      <c r="K70" s="1">
        <v>3132</v>
      </c>
      <c r="L70" s="1">
        <v>3034</v>
      </c>
      <c r="M70" s="1">
        <v>3124</v>
      </c>
      <c r="N70" s="1">
        <v>2914</v>
      </c>
      <c r="O70" s="1">
        <v>3171</v>
      </c>
      <c r="P70" s="1">
        <v>2714</v>
      </c>
      <c r="Q70" s="1">
        <v>2733</v>
      </c>
      <c r="R70" s="1">
        <v>2639</v>
      </c>
      <c r="S70" s="1">
        <v>2521</v>
      </c>
      <c r="T70" s="1">
        <v>2366</v>
      </c>
      <c r="U70" s="1">
        <v>2292</v>
      </c>
      <c r="V70" s="1">
        <v>2469</v>
      </c>
      <c r="AJ70" s="1">
        <f t="shared" si="108"/>
        <v>1833</v>
      </c>
      <c r="AK70" s="1">
        <f t="shared" si="109"/>
        <v>2821</v>
      </c>
      <c r="AL70" s="1">
        <f t="shared" si="110"/>
        <v>2914</v>
      </c>
      <c r="AM70" s="1">
        <f t="shared" si="111"/>
        <v>2639</v>
      </c>
      <c r="AN70" s="1">
        <f t="shared" si="112"/>
        <v>2469</v>
      </c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</row>
    <row r="71" spans="2:81">
      <c r="B71" s="1" t="s">
        <v>88</v>
      </c>
      <c r="F71" s="1">
        <f t="shared" ref="F71:T71" si="113">SUM(F64:F70)</f>
        <v>66012</v>
      </c>
      <c r="G71" s="1">
        <f t="shared" si="113"/>
        <v>67661</v>
      </c>
      <c r="H71" s="1">
        <f t="shared" si="113"/>
        <v>65939</v>
      </c>
      <c r="I71" s="1">
        <f t="shared" si="113"/>
        <v>66473</v>
      </c>
      <c r="J71" s="1">
        <f t="shared" si="113"/>
        <v>69494</v>
      </c>
      <c r="K71" s="1">
        <f t="shared" si="113"/>
        <v>67223</v>
      </c>
      <c r="L71" s="1">
        <f t="shared" si="113"/>
        <v>68366</v>
      </c>
      <c r="M71" s="1">
        <f t="shared" si="113"/>
        <v>68035</v>
      </c>
      <c r="N71" s="1">
        <f t="shared" si="113"/>
        <v>66937</v>
      </c>
      <c r="O71" s="1">
        <f t="shared" si="113"/>
        <v>70536</v>
      </c>
      <c r="P71" s="1">
        <f t="shared" si="113"/>
        <v>70904</v>
      </c>
      <c r="Q71" s="1">
        <f t="shared" si="113"/>
        <v>69745</v>
      </c>
      <c r="R71" s="1">
        <f t="shared" si="113"/>
        <v>70223</v>
      </c>
      <c r="S71" s="1">
        <f t="shared" si="113"/>
        <v>71446</v>
      </c>
      <c r="T71" s="1">
        <f t="shared" si="113"/>
        <v>73791</v>
      </c>
      <c r="U71" s="1">
        <f>SUM(U64:U70)</f>
        <v>78112</v>
      </c>
      <c r="V71" s="1">
        <f t="shared" ref="V71" si="114">SUM(V64:V70)</f>
        <v>74177</v>
      </c>
      <c r="AJ71" s="1">
        <f t="shared" si="108"/>
        <v>66012</v>
      </c>
      <c r="AK71" s="1">
        <f t="shared" si="109"/>
        <v>69494</v>
      </c>
      <c r="AL71" s="1">
        <f t="shared" si="110"/>
        <v>66937</v>
      </c>
      <c r="AM71" s="1">
        <f t="shared" si="111"/>
        <v>70223</v>
      </c>
      <c r="AN71" s="1">
        <f t="shared" si="112"/>
        <v>74177</v>
      </c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</row>
    <row r="72" spans="2:81">
      <c r="B72" s="1" t="s">
        <v>99</v>
      </c>
      <c r="F72" s="1">
        <v>21284</v>
      </c>
      <c r="G72" s="1">
        <v>22332</v>
      </c>
      <c r="H72" s="1">
        <v>24255</v>
      </c>
      <c r="I72" s="1">
        <v>24133</v>
      </c>
      <c r="J72" s="1">
        <v>24860</v>
      </c>
      <c r="K72" s="1">
        <v>26841</v>
      </c>
      <c r="L72" s="1">
        <v>24803</v>
      </c>
      <c r="M72" s="1">
        <v>24436</v>
      </c>
      <c r="N72" s="1">
        <v>25826</v>
      </c>
      <c r="O72" s="1">
        <v>26868</v>
      </c>
      <c r="P72" s="1">
        <v>27552</v>
      </c>
      <c r="Q72" s="1">
        <v>27833</v>
      </c>
      <c r="R72" s="1">
        <v>27480</v>
      </c>
      <c r="S72" s="1">
        <v>27946</v>
      </c>
      <c r="T72" s="1">
        <v>27411</v>
      </c>
      <c r="U72" s="1">
        <v>28154</v>
      </c>
      <c r="V72" s="1">
        <v>26372</v>
      </c>
      <c r="AJ72" s="1">
        <f t="shared" si="108"/>
        <v>21284</v>
      </c>
      <c r="AK72" s="1">
        <f t="shared" si="109"/>
        <v>24860</v>
      </c>
      <c r="AL72" s="1">
        <f t="shared" si="110"/>
        <v>25826</v>
      </c>
      <c r="AM72" s="1">
        <f t="shared" si="111"/>
        <v>27480</v>
      </c>
      <c r="AN72" s="1">
        <f t="shared" si="112"/>
        <v>26372</v>
      </c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</row>
    <row r="73" spans="2:81">
      <c r="B73" s="1" t="s">
        <v>100</v>
      </c>
      <c r="F73" s="1">
        <f t="shared" ref="F73:T73" si="115">F71+F72</f>
        <v>87296</v>
      </c>
      <c r="G73" s="1">
        <f t="shared" si="115"/>
        <v>89993</v>
      </c>
      <c r="H73" s="1">
        <f t="shared" si="115"/>
        <v>90194</v>
      </c>
      <c r="I73" s="1">
        <f t="shared" si="115"/>
        <v>90606</v>
      </c>
      <c r="J73" s="1">
        <f t="shared" si="115"/>
        <v>94354</v>
      </c>
      <c r="K73" s="1">
        <f t="shared" si="115"/>
        <v>94064</v>
      </c>
      <c r="L73" s="1">
        <f t="shared" si="115"/>
        <v>93169</v>
      </c>
      <c r="M73" s="1">
        <f t="shared" si="115"/>
        <v>92471</v>
      </c>
      <c r="N73" s="1">
        <f t="shared" si="115"/>
        <v>92763</v>
      </c>
      <c r="O73" s="1">
        <f t="shared" si="115"/>
        <v>97404</v>
      </c>
      <c r="P73" s="1">
        <f t="shared" si="115"/>
        <v>98456</v>
      </c>
      <c r="Q73" s="1">
        <f t="shared" si="115"/>
        <v>97578</v>
      </c>
      <c r="R73" s="1">
        <f t="shared" si="115"/>
        <v>97703</v>
      </c>
      <c r="S73" s="1">
        <f t="shared" si="115"/>
        <v>99392</v>
      </c>
      <c r="T73" s="1">
        <f t="shared" si="115"/>
        <v>101202</v>
      </c>
      <c r="U73" s="1">
        <f>U71+U72</f>
        <v>106266</v>
      </c>
      <c r="V73" s="1">
        <f>V71+V72</f>
        <v>100549</v>
      </c>
      <c r="AJ73" s="1">
        <f t="shared" si="108"/>
        <v>87296</v>
      </c>
      <c r="AK73" s="1">
        <f t="shared" si="109"/>
        <v>94354</v>
      </c>
      <c r="AL73" s="1">
        <f t="shared" si="110"/>
        <v>92763</v>
      </c>
      <c r="AM73" s="1">
        <f t="shared" si="111"/>
        <v>97703</v>
      </c>
      <c r="AN73" s="1">
        <f t="shared" si="112"/>
        <v>100549</v>
      </c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</row>
    <row r="74" spans="2:81"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</row>
    <row r="75" spans="2:81">
      <c r="B75" s="1" t="s">
        <v>101</v>
      </c>
      <c r="C75" s="1">
        <f t="shared" ref="C75:R75" si="116">C35</f>
        <v>2795</v>
      </c>
      <c r="D75" s="1">
        <f t="shared" si="116"/>
        <v>1759</v>
      </c>
      <c r="E75" s="1">
        <f t="shared" si="116"/>
        <v>1740</v>
      </c>
      <c r="F75" s="1">
        <f t="shared" si="116"/>
        <v>1474</v>
      </c>
      <c r="G75" s="1">
        <f t="shared" si="116"/>
        <v>2255</v>
      </c>
      <c r="H75" s="1">
        <f t="shared" si="116"/>
        <v>2624</v>
      </c>
      <c r="I75" s="1">
        <f t="shared" si="116"/>
        <v>2475</v>
      </c>
      <c r="J75" s="1">
        <f t="shared" si="116"/>
        <v>2450</v>
      </c>
      <c r="K75" s="1">
        <f t="shared" si="116"/>
        <v>2793</v>
      </c>
      <c r="L75" s="1">
        <f t="shared" si="116"/>
        <v>1900</v>
      </c>
      <c r="M75" s="1">
        <f t="shared" si="116"/>
        <v>2822</v>
      </c>
      <c r="N75" s="1">
        <f t="shared" si="116"/>
        <v>2056</v>
      </c>
      <c r="O75" s="1">
        <f t="shared" si="116"/>
        <v>3113</v>
      </c>
      <c r="P75" s="1">
        <f t="shared" si="116"/>
        <v>2521</v>
      </c>
      <c r="Q75" s="1">
        <f t="shared" si="116"/>
        <v>3083</v>
      </c>
      <c r="R75" s="1">
        <f t="shared" si="116"/>
        <v>1986</v>
      </c>
      <c r="S75" s="1">
        <f>S35</f>
        <v>3185</v>
      </c>
      <c r="T75" s="1">
        <f t="shared" ref="T75:V75" si="117">T35</f>
        <v>2401</v>
      </c>
      <c r="U75" s="1">
        <f t="shared" si="117"/>
        <v>2850</v>
      </c>
      <c r="V75" s="1">
        <f t="shared" si="117"/>
        <v>2213</v>
      </c>
      <c r="AJ75" s="1">
        <f t="shared" ref="AJ75:AJ85" si="118">SUM(C75:F75)</f>
        <v>7768</v>
      </c>
      <c r="AK75" s="1">
        <f t="shared" ref="AK75:AK85" si="119">SUM(G75:J75)</f>
        <v>9804</v>
      </c>
      <c r="AL75" s="1">
        <f t="shared" ref="AL75:AL85" si="120">SUM(K75:N75)</f>
        <v>9571</v>
      </c>
      <c r="AM75" s="1">
        <f t="shared" ref="AM75:AM85" si="121">SUM(O75:R75)</f>
        <v>10703</v>
      </c>
      <c r="AN75" s="1">
        <f t="shared" ref="AN75:AN85" si="122">SUM(S75:V75)</f>
        <v>10649</v>
      </c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</row>
    <row r="76" spans="2:81">
      <c r="B76" s="1" t="s">
        <v>108</v>
      </c>
      <c r="C76" s="1">
        <v>367</v>
      </c>
      <c r="D76" s="1">
        <f>748-C76</f>
        <v>381</v>
      </c>
      <c r="E76" s="1">
        <f>1106-SUM(C76:D76)</f>
        <v>358</v>
      </c>
      <c r="F76" s="1">
        <f>1536-SUM(C76:E76)</f>
        <v>430</v>
      </c>
      <c r="G76" s="1">
        <v>366</v>
      </c>
      <c r="H76" s="1">
        <f>749-G76</f>
        <v>383</v>
      </c>
      <c r="I76" s="1">
        <f>1111-SUM(G76:H76)</f>
        <v>362</v>
      </c>
      <c r="J76" s="1">
        <f>1452-SUM(G76:I76)</f>
        <v>341</v>
      </c>
      <c r="K76" s="1">
        <v>324</v>
      </c>
      <c r="L76" s="1">
        <f>646-K76</f>
        <v>322</v>
      </c>
      <c r="M76" s="1">
        <f>953-SUM(K76:L76)</f>
        <v>307</v>
      </c>
      <c r="N76" s="1">
        <f>1260-SUM(K76:M76)</f>
        <v>307</v>
      </c>
      <c r="O76" s="1">
        <v>286</v>
      </c>
      <c r="P76" s="1">
        <f>567-O76</f>
        <v>281</v>
      </c>
      <c r="Q76" s="1">
        <f>857-SUM(O76:P76)</f>
        <v>290</v>
      </c>
      <c r="R76" s="1">
        <f>1128-SUM(O76:Q76)</f>
        <v>271</v>
      </c>
      <c r="S76" s="1">
        <v>262</v>
      </c>
      <c r="T76" s="1">
        <f>531-S76</f>
        <v>269</v>
      </c>
      <c r="U76" s="1">
        <f>799-SUM(S76:T76)</f>
        <v>268</v>
      </c>
      <c r="V76" s="1">
        <f>1075-SUM(S76:U76)</f>
        <v>276</v>
      </c>
      <c r="AJ76" s="1">
        <f t="shared" si="118"/>
        <v>1536</v>
      </c>
      <c r="AK76" s="1">
        <f t="shared" si="119"/>
        <v>1452</v>
      </c>
      <c r="AL76" s="1">
        <f t="shared" si="120"/>
        <v>1260</v>
      </c>
      <c r="AM76" s="1">
        <f t="shared" si="121"/>
        <v>1128</v>
      </c>
      <c r="AN76" s="1">
        <f t="shared" si="122"/>
        <v>1075</v>
      </c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</row>
    <row r="77" spans="2:81">
      <c r="B77" s="1" t="s">
        <v>109</v>
      </c>
      <c r="C77" s="1">
        <v>-5</v>
      </c>
      <c r="D77" s="1">
        <f>36-C77</f>
        <v>41</v>
      </c>
      <c r="E77" s="1">
        <f>88-SUM(C77:D77)</f>
        <v>52</v>
      </c>
      <c r="F77" s="1">
        <f>126-SUM(C77:E77)</f>
        <v>38</v>
      </c>
      <c r="G77" s="1">
        <v>58</v>
      </c>
      <c r="H77" s="1">
        <f>148-G77</f>
        <v>90</v>
      </c>
      <c r="I77" s="1">
        <f>236-SUM(G77:H77)</f>
        <v>88</v>
      </c>
      <c r="J77" s="1">
        <f>337-SUM(G77:I77)</f>
        <v>101</v>
      </c>
      <c r="K77" s="1">
        <v>87</v>
      </c>
      <c r="L77" s="1">
        <f>189-K77</f>
        <v>102</v>
      </c>
      <c r="M77" s="1">
        <f>273-SUM(K77:L77)</f>
        <v>84</v>
      </c>
      <c r="N77" s="1">
        <f>356-SUM(K77:M77)</f>
        <v>83</v>
      </c>
      <c r="O77" s="1">
        <v>58</v>
      </c>
      <c r="P77" s="1">
        <f>120-O77</f>
        <v>62</v>
      </c>
      <c r="Q77" s="1">
        <f>177-SUM(O77:P77)</f>
        <v>57</v>
      </c>
      <c r="R77" s="1">
        <f>254-SUM(O77:Q77)</f>
        <v>77</v>
      </c>
      <c r="S77" s="1">
        <v>68</v>
      </c>
      <c r="T77" s="1">
        <f>140-S77</f>
        <v>72</v>
      </c>
      <c r="U77" s="1">
        <f>207-SUM(S77:T77)</f>
        <v>67</v>
      </c>
      <c r="V77" s="1">
        <f>286-SUM(S77:U77)</f>
        <v>79</v>
      </c>
      <c r="AJ77" s="1">
        <f t="shared" si="118"/>
        <v>126</v>
      </c>
      <c r="AK77" s="1">
        <f t="shared" si="119"/>
        <v>337</v>
      </c>
      <c r="AL77" s="1">
        <f t="shared" si="120"/>
        <v>356</v>
      </c>
      <c r="AM77" s="1">
        <f t="shared" si="121"/>
        <v>254</v>
      </c>
      <c r="AN77" s="1">
        <f t="shared" si="122"/>
        <v>286</v>
      </c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</row>
    <row r="78" spans="2:81">
      <c r="B78" s="1" t="s">
        <v>110</v>
      </c>
      <c r="C78" s="1">
        <v>-122</v>
      </c>
      <c r="D78" s="1">
        <f>-39-C78</f>
        <v>83</v>
      </c>
      <c r="E78" s="1">
        <f>10-SUM(C78:D78)</f>
        <v>49</v>
      </c>
      <c r="F78" s="1">
        <f>-18-SUM(C78:E78)</f>
        <v>-28</v>
      </c>
      <c r="G78" s="1">
        <v>377</v>
      </c>
      <c r="H78" s="1">
        <f>500-G78</f>
        <v>123</v>
      </c>
      <c r="I78" s="1">
        <f>726-SUM(G78:H78)</f>
        <v>226</v>
      </c>
      <c r="J78" s="1">
        <f>894-SUM(G78:I78)</f>
        <v>168</v>
      </c>
      <c r="K78" s="1">
        <v>41</v>
      </c>
      <c r="L78" s="1">
        <f>-127-K78</f>
        <v>-168</v>
      </c>
      <c r="M78" s="1">
        <f>-135-SUM(K78:L78)</f>
        <v>-8</v>
      </c>
      <c r="N78" s="1">
        <f>-122-SUM(K78:M78)</f>
        <v>13</v>
      </c>
      <c r="O78" s="1">
        <v>260</v>
      </c>
      <c r="P78" s="1">
        <f>-211-O78</f>
        <v>-471</v>
      </c>
      <c r="Q78" s="1">
        <f>-154-SUM(O78:P78)</f>
        <v>57</v>
      </c>
      <c r="R78" s="1">
        <f>-2-SUM(O78:Q78)</f>
        <v>152</v>
      </c>
      <c r="S78" s="1">
        <v>-173</v>
      </c>
      <c r="T78" s="1">
        <f>-202-S78</f>
        <v>-29</v>
      </c>
      <c r="U78" s="1">
        <f>0-SUM(S78:T78)</f>
        <v>202</v>
      </c>
      <c r="V78" s="1">
        <f>-11-SUM(S78:U78)</f>
        <v>-11</v>
      </c>
      <c r="AJ78" s="1">
        <f t="shared" si="118"/>
        <v>-18</v>
      </c>
      <c r="AK78" s="1">
        <f t="shared" si="119"/>
        <v>894</v>
      </c>
      <c r="AL78" s="1">
        <f t="shared" si="120"/>
        <v>-122</v>
      </c>
      <c r="AM78" s="1">
        <f t="shared" si="121"/>
        <v>-2</v>
      </c>
      <c r="AN78" s="1">
        <f t="shared" si="122"/>
        <v>-11</v>
      </c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</row>
    <row r="79" spans="2:81">
      <c r="B79" s="1" t="s">
        <v>111</v>
      </c>
      <c r="C79" s="1">
        <v>-157</v>
      </c>
      <c r="D79" s="1">
        <f>-212-C79</f>
        <v>-55</v>
      </c>
      <c r="E79" s="1">
        <f>-565-SUM(C79:D79)</f>
        <v>-353</v>
      </c>
      <c r="F79" s="1">
        <f>-511-SUM(C79:E79)</f>
        <v>54</v>
      </c>
      <c r="G79" s="1">
        <v>-250</v>
      </c>
      <c r="H79" s="1">
        <f>-333-G79</f>
        <v>-83</v>
      </c>
      <c r="I79" s="1">
        <f>-621-SUM(G79:H79)</f>
        <v>-288</v>
      </c>
      <c r="J79" s="1">
        <f>-615-SUM(G79:I79)</f>
        <v>6</v>
      </c>
      <c r="K79" s="1">
        <v>-247</v>
      </c>
      <c r="L79" s="1">
        <f>-359-K79</f>
        <v>-112</v>
      </c>
      <c r="M79" s="1">
        <f>-767-SUM(K79:L79)</f>
        <v>-408</v>
      </c>
      <c r="N79" s="1">
        <f>-838-SUM(K79:M79)</f>
        <v>-71</v>
      </c>
      <c r="O79" s="1">
        <v>-249</v>
      </c>
      <c r="P79" s="1">
        <f>-467-O79</f>
        <v>-218</v>
      </c>
      <c r="Q79" s="1">
        <f>-952-SUM(O79:P79)</f>
        <v>-485</v>
      </c>
      <c r="R79" s="1">
        <f>-1019-SUM(O79:Q79)</f>
        <v>-67</v>
      </c>
      <c r="S79" s="1">
        <v>-58</v>
      </c>
      <c r="T79" s="1">
        <f>-274-S79</f>
        <v>-216</v>
      </c>
      <c r="U79" s="1">
        <f>-693-SUM(S79:T79)</f>
        <v>-419</v>
      </c>
      <c r="V79" s="1">
        <f>-802-SUM(S79:U79)</f>
        <v>-109</v>
      </c>
      <c r="AJ79" s="1">
        <f t="shared" si="118"/>
        <v>-511</v>
      </c>
      <c r="AK79" s="1">
        <f t="shared" si="119"/>
        <v>-615</v>
      </c>
      <c r="AL79" s="1">
        <f t="shared" si="120"/>
        <v>-838</v>
      </c>
      <c r="AM79" s="1">
        <f t="shared" si="121"/>
        <v>-1019</v>
      </c>
      <c r="AN79" s="1">
        <f t="shared" si="122"/>
        <v>-802</v>
      </c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</row>
    <row r="80" spans="2:81">
      <c r="B80" s="1" t="s">
        <v>112</v>
      </c>
      <c r="C80" s="1">
        <v>-59</v>
      </c>
      <c r="D80" s="1">
        <f>-67-C80</f>
        <v>-8</v>
      </c>
      <c r="E80" s="1">
        <f>-145-SUM(C80:D80)</f>
        <v>-78</v>
      </c>
      <c r="F80" s="1">
        <f>-88-SUM(C80:E80)</f>
        <v>57</v>
      </c>
      <c r="G80" s="1">
        <v>-20</v>
      </c>
      <c r="H80" s="1">
        <f>-31-G80</f>
        <v>-11</v>
      </c>
      <c r="I80" s="1">
        <f>-5-SUM(G80:H80)</f>
        <v>26</v>
      </c>
      <c r="J80" s="1">
        <f>86-SUM(G80:I80)</f>
        <v>91</v>
      </c>
      <c r="K80" s="1">
        <v>100</v>
      </c>
      <c r="L80" s="1">
        <f>138-K80</f>
        <v>38</v>
      </c>
      <c r="M80" s="1">
        <f>176-SUM(K80:L80)</f>
        <v>38</v>
      </c>
      <c r="N80" s="1">
        <f>203-SUM(K80:M80)</f>
        <v>27</v>
      </c>
      <c r="O80" s="1">
        <v>25</v>
      </c>
      <c r="P80" s="1">
        <f>34-O80</f>
        <v>9</v>
      </c>
      <c r="Q80" s="1">
        <f>-22-SUM(O80:P80)</f>
        <v>-56</v>
      </c>
      <c r="R80" s="1">
        <f>175-SUM(O80:Q80)</f>
        <v>197</v>
      </c>
      <c r="S80" s="1">
        <v>17</v>
      </c>
      <c r="T80" s="1">
        <f>-87-S80</f>
        <v>-104</v>
      </c>
      <c r="U80" s="1">
        <f>-61-SUM(S80:T80)</f>
        <v>26</v>
      </c>
      <c r="V80" s="1">
        <f>-110-SUM(S80:U80)</f>
        <v>-49</v>
      </c>
      <c r="AJ80" s="1">
        <f t="shared" si="118"/>
        <v>-88</v>
      </c>
      <c r="AK80" s="1">
        <f t="shared" si="119"/>
        <v>86</v>
      </c>
      <c r="AL80" s="1">
        <f t="shared" si="120"/>
        <v>203</v>
      </c>
      <c r="AM80" s="1">
        <f t="shared" si="121"/>
        <v>175</v>
      </c>
      <c r="AN80" s="1">
        <f t="shared" si="122"/>
        <v>-110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</row>
    <row r="81" spans="2:81">
      <c r="B81" s="1" t="s">
        <v>113</v>
      </c>
      <c r="C81" s="1">
        <v>-919</v>
      </c>
      <c r="D81" s="1">
        <f>-901-C81</f>
        <v>18</v>
      </c>
      <c r="E81" s="1">
        <f>-899-SUM(C81:D81)</f>
        <v>2</v>
      </c>
      <c r="F81" s="1">
        <f>-914-SUM(C81:E81)</f>
        <v>-15</v>
      </c>
      <c r="G81" s="1">
        <v>1</v>
      </c>
      <c r="H81" s="1">
        <f>-690-G81</f>
        <v>-691</v>
      </c>
      <c r="I81" s="1">
        <f>-498-SUM(G81:H81)</f>
        <v>192</v>
      </c>
      <c r="J81" s="1">
        <f>-1365-SUM(G81:I81)</f>
        <v>-867</v>
      </c>
      <c r="K81" s="1">
        <v>25</v>
      </c>
      <c r="L81" s="1">
        <f>25-K81</f>
        <v>0</v>
      </c>
      <c r="M81" s="1">
        <f>25-SUM(K81:L81)</f>
        <v>0</v>
      </c>
      <c r="N81" s="1">
        <f>-129-SUM(K81:M81)</f>
        <v>-154</v>
      </c>
      <c r="O81" s="1">
        <v>-442</v>
      </c>
      <c r="P81" s="1">
        <f>-442-O81</f>
        <v>0</v>
      </c>
      <c r="Q81" s="1">
        <f>-442-SUM(O81:P81)</f>
        <v>0</v>
      </c>
      <c r="R81" s="1">
        <f>-492-SUM(O81:Q81)</f>
        <v>-50</v>
      </c>
      <c r="S81" s="1">
        <v>-1401</v>
      </c>
      <c r="T81" s="1">
        <f>-1398-S81</f>
        <v>3</v>
      </c>
      <c r="U81" s="1">
        <f>-1722-SUM(S81:T81)</f>
        <v>-324</v>
      </c>
      <c r="V81" s="1">
        <f>-1737-SUM(S81:U81)</f>
        <v>-15</v>
      </c>
      <c r="AJ81" s="1">
        <f t="shared" si="118"/>
        <v>-914</v>
      </c>
      <c r="AK81" s="1">
        <f t="shared" si="119"/>
        <v>-1365</v>
      </c>
      <c r="AL81" s="1">
        <f t="shared" si="120"/>
        <v>-129</v>
      </c>
      <c r="AM81" s="1">
        <f t="shared" si="121"/>
        <v>-492</v>
      </c>
      <c r="AN81" s="1">
        <f t="shared" si="122"/>
        <v>-1737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</row>
    <row r="82" spans="2:81">
      <c r="B82" s="1" t="s">
        <v>114</v>
      </c>
      <c r="C82" s="1">
        <v>190</v>
      </c>
      <c r="D82" s="1">
        <f>341-C82</f>
        <v>151</v>
      </c>
      <c r="E82" s="1">
        <f>671-SUM(C82:D82)</f>
        <v>330</v>
      </c>
      <c r="F82" s="1">
        <f>556-SUM(C82:E82)</f>
        <v>-115</v>
      </c>
      <c r="G82" s="1">
        <v>69</v>
      </c>
      <c r="H82" s="1">
        <f>238-G82</f>
        <v>169</v>
      </c>
      <c r="I82" s="1">
        <f>243-SUM(G82:H82)</f>
        <v>5</v>
      </c>
      <c r="J82" s="1">
        <f>506-SUM(G82:I82)</f>
        <v>263</v>
      </c>
      <c r="K82" s="1">
        <v>38</v>
      </c>
      <c r="L82" s="1">
        <f>966-K82</f>
        <v>928</v>
      </c>
      <c r="M82" s="1">
        <f>1070-SUM(K82:L82)</f>
        <v>104</v>
      </c>
      <c r="N82" s="1">
        <f>1086-SUM(K82:M82)</f>
        <v>16</v>
      </c>
      <c r="O82" s="1">
        <v>88</v>
      </c>
      <c r="P82" s="1">
        <f>1375-O82</f>
        <v>1287</v>
      </c>
      <c r="Q82" s="1">
        <f>1665-SUM(O82:P82)</f>
        <v>290</v>
      </c>
      <c r="R82" s="1">
        <f>1741-SUM(O82:Q82)</f>
        <v>76</v>
      </c>
      <c r="S82" s="1">
        <v>1532</v>
      </c>
      <c r="T82" s="1">
        <f>2867-S82</f>
        <v>1335</v>
      </c>
      <c r="U82" s="1">
        <f>3874-SUM(S82:T82)</f>
        <v>1007</v>
      </c>
      <c r="V82" s="1">
        <f>4000-SUM(S82:U82)</f>
        <v>126</v>
      </c>
      <c r="AJ82" s="1">
        <f t="shared" si="118"/>
        <v>556</v>
      </c>
      <c r="AK82" s="1">
        <f t="shared" si="119"/>
        <v>506</v>
      </c>
      <c r="AL82" s="1">
        <f t="shared" si="120"/>
        <v>1086</v>
      </c>
      <c r="AM82" s="1">
        <f t="shared" si="121"/>
        <v>1741</v>
      </c>
      <c r="AN82" s="1">
        <f>SUM(S82:V82)</f>
        <v>4000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</row>
    <row r="83" spans="2:81">
      <c r="B83" s="1" t="s">
        <v>115</v>
      </c>
      <c r="C83" s="1">
        <v>235</v>
      </c>
      <c r="D83" s="1">
        <f>52-C83</f>
        <v>-183</v>
      </c>
      <c r="E83" s="1">
        <f>562-SUM(C83:D83)</f>
        <v>510</v>
      </c>
      <c r="F83" s="1">
        <f>699-SUM(C83:E83)</f>
        <v>137</v>
      </c>
      <c r="G83" s="1">
        <v>157</v>
      </c>
      <c r="H83" s="1">
        <f>503-G83</f>
        <v>346</v>
      </c>
      <c r="I83" s="1">
        <f>517-SUM(G83:H83)</f>
        <v>14</v>
      </c>
      <c r="J83" s="1">
        <f>201-SUM(G83:I83)</f>
        <v>-316</v>
      </c>
      <c r="K83" s="1">
        <v>-70</v>
      </c>
      <c r="L83" s="1">
        <f>301-K83</f>
        <v>371</v>
      </c>
      <c r="M83" s="1">
        <f>217-SUM(K83:L83)</f>
        <v>-84</v>
      </c>
      <c r="N83" s="1">
        <f>236-SUM(K83:M83)</f>
        <v>19</v>
      </c>
      <c r="O83" s="1">
        <v>-102</v>
      </c>
      <c r="P83" s="1">
        <f>-225-O83</f>
        <v>-123</v>
      </c>
      <c r="Q83" s="1">
        <f>-48-SUM(O83:P83)</f>
        <v>177</v>
      </c>
      <c r="R83" s="1">
        <f>-43-SUM(O83:Q83)</f>
        <v>5</v>
      </c>
      <c r="S83" s="1">
        <v>-59</v>
      </c>
      <c r="T83" s="1">
        <f>-66-S83</f>
        <v>-7</v>
      </c>
      <c r="U83" s="1">
        <f>-143-SUM(S83:T83)</f>
        <v>-77</v>
      </c>
      <c r="V83" s="1">
        <f>-311-SUM(S83:U83)</f>
        <v>-168</v>
      </c>
      <c r="AJ83" s="1">
        <f t="shared" si="118"/>
        <v>699</v>
      </c>
      <c r="AK83" s="1">
        <f t="shared" si="119"/>
        <v>201</v>
      </c>
      <c r="AL83" s="1">
        <f t="shared" si="120"/>
        <v>236</v>
      </c>
      <c r="AM83" s="1">
        <f t="shared" si="121"/>
        <v>-43</v>
      </c>
      <c r="AN83" s="1">
        <f t="shared" si="122"/>
        <v>-311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</row>
    <row r="84" spans="2:81">
      <c r="B84" s="1" t="s">
        <v>116</v>
      </c>
      <c r="C84" s="1">
        <v>-1769</v>
      </c>
      <c r="D84" s="1">
        <f>-1726-C84</f>
        <v>43</v>
      </c>
      <c r="E84" s="1">
        <f>902-SUM(C84:D84)</f>
        <v>2628</v>
      </c>
      <c r="F84" s="1">
        <f>690-SUM(C84:E84)</f>
        <v>-212</v>
      </c>
      <c r="G84" s="1">
        <v>-1377</v>
      </c>
      <c r="H84" s="1">
        <f>-438-G84</f>
        <v>939</v>
      </c>
      <c r="I84" s="1">
        <f>168-SUM(G84:H84)</f>
        <v>606</v>
      </c>
      <c r="J84" s="1">
        <f>1325-SUM(G84:I84)</f>
        <v>1157</v>
      </c>
      <c r="K84" s="1">
        <v>-2468</v>
      </c>
      <c r="L84" s="1">
        <f>-1926-K84</f>
        <v>542</v>
      </c>
      <c r="M84" s="1">
        <f>-1259-SUM(K84:L84)</f>
        <v>667</v>
      </c>
      <c r="N84" s="1">
        <f>-605-SUM(K84:M84)</f>
        <v>654</v>
      </c>
      <c r="O84" s="1">
        <v>-2877</v>
      </c>
      <c r="P84" s="1">
        <f>-1756-O84</f>
        <v>1121</v>
      </c>
      <c r="Q84" s="1">
        <f>-869-SUM(O84:P84)</f>
        <v>887</v>
      </c>
      <c r="R84" s="1">
        <f>-846-SUM(O84:Q84)</f>
        <v>23</v>
      </c>
      <c r="S84" s="1">
        <v>-2845</v>
      </c>
      <c r="T84" s="1">
        <f>-2984-S84</f>
        <v>-139</v>
      </c>
      <c r="U84" s="1">
        <f>-7843-SUM(S84:T84)</f>
        <v>-4859</v>
      </c>
      <c r="V84" s="1">
        <f>-6234-SUM(S84:U84)</f>
        <v>1609</v>
      </c>
      <c r="AJ84" s="1">
        <f t="shared" si="118"/>
        <v>690</v>
      </c>
      <c r="AK84" s="1">
        <f t="shared" si="119"/>
        <v>1325</v>
      </c>
      <c r="AL84" s="1">
        <f t="shared" si="120"/>
        <v>-605</v>
      </c>
      <c r="AM84" s="1">
        <f t="shared" si="121"/>
        <v>-846</v>
      </c>
      <c r="AN84" s="1">
        <f t="shared" si="122"/>
        <v>-6234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</row>
    <row r="85" spans="2:81" ht="15">
      <c r="B85" s="2" t="s">
        <v>124</v>
      </c>
      <c r="C85" s="1">
        <f t="shared" ref="C85:S85" si="123">SUM(C75:C84)</f>
        <v>556</v>
      </c>
      <c r="D85" s="1">
        <f t="shared" si="123"/>
        <v>2230</v>
      </c>
      <c r="E85" s="1">
        <f t="shared" si="123"/>
        <v>5238</v>
      </c>
      <c r="F85" s="1">
        <f t="shared" si="123"/>
        <v>1820</v>
      </c>
      <c r="G85" s="1">
        <f t="shared" si="123"/>
        <v>1636</v>
      </c>
      <c r="H85" s="1">
        <f t="shared" si="123"/>
        <v>3889</v>
      </c>
      <c r="I85" s="1">
        <f t="shared" si="123"/>
        <v>3706</v>
      </c>
      <c r="J85" s="1">
        <f t="shared" si="123"/>
        <v>3394</v>
      </c>
      <c r="K85" s="1">
        <f t="shared" si="123"/>
        <v>623</v>
      </c>
      <c r="L85" s="1">
        <f t="shared" si="123"/>
        <v>3923</v>
      </c>
      <c r="M85" s="1">
        <f t="shared" si="123"/>
        <v>3522</v>
      </c>
      <c r="N85" s="1">
        <f t="shared" si="123"/>
        <v>2950</v>
      </c>
      <c r="O85" s="1">
        <f t="shared" si="123"/>
        <v>160</v>
      </c>
      <c r="P85" s="1">
        <f t="shared" si="123"/>
        <v>4469</v>
      </c>
      <c r="Q85" s="1">
        <f t="shared" si="123"/>
        <v>4300</v>
      </c>
      <c r="R85" s="1">
        <f t="shared" si="123"/>
        <v>2670</v>
      </c>
      <c r="S85" s="1">
        <f t="shared" si="123"/>
        <v>528</v>
      </c>
      <c r="T85" s="1">
        <f>SUM(T75:T84)</f>
        <v>3585</v>
      </c>
      <c r="U85" s="1">
        <f t="shared" ref="U85:V85" si="124">SUM(U75:U84)</f>
        <v>-1259</v>
      </c>
      <c r="V85" s="1">
        <f t="shared" si="124"/>
        <v>3951</v>
      </c>
      <c r="AJ85" s="1">
        <f t="shared" si="118"/>
        <v>9844</v>
      </c>
      <c r="AK85" s="1">
        <f t="shared" si="119"/>
        <v>12625</v>
      </c>
      <c r="AL85" s="1">
        <f t="shared" si="120"/>
        <v>11018</v>
      </c>
      <c r="AM85" s="1">
        <f t="shared" si="121"/>
        <v>11599</v>
      </c>
      <c r="AN85" s="1">
        <f t="shared" si="122"/>
        <v>6805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</row>
    <row r="86" spans="2:81"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</row>
    <row r="87" spans="2:81">
      <c r="B87" s="1" t="s">
        <v>117</v>
      </c>
      <c r="C87" s="1">
        <v>-1455</v>
      </c>
      <c r="D87" s="1">
        <f>-8294-C87</f>
        <v>-6839</v>
      </c>
      <c r="E87" s="1">
        <f>-12051-SUM(C87:D87)</f>
        <v>-3757</v>
      </c>
      <c r="F87" s="1">
        <f>-13583-SUM(C87:E87)</f>
        <v>-1532</v>
      </c>
      <c r="G87" s="1">
        <v>-1466</v>
      </c>
      <c r="H87" s="1">
        <f>-3431-G87</f>
        <v>-1965</v>
      </c>
      <c r="I87" s="1">
        <f>-4732-SUM(G87:H87)</f>
        <v>-1301</v>
      </c>
      <c r="J87" s="1">
        <f>-6030-SUM(G87:I87)</f>
        <v>-1298</v>
      </c>
      <c r="K87" s="1">
        <v>-835</v>
      </c>
      <c r="L87" s="1">
        <f>-2040-K87</f>
        <v>-1205</v>
      </c>
      <c r="M87" s="1">
        <f>3169-SUM(K87:L87)</f>
        <v>5209</v>
      </c>
      <c r="N87" s="1">
        <f>-3751-SUM(K87:M87)</f>
        <v>-6920</v>
      </c>
      <c r="O87" s="1">
        <v>-739</v>
      </c>
      <c r="P87" s="1">
        <f>-2103-O87</f>
        <v>-1364</v>
      </c>
      <c r="Q87" s="1">
        <f>-4588-SUM(O87:P87)</f>
        <v>-2485</v>
      </c>
      <c r="R87" s="1">
        <f>-6698-SUM(O87:Q87)</f>
        <v>-2110</v>
      </c>
      <c r="S87" s="1">
        <v>-2552</v>
      </c>
      <c r="T87" s="1">
        <f>-3827-S87</f>
        <v>-1275</v>
      </c>
      <c r="U87" s="1">
        <f>-4398-SUM(S87:T87)</f>
        <v>-571</v>
      </c>
      <c r="V87" s="1">
        <f>-5640-SUM(S87:U87)</f>
        <v>-1242</v>
      </c>
      <c r="AJ87" s="1">
        <f t="shared" ref="AJ87:AJ95" si="125">SUM(C87:F87)</f>
        <v>-13583</v>
      </c>
      <c r="AK87" s="1">
        <f t="shared" ref="AK87:AK95" si="126">SUM(G87:J87)</f>
        <v>-6030</v>
      </c>
      <c r="AL87" s="1">
        <f t="shared" ref="AL87:AL95" si="127">SUM(K87:N87)</f>
        <v>-3751</v>
      </c>
      <c r="AM87" s="1">
        <f t="shared" ref="AM87:AM95" si="128">SUM(O87:R87)</f>
        <v>-6698</v>
      </c>
      <c r="AN87" s="1">
        <f t="shared" ref="AN87:AN95" si="129">SUM(S87:V87)</f>
        <v>-5640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</row>
    <row r="88" spans="2:81">
      <c r="B88" s="1" t="s">
        <v>118</v>
      </c>
      <c r="C88" s="1">
        <v>1603</v>
      </c>
      <c r="D88" s="1">
        <f>2649-C88</f>
        <v>1046</v>
      </c>
      <c r="E88" s="1">
        <f>6482-SUM(C88:D88)</f>
        <v>3833</v>
      </c>
      <c r="F88" s="1">
        <f>13835-SUM(C88:E88)</f>
        <v>7353</v>
      </c>
      <c r="G88" s="1">
        <v>1375</v>
      </c>
      <c r="H88" s="1">
        <f>3811-G88</f>
        <v>2436</v>
      </c>
      <c r="I88" s="1">
        <f>5294-SUM(G88:H88)</f>
        <v>1483</v>
      </c>
      <c r="J88" s="1">
        <f>7059-SUM(G88:I88)</f>
        <v>1765</v>
      </c>
      <c r="K88" s="1">
        <v>1323</v>
      </c>
      <c r="L88" s="1">
        <f>2272-K88</f>
        <v>949</v>
      </c>
      <c r="M88" s="1">
        <f>3049-SUM(K88:L88)</f>
        <v>777</v>
      </c>
      <c r="N88" s="1">
        <f>4771-SUM(K88:M88)</f>
        <v>1722</v>
      </c>
      <c r="O88" s="1">
        <v>815</v>
      </c>
      <c r="P88" s="1">
        <f>1608-O88</f>
        <v>793</v>
      </c>
      <c r="Q88" s="1">
        <f>2892-SUM(O88:P88)</f>
        <v>1284</v>
      </c>
      <c r="R88" s="1">
        <f>4354-SUM(O88:Q88)</f>
        <v>1462</v>
      </c>
      <c r="S88" s="1">
        <v>444</v>
      </c>
      <c r="T88" s="1">
        <f>2662-S88</f>
        <v>2218</v>
      </c>
      <c r="U88" s="1">
        <f>5125-SUM(S88:T88)</f>
        <v>2463</v>
      </c>
      <c r="V88" s="1">
        <f>6589-SUM(S88:U88)</f>
        <v>1464</v>
      </c>
      <c r="AJ88" s="1">
        <f t="shared" si="125"/>
        <v>13835</v>
      </c>
      <c r="AK88" s="1">
        <f t="shared" si="126"/>
        <v>7059</v>
      </c>
      <c r="AL88" s="1">
        <f t="shared" si="127"/>
        <v>4771</v>
      </c>
      <c r="AM88" s="1">
        <f t="shared" si="128"/>
        <v>4354</v>
      </c>
      <c r="AN88" s="1">
        <f t="shared" si="129"/>
        <v>6589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</row>
    <row r="89" spans="2:81">
      <c r="B89" s="1" t="s">
        <v>119</v>
      </c>
      <c r="C89" s="1">
        <v>-984</v>
      </c>
      <c r="D89" s="1">
        <f>-984-C89</f>
        <v>0</v>
      </c>
      <c r="E89" s="1">
        <f>-989-SUM(C89:D89)</f>
        <v>-5</v>
      </c>
      <c r="F89" s="1">
        <f>-1052-SUM(C89:E89)</f>
        <v>-63</v>
      </c>
      <c r="G89" s="1">
        <v>-4</v>
      </c>
      <c r="H89" s="1">
        <f>-11-G89</f>
        <v>-7</v>
      </c>
      <c r="I89" s="1">
        <f>-11-SUM(G89:H89)</f>
        <v>0</v>
      </c>
      <c r="J89" s="1">
        <f>-4766-SUM(G89:I89)</f>
        <v>-4755</v>
      </c>
      <c r="K89" s="1">
        <v>-5</v>
      </c>
      <c r="L89" s="1">
        <f>-6-K89</f>
        <v>-1</v>
      </c>
      <c r="M89" s="1">
        <f>-40-SUM(K89:L89)</f>
        <v>-34</v>
      </c>
      <c r="N89" s="1">
        <f>-73-SUM(K89:M89)</f>
        <v>-33</v>
      </c>
      <c r="O89" s="1">
        <v>-20</v>
      </c>
      <c r="P89" s="1">
        <f>-43-O89</f>
        <v>-23</v>
      </c>
      <c r="Q89" s="1">
        <f>-45-SUM(O89:P89)</f>
        <v>-2</v>
      </c>
      <c r="R89" s="1">
        <f>-62-SUM(O89:Q89)</f>
        <v>-17</v>
      </c>
      <c r="S89" s="1">
        <v>-8</v>
      </c>
      <c r="T89" s="1">
        <f>-25-S89</f>
        <v>-17</v>
      </c>
      <c r="U89" s="1">
        <f>-153-SUM(S89:T89)</f>
        <v>-128</v>
      </c>
      <c r="V89" s="1">
        <f>-315-SUM(S89:U89)</f>
        <v>-162</v>
      </c>
      <c r="AJ89" s="1">
        <f t="shared" si="125"/>
        <v>-1052</v>
      </c>
      <c r="AK89" s="1">
        <f t="shared" si="126"/>
        <v>-4766</v>
      </c>
      <c r="AL89" s="1">
        <f t="shared" si="127"/>
        <v>-73</v>
      </c>
      <c r="AM89" s="1">
        <f t="shared" si="128"/>
        <v>-62</v>
      </c>
      <c r="AN89" s="1">
        <f t="shared" si="129"/>
        <v>-315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</row>
    <row r="90" spans="2:81">
      <c r="B90" s="1" t="s">
        <v>120</v>
      </c>
      <c r="C90" s="1">
        <v>36</v>
      </c>
      <c r="D90" s="1">
        <f>46-C90</f>
        <v>10</v>
      </c>
      <c r="E90" s="1">
        <f>46-SUM(C90:D90)</f>
        <v>0</v>
      </c>
      <c r="F90" s="1">
        <f>189-SUM(C90:E90)</f>
        <v>143</v>
      </c>
      <c r="G90" s="1">
        <v>2</v>
      </c>
      <c r="H90" s="1">
        <f>1765-G90</f>
        <v>1763</v>
      </c>
      <c r="I90" s="1">
        <f>1950-SUM(G90:H90)</f>
        <v>185</v>
      </c>
      <c r="J90" s="1">
        <f>2180-SUM(G90:I90)</f>
        <v>230</v>
      </c>
      <c r="K90" s="1">
        <v>218</v>
      </c>
      <c r="L90" s="1">
        <f>218-K90</f>
        <v>0</v>
      </c>
      <c r="M90" s="1">
        <f>229-SUM(K90:L90)</f>
        <v>11</v>
      </c>
      <c r="N90" s="1">
        <f>458-SUM(K90:M90)</f>
        <v>229</v>
      </c>
      <c r="O90" s="1">
        <v>319</v>
      </c>
      <c r="P90" s="1">
        <f>320-O90</f>
        <v>1</v>
      </c>
      <c r="Q90" s="1">
        <f>327-SUM(O90:P90)</f>
        <v>7</v>
      </c>
      <c r="R90" s="1">
        <f>430-SUM(O90:Q90)</f>
        <v>103</v>
      </c>
      <c r="S90" s="1">
        <v>2893</v>
      </c>
      <c r="T90" s="1">
        <f>2907-S90</f>
        <v>14</v>
      </c>
      <c r="U90" s="1">
        <f>3468-SUM(S90:T90)</f>
        <v>561</v>
      </c>
      <c r="V90" s="1">
        <f>3485-SUM(S90:U90)</f>
        <v>17</v>
      </c>
      <c r="AJ90" s="1">
        <f t="shared" si="125"/>
        <v>189</v>
      </c>
      <c r="AK90" s="1">
        <f t="shared" si="126"/>
        <v>2180</v>
      </c>
      <c r="AL90" s="1">
        <f t="shared" si="127"/>
        <v>458</v>
      </c>
      <c r="AM90" s="1">
        <f t="shared" si="128"/>
        <v>430</v>
      </c>
      <c r="AN90" s="1">
        <f t="shared" si="129"/>
        <v>3485</v>
      </c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</row>
    <row r="91" spans="2:81">
      <c r="B91" s="1" t="s">
        <v>121</v>
      </c>
      <c r="C91" s="1">
        <v>-327</v>
      </c>
      <c r="D91" s="1">
        <f>-536-C91</f>
        <v>-209</v>
      </c>
      <c r="E91" s="1">
        <f>-759-SUM(C91:D91)</f>
        <v>-223</v>
      </c>
      <c r="F91" s="1">
        <f>-1177-SUM(C91:E91)</f>
        <v>-418</v>
      </c>
      <c r="G91" s="1">
        <v>-216</v>
      </c>
      <c r="H91" s="1">
        <f>-450-G91</f>
        <v>-234</v>
      </c>
      <c r="I91" s="1">
        <f>-728-SUM(G91:H91)</f>
        <v>-278</v>
      </c>
      <c r="J91" s="1">
        <f>-1367-SUM(G91:I91)</f>
        <v>-639</v>
      </c>
      <c r="K91" s="1">
        <v>-217</v>
      </c>
      <c r="L91" s="1">
        <f>-487-K91</f>
        <v>-270</v>
      </c>
      <c r="M91" s="1">
        <f>-776-SUM(K91:L91)</f>
        <v>-289</v>
      </c>
      <c r="N91" s="1">
        <f>-1484-SUM(K91:M91)</f>
        <v>-708</v>
      </c>
      <c r="O91" s="1">
        <v>-276</v>
      </c>
      <c r="P91" s="1">
        <f>-615-O91</f>
        <v>-339</v>
      </c>
      <c r="Q91" s="1">
        <f>-1001-SUM(O91:P91)</f>
        <v>-386</v>
      </c>
      <c r="R91" s="1">
        <f>-1852-SUM(O91:Q91)</f>
        <v>-851</v>
      </c>
      <c r="S91" s="1">
        <v>-370</v>
      </c>
      <c r="T91" s="1">
        <f>-792-S91</f>
        <v>-422</v>
      </c>
      <c r="U91" s="1">
        <f>-1261-SUM(S91:T91)</f>
        <v>-469</v>
      </c>
      <c r="V91" s="1">
        <f>-2064-SUM(S91:U91)</f>
        <v>-803</v>
      </c>
      <c r="AJ91" s="1">
        <f t="shared" si="125"/>
        <v>-1177</v>
      </c>
      <c r="AK91" s="1">
        <f t="shared" si="126"/>
        <v>-1367</v>
      </c>
      <c r="AL91" s="1">
        <f t="shared" si="127"/>
        <v>-1484</v>
      </c>
      <c r="AM91" s="1">
        <f t="shared" si="128"/>
        <v>-1852</v>
      </c>
      <c r="AN91" s="1">
        <f t="shared" si="129"/>
        <v>-2064</v>
      </c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</row>
    <row r="92" spans="2:81">
      <c r="B92" s="1" t="s">
        <v>138</v>
      </c>
      <c r="C92" s="1">
        <v>91</v>
      </c>
      <c r="D92" s="1">
        <f>112-C92</f>
        <v>21</v>
      </c>
      <c r="E92" s="1">
        <f>156-SUM(C92:D92)</f>
        <v>44</v>
      </c>
      <c r="F92" s="1">
        <f>189-SUM(C92:E92)</f>
        <v>33</v>
      </c>
      <c r="G92" s="1">
        <v>11</v>
      </c>
      <c r="H92" s="1">
        <f>28-G92</f>
        <v>17</v>
      </c>
      <c r="I92" s="1">
        <f>65-SUM(G92:H92)</f>
        <v>37</v>
      </c>
      <c r="J92" s="1">
        <f>108-SUM(G92:I92)</f>
        <v>43</v>
      </c>
      <c r="K92" s="1">
        <v>16</v>
      </c>
      <c r="L92" s="1">
        <f>33-K92</f>
        <v>17</v>
      </c>
      <c r="M92" s="1">
        <f>46-SUM(K92:L92)</f>
        <v>13</v>
      </c>
      <c r="N92" s="1">
        <f>75-SUM(K92:M92)</f>
        <v>29</v>
      </c>
      <c r="O92" s="1">
        <v>21</v>
      </c>
      <c r="P92" s="1">
        <f>38-O92</f>
        <v>17</v>
      </c>
      <c r="Q92" s="1">
        <f>46-SUM(O92:P92)</f>
        <v>8</v>
      </c>
      <c r="R92" s="1">
        <f>74-SUM(O92:Q92)</f>
        <v>28</v>
      </c>
      <c r="S92" s="1">
        <v>14</v>
      </c>
      <c r="T92" s="1">
        <f>21-S92</f>
        <v>7</v>
      </c>
      <c r="U92" s="1">
        <f>33-SUM(S92:T92)</f>
        <v>12</v>
      </c>
      <c r="V92" s="1">
        <f>40-SUM(S92:U92)</f>
        <v>7</v>
      </c>
      <c r="AJ92" s="1">
        <f t="shared" ref="AJ92" si="130">SUM(C92:F92)</f>
        <v>189</v>
      </c>
      <c r="AK92" s="1">
        <f t="shared" ref="AK92" si="131">SUM(G92:J92)</f>
        <v>108</v>
      </c>
      <c r="AL92" s="1">
        <f t="shared" ref="AL92" si="132">SUM(K92:N92)</f>
        <v>75</v>
      </c>
      <c r="AM92" s="1">
        <f t="shared" ref="AM92" si="133">SUM(O92:R92)</f>
        <v>74</v>
      </c>
      <c r="AN92" s="1">
        <f t="shared" ref="AN92" si="134">SUM(S92:V92)</f>
        <v>40</v>
      </c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</row>
    <row r="93" spans="2:81">
      <c r="B93" s="1" t="s">
        <v>122</v>
      </c>
      <c r="C93" s="1">
        <v>0</v>
      </c>
      <c r="D93" s="1">
        <f>0-C93</f>
        <v>0</v>
      </c>
      <c r="E93" s="1">
        <f>0-SUM(C93:D93)</f>
        <v>0</v>
      </c>
      <c r="F93" s="1">
        <f>0-SUM(C93:E93)</f>
        <v>0</v>
      </c>
      <c r="G93" s="1">
        <v>0</v>
      </c>
      <c r="H93" s="1">
        <f>0-G93</f>
        <v>0</v>
      </c>
      <c r="I93" s="1">
        <v>0</v>
      </c>
      <c r="J93" s="1">
        <f>0-SUM(G93:I93)</f>
        <v>0</v>
      </c>
      <c r="K93" s="1">
        <v>0</v>
      </c>
      <c r="L93" s="1">
        <v>0</v>
      </c>
      <c r="M93" s="1">
        <f>-1449-SUM(K93:L93)</f>
        <v>-1449</v>
      </c>
      <c r="N93" s="1">
        <f>-1465-SUM(K93:M93)</f>
        <v>-16</v>
      </c>
      <c r="O93" s="1">
        <v>18</v>
      </c>
      <c r="P93" s="1">
        <f>-15-O93</f>
        <v>-33</v>
      </c>
      <c r="Q93" s="1">
        <f>-124-SUM(O93:P93)</f>
        <v>-109</v>
      </c>
      <c r="R93" s="1">
        <f>366-SUM(O93:Q93)</f>
        <v>490</v>
      </c>
      <c r="S93" s="1">
        <v>-105</v>
      </c>
      <c r="T93" s="1">
        <f>-76-S93</f>
        <v>29</v>
      </c>
      <c r="U93" s="1">
        <f>299-SUM(S93:T93)</f>
        <v>375</v>
      </c>
      <c r="V93" s="1">
        <f>235-SUM(S93:U93)</f>
        <v>-64</v>
      </c>
      <c r="AJ93" s="1">
        <f t="shared" si="125"/>
        <v>0</v>
      </c>
      <c r="AK93" s="1">
        <f t="shared" si="126"/>
        <v>0</v>
      </c>
      <c r="AL93" s="1">
        <f t="shared" si="127"/>
        <v>-1465</v>
      </c>
      <c r="AM93" s="1">
        <f t="shared" si="128"/>
        <v>366</v>
      </c>
      <c r="AN93" s="1">
        <f t="shared" si="129"/>
        <v>235</v>
      </c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</row>
    <row r="94" spans="2:81">
      <c r="B94" s="1" t="s">
        <v>123</v>
      </c>
      <c r="C94" s="1">
        <v>-48</v>
      </c>
      <c r="D94" s="1">
        <f>40-C94</f>
        <v>88</v>
      </c>
      <c r="E94" s="1">
        <f>43-SUM(C94:D94)</f>
        <v>3</v>
      </c>
      <c r="F94" s="1">
        <f>122-SUM(C94:E94)</f>
        <v>79</v>
      </c>
      <c r="G94" s="1">
        <v>17</v>
      </c>
      <c r="H94" s="1">
        <f>41-G94</f>
        <v>24</v>
      </c>
      <c r="I94" s="1">
        <f>81-SUM(G94:H94)</f>
        <v>40</v>
      </c>
      <c r="J94" s="1">
        <f>51-SUM(G94:I94)</f>
        <v>-30</v>
      </c>
      <c r="K94" s="1">
        <v>-354</v>
      </c>
      <c r="L94" s="1">
        <f>-1135-K94</f>
        <v>-781</v>
      </c>
      <c r="M94" s="1">
        <f>-79-SUM(K94:L94)</f>
        <v>1056</v>
      </c>
      <c r="N94" s="1">
        <f>706-SUM(K94:M94)</f>
        <v>785</v>
      </c>
      <c r="O94" s="1">
        <v>-21</v>
      </c>
      <c r="P94" s="1">
        <f>44-O94</f>
        <v>65</v>
      </c>
      <c r="Q94" s="1">
        <f>70-SUM(O94:P94)</f>
        <v>26</v>
      </c>
      <c r="R94" s="1">
        <f>39-SUM(O94:Q94)</f>
        <v>-31</v>
      </c>
      <c r="S94" s="1">
        <v>14</v>
      </c>
      <c r="T94" s="1">
        <f>127-S94</f>
        <v>113</v>
      </c>
      <c r="U94" s="1">
        <f>194-SUM(S94:T94)</f>
        <v>67</v>
      </c>
      <c r="V94" s="1">
        <f>194-SUM(S94:U94)</f>
        <v>0</v>
      </c>
      <c r="AJ94" s="1">
        <f t="shared" si="125"/>
        <v>122</v>
      </c>
      <c r="AK94" s="1">
        <f t="shared" si="126"/>
        <v>51</v>
      </c>
      <c r="AL94" s="1">
        <f t="shared" si="127"/>
        <v>706</v>
      </c>
      <c r="AM94" s="1">
        <f t="shared" si="128"/>
        <v>39</v>
      </c>
      <c r="AN94" s="1">
        <f t="shared" si="129"/>
        <v>194</v>
      </c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</row>
    <row r="95" spans="2:81" ht="15">
      <c r="B95" s="2" t="s">
        <v>125</v>
      </c>
      <c r="C95" s="1">
        <f t="shared" ref="C95:U95" si="135">SUM(C87:C94)</f>
        <v>-1084</v>
      </c>
      <c r="D95" s="1">
        <f t="shared" si="135"/>
        <v>-5883</v>
      </c>
      <c r="E95" s="1">
        <f t="shared" si="135"/>
        <v>-105</v>
      </c>
      <c r="F95" s="1">
        <f t="shared" si="135"/>
        <v>5595</v>
      </c>
      <c r="G95" s="1">
        <f t="shared" si="135"/>
        <v>-281</v>
      </c>
      <c r="H95" s="1">
        <f t="shared" si="135"/>
        <v>2034</v>
      </c>
      <c r="I95" s="1">
        <f t="shared" si="135"/>
        <v>166</v>
      </c>
      <c r="J95" s="1">
        <f t="shared" si="135"/>
        <v>-4684</v>
      </c>
      <c r="K95" s="1">
        <f t="shared" si="135"/>
        <v>146</v>
      </c>
      <c r="L95" s="1">
        <f t="shared" si="135"/>
        <v>-1291</v>
      </c>
      <c r="M95" s="1">
        <f t="shared" si="135"/>
        <v>5294</v>
      </c>
      <c r="N95" s="1">
        <f t="shared" si="135"/>
        <v>-4912</v>
      </c>
      <c r="O95" s="1">
        <f t="shared" si="135"/>
        <v>117</v>
      </c>
      <c r="P95" s="1">
        <f t="shared" si="135"/>
        <v>-883</v>
      </c>
      <c r="Q95" s="1">
        <f t="shared" si="135"/>
        <v>-1657</v>
      </c>
      <c r="R95" s="1">
        <f t="shared" si="135"/>
        <v>-926</v>
      </c>
      <c r="S95" s="1">
        <f t="shared" si="135"/>
        <v>330</v>
      </c>
      <c r="T95" s="1">
        <f>SUM(T87:T94)</f>
        <v>667</v>
      </c>
      <c r="U95" s="1">
        <f t="shared" si="135"/>
        <v>2310</v>
      </c>
      <c r="V95" s="1">
        <f>SUM(V87:V94)</f>
        <v>-783</v>
      </c>
      <c r="AJ95" s="1">
        <f t="shared" si="125"/>
        <v>-1477</v>
      </c>
      <c r="AK95" s="1">
        <f t="shared" si="126"/>
        <v>-2765</v>
      </c>
      <c r="AL95" s="1">
        <f t="shared" si="127"/>
        <v>-763</v>
      </c>
      <c r="AM95" s="1">
        <f t="shared" si="128"/>
        <v>-3349</v>
      </c>
      <c r="AN95" s="1">
        <f t="shared" si="129"/>
        <v>2524</v>
      </c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</row>
    <row r="96" spans="2:81"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</row>
    <row r="97" spans="2:81">
      <c r="B97" s="1" t="s">
        <v>126</v>
      </c>
      <c r="C97" s="1">
        <v>12563</v>
      </c>
      <c r="D97" s="1">
        <f>19775-C97</f>
        <v>7212</v>
      </c>
      <c r="E97" s="1">
        <f>26898-SUM(C97:D97)</f>
        <v>7123</v>
      </c>
      <c r="F97" s="1">
        <f>26934-SUM(C97:E97)</f>
        <v>36</v>
      </c>
      <c r="G97" s="1">
        <v>5588</v>
      </c>
      <c r="H97" s="1">
        <f>10752-G97</f>
        <v>5164</v>
      </c>
      <c r="I97" s="1">
        <f t="shared" ref="I97:I102" si="136">1000-SUM(G97:H97)</f>
        <v>-9752</v>
      </c>
      <c r="J97" s="1">
        <f>13094-SUM(G97:I97)</f>
        <v>12094</v>
      </c>
      <c r="K97" s="1">
        <v>1052</v>
      </c>
      <c r="L97" s="1">
        <f>3256-K97</f>
        <v>2204</v>
      </c>
      <c r="M97" s="1">
        <f>4351-SUM(K97:L97)</f>
        <v>1095</v>
      </c>
      <c r="N97" s="1">
        <f>3972-SUM(K97:M97)</f>
        <v>-379</v>
      </c>
      <c r="O97" s="1">
        <v>4074</v>
      </c>
      <c r="P97" s="1">
        <f>4638-O97</f>
        <v>564</v>
      </c>
      <c r="Q97" s="1">
        <f>6013-SUM(O97:P97)</f>
        <v>1375</v>
      </c>
      <c r="R97" s="1">
        <f>6891-SUM(O97:Q97)</f>
        <v>878</v>
      </c>
      <c r="S97" s="1">
        <v>2285</v>
      </c>
      <c r="T97" s="1">
        <f>6832-S97</f>
        <v>4547</v>
      </c>
      <c r="U97" s="1">
        <f>11298-SUM(S97:T97)</f>
        <v>4466</v>
      </c>
      <c r="V97" s="1">
        <f>12061-SUM(S97:U97)</f>
        <v>763</v>
      </c>
      <c r="AJ97" s="1">
        <f t="shared" ref="AJ97:AJ102" si="137">SUM(C97:F97)</f>
        <v>26934</v>
      </c>
      <c r="AK97" s="1">
        <f t="shared" ref="AK97:AK102" si="138">SUM(G97:J97)</f>
        <v>13094</v>
      </c>
      <c r="AL97" s="1">
        <f t="shared" ref="AL97:AL102" si="139">SUM(K97:N97)</f>
        <v>3972</v>
      </c>
      <c r="AM97" s="1">
        <f t="shared" ref="AM97:AM102" si="140">SUM(O97:R97)</f>
        <v>6891</v>
      </c>
      <c r="AN97" s="1">
        <f t="shared" ref="AN97:AN103" si="141">SUM(S97:V97)</f>
        <v>12061</v>
      </c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</row>
    <row r="98" spans="2:81">
      <c r="B98" s="1" t="s">
        <v>127</v>
      </c>
      <c r="C98" s="1">
        <v>-4833</v>
      </c>
      <c r="D98" s="1">
        <f>-10304-C98</f>
        <v>-5471</v>
      </c>
      <c r="E98" s="1">
        <f>-17977-SUM(C98:D98)</f>
        <v>-7673</v>
      </c>
      <c r="F98" s="1">
        <f>-28796-SUM(C98:E98)</f>
        <v>-10819</v>
      </c>
      <c r="G98" s="1">
        <v>-3044</v>
      </c>
      <c r="H98" s="1">
        <f>-11957-G98</f>
        <v>-8913</v>
      </c>
      <c r="I98" s="1">
        <f t="shared" si="136"/>
        <v>12957</v>
      </c>
      <c r="J98" s="1">
        <f>-12866-SUM(G98:I98)</f>
        <v>-13866</v>
      </c>
      <c r="K98" s="1">
        <v>-1045</v>
      </c>
      <c r="L98" s="1">
        <f>-1816-K98</f>
        <v>-771</v>
      </c>
      <c r="M98" s="1">
        <f>-3761-SUM(K98:L98)</f>
        <v>-1945</v>
      </c>
      <c r="N98" s="1">
        <f>-4930-SUM(K98:M98)</f>
        <v>-1169</v>
      </c>
      <c r="O98" s="1">
        <v>-1174</v>
      </c>
      <c r="P98" s="1">
        <f>-2366-O98</f>
        <v>-1192</v>
      </c>
      <c r="Q98" s="1">
        <f>-4794-SUM(O98:P98)</f>
        <v>-2428</v>
      </c>
      <c r="R98" s="1">
        <f>-5034-SUM(O98:Q98)</f>
        <v>-240</v>
      </c>
      <c r="S98" s="1">
        <v>-1366</v>
      </c>
      <c r="T98" s="1">
        <f>-4734-S98</f>
        <v>-3368</v>
      </c>
      <c r="U98" s="1">
        <f>-7925-SUM(S98:T98)</f>
        <v>-3191</v>
      </c>
      <c r="V98" s="1">
        <f>-9533-SUM(S98:U98)</f>
        <v>-1608</v>
      </c>
      <c r="AJ98" s="1">
        <f t="shared" si="137"/>
        <v>-28796</v>
      </c>
      <c r="AK98" s="1">
        <f t="shared" si="138"/>
        <v>-12866</v>
      </c>
      <c r="AL98" s="1">
        <f t="shared" si="139"/>
        <v>-4930</v>
      </c>
      <c r="AM98" s="1">
        <f t="shared" si="140"/>
        <v>-5034</v>
      </c>
      <c r="AN98" s="1">
        <f t="shared" si="141"/>
        <v>-9533</v>
      </c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</row>
    <row r="99" spans="2:81">
      <c r="B99" s="1" t="s">
        <v>128</v>
      </c>
      <c r="C99" s="1">
        <v>413</v>
      </c>
      <c r="D99" s="1">
        <f>444-C99</f>
        <v>31</v>
      </c>
      <c r="E99" s="1">
        <f>514-SUM(C99:D99)</f>
        <v>70</v>
      </c>
      <c r="F99" s="1">
        <f>647-SUM(C99:E99)</f>
        <v>133</v>
      </c>
      <c r="G99" s="1">
        <v>183</v>
      </c>
      <c r="H99" s="1">
        <f>342-G99</f>
        <v>159</v>
      </c>
      <c r="I99" s="1">
        <f t="shared" si="136"/>
        <v>658</v>
      </c>
      <c r="J99" s="1">
        <f>702-SUM(G99:I99)</f>
        <v>-298</v>
      </c>
      <c r="K99" s="1">
        <v>449</v>
      </c>
      <c r="L99" s="1">
        <f>652-K99</f>
        <v>203</v>
      </c>
      <c r="M99" s="1">
        <f>707-SUM(K99:L99)</f>
        <v>55</v>
      </c>
      <c r="N99" s="1">
        <f>837-SUM(K99:M99)</f>
        <v>130</v>
      </c>
      <c r="O99" s="1">
        <v>229</v>
      </c>
      <c r="P99" s="1">
        <f>359-O99</f>
        <v>130</v>
      </c>
      <c r="Q99" s="1">
        <f>424-SUM(O99:P99)</f>
        <v>65</v>
      </c>
      <c r="R99" s="1">
        <f>539-SUM(O99:Q99)</f>
        <v>115</v>
      </c>
      <c r="S99" s="1">
        <v>290</v>
      </c>
      <c r="T99" s="1">
        <f>437-S99</f>
        <v>147</v>
      </c>
      <c r="U99" s="1">
        <f>717-SUM(S99:T99)</f>
        <v>280</v>
      </c>
      <c r="V99" s="1">
        <f>747-SUM(S99:U99)</f>
        <v>30</v>
      </c>
      <c r="AJ99" s="1">
        <f t="shared" si="137"/>
        <v>647</v>
      </c>
      <c r="AK99" s="1">
        <f t="shared" si="138"/>
        <v>702</v>
      </c>
      <c r="AL99" s="1">
        <f t="shared" si="139"/>
        <v>837</v>
      </c>
      <c r="AM99" s="1">
        <f t="shared" si="140"/>
        <v>539</v>
      </c>
      <c r="AN99" s="1">
        <f t="shared" si="141"/>
        <v>747</v>
      </c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</row>
    <row r="100" spans="2:81">
      <c r="B100" s="1" t="s">
        <v>129</v>
      </c>
      <c r="C100" s="1">
        <v>-94</v>
      </c>
      <c r="D100" s="1">
        <f>-93-C100</f>
        <v>1</v>
      </c>
      <c r="E100" s="1">
        <f>-93-SUM(C100:D100)</f>
        <v>0</v>
      </c>
      <c r="F100" s="1">
        <f>-118-SUM(C100:E100)</f>
        <v>-25</v>
      </c>
      <c r="G100" s="1">
        <v>-104</v>
      </c>
      <c r="H100" s="1">
        <f>-104-G100</f>
        <v>0</v>
      </c>
      <c r="I100" s="1">
        <f t="shared" si="136"/>
        <v>1104</v>
      </c>
      <c r="J100" s="1">
        <f>-111-SUM(G100:I100)</f>
        <v>-1111</v>
      </c>
      <c r="K100" s="1">
        <v>-546</v>
      </c>
      <c r="L100" s="1">
        <f>-1210-K100</f>
        <v>-664</v>
      </c>
      <c r="M100" s="1">
        <f>1412-SUM(K100:L100)</f>
        <v>2622</v>
      </c>
      <c r="N100" s="1">
        <f>1418-SUM(K100:M100)</f>
        <v>6</v>
      </c>
      <c r="O100" s="1">
        <v>-848</v>
      </c>
      <c r="P100" s="1">
        <f>-1084-O100</f>
        <v>-236</v>
      </c>
      <c r="Q100" s="1">
        <f>-1193-SUM(O100:P100)</f>
        <v>-109</v>
      </c>
      <c r="R100" s="1">
        <f>-2289-SUM(O100:Q100)</f>
        <v>-1096</v>
      </c>
      <c r="S100" s="1">
        <v>-702</v>
      </c>
      <c r="T100" s="1">
        <f>-874-S100</f>
        <v>-172</v>
      </c>
      <c r="U100" s="1">
        <f>-1228-SUM(S100:T100)</f>
        <v>-354</v>
      </c>
      <c r="V100" s="1">
        <f>-1795-SUM(S100:U100)</f>
        <v>-567</v>
      </c>
      <c r="AJ100" s="1">
        <f t="shared" si="137"/>
        <v>-118</v>
      </c>
      <c r="AK100" s="1">
        <f t="shared" si="138"/>
        <v>-111</v>
      </c>
      <c r="AL100" s="1">
        <f t="shared" si="139"/>
        <v>1418</v>
      </c>
      <c r="AM100" s="1">
        <f t="shared" si="140"/>
        <v>-2289</v>
      </c>
      <c r="AN100" s="1">
        <f t="shared" si="141"/>
        <v>-1795</v>
      </c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</row>
    <row r="101" spans="2:81">
      <c r="B101" s="1" t="s">
        <v>130</v>
      </c>
      <c r="C101" s="1">
        <v>0</v>
      </c>
      <c r="D101" s="1">
        <f>-1761-C101</f>
        <v>-1761</v>
      </c>
      <c r="E101" s="1">
        <f>-3522-SUM(C101:D101)</f>
        <v>-1761</v>
      </c>
      <c r="F101" s="1">
        <f>-7047-SUM(C101:E101)</f>
        <v>-3525</v>
      </c>
      <c r="G101" s="1">
        <v>-1810</v>
      </c>
      <c r="H101" s="1">
        <f>-3623-G101</f>
        <v>-1813</v>
      </c>
      <c r="I101" s="1">
        <f t="shared" si="136"/>
        <v>4623</v>
      </c>
      <c r="J101" s="1">
        <f>-7252-SUM(G101:I101)</f>
        <v>-8252</v>
      </c>
      <c r="K101" s="1">
        <v>-1906</v>
      </c>
      <c r="L101" s="1">
        <f>-3810-K101</f>
        <v>-1904</v>
      </c>
      <c r="M101" s="1">
        <f>3910-SUM(K101:L101)</f>
        <v>7720</v>
      </c>
      <c r="N101" s="1">
        <f>7616-SUM(K101:M101)</f>
        <v>3706</v>
      </c>
      <c r="O101" s="1">
        <v>-101</v>
      </c>
      <c r="P101" s="1">
        <f>-2089-O101</f>
        <v>-1988</v>
      </c>
      <c r="Q101" s="1">
        <f>-4078-SUM(O101:P101)</f>
        <v>-1989</v>
      </c>
      <c r="R101" s="1">
        <f>-7952-SUM(O101:Q101)</f>
        <v>-3874</v>
      </c>
      <c r="S101" s="1">
        <v>-99</v>
      </c>
      <c r="T101" s="1">
        <f>-2184-S101</f>
        <v>-2085</v>
      </c>
      <c r="U101" s="1">
        <f>-4274-SUM(S101:T101)</f>
        <v>-2090</v>
      </c>
      <c r="V101" s="1">
        <f>-8359-SUM(S101:U101)</f>
        <v>-4085</v>
      </c>
      <c r="AJ101" s="1">
        <f t="shared" si="137"/>
        <v>-7047</v>
      </c>
      <c r="AK101" s="1">
        <f t="shared" si="138"/>
        <v>-7252</v>
      </c>
      <c r="AL101" s="1">
        <f t="shared" si="139"/>
        <v>7616</v>
      </c>
      <c r="AM101" s="1">
        <f t="shared" si="140"/>
        <v>-7952</v>
      </c>
      <c r="AN101" s="1">
        <f t="shared" si="141"/>
        <v>-8359</v>
      </c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</row>
    <row r="102" spans="2:81">
      <c r="B102" s="1" t="s">
        <v>131</v>
      </c>
      <c r="C102" s="1">
        <v>-239</v>
      </c>
      <c r="D102" s="1">
        <f>-16-C102</f>
        <v>223</v>
      </c>
      <c r="E102" s="1">
        <f>153-SUM(C102:D102)</f>
        <v>169</v>
      </c>
      <c r="F102" s="1">
        <f>310-SUM(C102:E102)</f>
        <v>157</v>
      </c>
      <c r="G102" s="1">
        <v>-449</v>
      </c>
      <c r="H102" s="1">
        <f>-372-G102</f>
        <v>77</v>
      </c>
      <c r="I102" s="1">
        <f t="shared" si="136"/>
        <v>1372</v>
      </c>
      <c r="J102" s="1">
        <f>-353-SUM(G102:I102)</f>
        <v>-1353</v>
      </c>
      <c r="K102" s="1">
        <v>-979</v>
      </c>
      <c r="L102" s="1">
        <f>-1022-K102</f>
        <v>-43</v>
      </c>
      <c r="M102" s="1">
        <f>1053-SUM(K102:L102)</f>
        <v>2075</v>
      </c>
      <c r="N102" s="1">
        <f>1095-SUM(K102:M102)</f>
        <v>42</v>
      </c>
      <c r="O102" s="1">
        <v>-115</v>
      </c>
      <c r="P102" s="1">
        <f>-456-O102</f>
        <v>-341</v>
      </c>
      <c r="Q102" s="1">
        <f>-457-SUM(O102:P102)</f>
        <v>-1</v>
      </c>
      <c r="R102" s="1">
        <f>-465-SUM(O102:Q102)</f>
        <v>-8</v>
      </c>
      <c r="S102" s="1">
        <v>-2</v>
      </c>
      <c r="T102" s="1">
        <f>-9-S102</f>
        <v>-7</v>
      </c>
      <c r="U102" s="1">
        <f>-14-SUM(S102:T102)</f>
        <v>-5</v>
      </c>
      <c r="V102" s="1">
        <f>-31-SUM(S102:U102)</f>
        <v>-17</v>
      </c>
      <c r="AJ102" s="1">
        <f t="shared" si="137"/>
        <v>310</v>
      </c>
      <c r="AK102" s="1">
        <f t="shared" si="138"/>
        <v>-353</v>
      </c>
      <c r="AL102" s="1">
        <f t="shared" si="139"/>
        <v>1095</v>
      </c>
      <c r="AM102" s="1">
        <f t="shared" si="140"/>
        <v>-465</v>
      </c>
      <c r="AN102" s="1">
        <f t="shared" si="141"/>
        <v>-31</v>
      </c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</row>
    <row r="103" spans="2:81" ht="15">
      <c r="B103" s="2" t="s">
        <v>136</v>
      </c>
      <c r="C103" s="1">
        <f t="shared" ref="C103:S103" si="142">SUM(C97:C102)</f>
        <v>7810</v>
      </c>
      <c r="D103" s="1">
        <f t="shared" si="142"/>
        <v>235</v>
      </c>
      <c r="E103" s="1">
        <f t="shared" si="142"/>
        <v>-2072</v>
      </c>
      <c r="F103" s="1">
        <f t="shared" si="142"/>
        <v>-14043</v>
      </c>
      <c r="G103" s="1">
        <f t="shared" si="142"/>
        <v>364</v>
      </c>
      <c r="H103" s="1">
        <f t="shared" si="142"/>
        <v>-5326</v>
      </c>
      <c r="I103" s="1">
        <f t="shared" si="142"/>
        <v>10962</v>
      </c>
      <c r="J103" s="1">
        <f t="shared" si="142"/>
        <v>-12786</v>
      </c>
      <c r="K103" s="1">
        <f t="shared" si="142"/>
        <v>-2975</v>
      </c>
      <c r="L103" s="1">
        <f t="shared" si="142"/>
        <v>-975</v>
      </c>
      <c r="M103" s="1">
        <f t="shared" si="142"/>
        <v>11622</v>
      </c>
      <c r="N103" s="1">
        <f t="shared" si="142"/>
        <v>2336</v>
      </c>
      <c r="O103" s="1">
        <f t="shared" si="142"/>
        <v>2065</v>
      </c>
      <c r="P103" s="1">
        <f t="shared" si="142"/>
        <v>-3063</v>
      </c>
      <c r="Q103" s="1">
        <f t="shared" si="142"/>
        <v>-3087</v>
      </c>
      <c r="R103" s="1">
        <f t="shared" si="142"/>
        <v>-4225</v>
      </c>
      <c r="S103" s="1">
        <f t="shared" si="142"/>
        <v>406</v>
      </c>
      <c r="T103" s="1">
        <f>SUM(T97:T102)</f>
        <v>-938</v>
      </c>
      <c r="U103" s="1">
        <f t="shared" ref="U103:V103" si="143">SUM(U97:U102)</f>
        <v>-894</v>
      </c>
      <c r="V103" s="1">
        <f t="shared" si="143"/>
        <v>-5484</v>
      </c>
      <c r="AJ103" s="1">
        <f t="shared" ref="AJ103:AJ104" si="144">SUM(O103:R103)</f>
        <v>-8310</v>
      </c>
      <c r="AK103" s="1">
        <f t="shared" ref="AK103:AK104" si="145">SUM(P103:S103)</f>
        <v>-9969</v>
      </c>
      <c r="AL103" s="1">
        <f t="shared" ref="AL103:AL104" si="146">SUM(Q103:T103)</f>
        <v>-7844</v>
      </c>
      <c r="AM103" s="1">
        <f t="shared" ref="AM103:AM104" si="147">SUM(R103:U103)</f>
        <v>-5651</v>
      </c>
      <c r="AN103" s="1">
        <f t="shared" si="141"/>
        <v>-6910</v>
      </c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</row>
    <row r="104" spans="2:81">
      <c r="B104" s="1" t="s">
        <v>137</v>
      </c>
      <c r="C104" s="1">
        <v>-54</v>
      </c>
      <c r="D104" s="1">
        <v>-172</v>
      </c>
      <c r="E104" s="1">
        <v>-36</v>
      </c>
      <c r="F104" s="1">
        <v>76</v>
      </c>
      <c r="G104" s="1">
        <v>-18</v>
      </c>
      <c r="H104" s="1">
        <v>82</v>
      </c>
      <c r="I104" s="1">
        <v>-56</v>
      </c>
      <c r="J104" s="1">
        <v>-159</v>
      </c>
      <c r="K104" s="1">
        <v>173</v>
      </c>
      <c r="L104" s="1">
        <v>161</v>
      </c>
      <c r="M104" s="1">
        <v>-392</v>
      </c>
      <c r="N104" s="1">
        <v>-205</v>
      </c>
      <c r="O104" s="1">
        <v>113</v>
      </c>
      <c r="P104" s="1">
        <v>162</v>
      </c>
      <c r="Q104" s="1">
        <v>-36</v>
      </c>
      <c r="R104" s="1">
        <v>-73</v>
      </c>
      <c r="S104" s="1">
        <v>-138</v>
      </c>
      <c r="T104" s="1">
        <v>-357</v>
      </c>
      <c r="U104" s="1">
        <v>-266</v>
      </c>
      <c r="V104" s="1">
        <v>-623</v>
      </c>
      <c r="AJ104" s="1">
        <f t="shared" si="144"/>
        <v>166</v>
      </c>
      <c r="AK104" s="1">
        <f t="shared" si="145"/>
        <v>-85</v>
      </c>
      <c r="AL104" s="1">
        <f t="shared" si="146"/>
        <v>-604</v>
      </c>
      <c r="AM104" s="1">
        <f t="shared" si="147"/>
        <v>-834</v>
      </c>
      <c r="AN104" s="1">
        <f>SUM(S104:V104)</f>
        <v>-1384</v>
      </c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</row>
    <row r="105" spans="2:81"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</row>
    <row r="106" spans="2:81" ht="15">
      <c r="B106" s="2" t="s">
        <v>124</v>
      </c>
      <c r="C106" s="1">
        <f t="shared" ref="C106:U106" si="148">C85</f>
        <v>556</v>
      </c>
      <c r="D106" s="1">
        <f t="shared" si="148"/>
        <v>2230</v>
      </c>
      <c r="E106" s="1">
        <f t="shared" si="148"/>
        <v>5238</v>
      </c>
      <c r="F106" s="1">
        <f t="shared" si="148"/>
        <v>1820</v>
      </c>
      <c r="G106" s="1">
        <f t="shared" si="148"/>
        <v>1636</v>
      </c>
      <c r="H106" s="1">
        <f t="shared" si="148"/>
        <v>3889</v>
      </c>
      <c r="I106" s="1">
        <f t="shared" si="148"/>
        <v>3706</v>
      </c>
      <c r="J106" s="1">
        <f t="shared" si="148"/>
        <v>3394</v>
      </c>
      <c r="K106" s="1">
        <f t="shared" si="148"/>
        <v>623</v>
      </c>
      <c r="L106" s="1">
        <f t="shared" si="148"/>
        <v>3923</v>
      </c>
      <c r="M106" s="1">
        <f t="shared" si="148"/>
        <v>3522</v>
      </c>
      <c r="N106" s="1">
        <f t="shared" si="148"/>
        <v>2950</v>
      </c>
      <c r="O106" s="1">
        <f t="shared" si="148"/>
        <v>160</v>
      </c>
      <c r="P106" s="1">
        <f t="shared" si="148"/>
        <v>4469</v>
      </c>
      <c r="Q106" s="1">
        <f t="shared" si="148"/>
        <v>4300</v>
      </c>
      <c r="R106" s="1">
        <f t="shared" si="148"/>
        <v>2670</v>
      </c>
      <c r="S106" s="1">
        <f t="shared" si="148"/>
        <v>528</v>
      </c>
      <c r="T106" s="1">
        <f t="shared" si="148"/>
        <v>3585</v>
      </c>
      <c r="U106" s="1">
        <f t="shared" si="148"/>
        <v>-1259</v>
      </c>
      <c r="V106" s="1">
        <f>V85</f>
        <v>3951</v>
      </c>
      <c r="AJ106" s="1">
        <f t="shared" ref="AJ106:AJ110" si="149">SUM(C106:F106)</f>
        <v>9844</v>
      </c>
      <c r="AK106" s="1">
        <f t="shared" ref="AK106:AK110" si="150">SUM(G106:J106)</f>
        <v>12625</v>
      </c>
      <c r="AL106" s="1">
        <f t="shared" ref="AL106:AL110" si="151">SUM(K106:N106)</f>
        <v>11018</v>
      </c>
      <c r="AM106" s="1">
        <f t="shared" ref="AM106:AM110" si="152">SUM(O106:R106)</f>
        <v>11599</v>
      </c>
      <c r="AN106" s="1">
        <f t="shared" ref="AN106:AN110" si="153">SUM(S106:V106)</f>
        <v>6805</v>
      </c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</row>
    <row r="107" spans="2:81">
      <c r="B107" s="1" t="s">
        <v>132</v>
      </c>
      <c r="C107" s="1">
        <f t="shared" ref="C107:R107" si="154">C91</f>
        <v>-327</v>
      </c>
      <c r="D107" s="1">
        <f t="shared" si="154"/>
        <v>-209</v>
      </c>
      <c r="E107" s="1">
        <f t="shared" si="154"/>
        <v>-223</v>
      </c>
      <c r="F107" s="1">
        <f t="shared" si="154"/>
        <v>-418</v>
      </c>
      <c r="G107" s="1">
        <f t="shared" si="154"/>
        <v>-216</v>
      </c>
      <c r="H107" s="1">
        <f t="shared" si="154"/>
        <v>-234</v>
      </c>
      <c r="I107" s="1">
        <f t="shared" si="154"/>
        <v>-278</v>
      </c>
      <c r="J107" s="1">
        <f t="shared" si="154"/>
        <v>-639</v>
      </c>
      <c r="K107" s="1">
        <f t="shared" si="154"/>
        <v>-217</v>
      </c>
      <c r="L107" s="1">
        <f t="shared" si="154"/>
        <v>-270</v>
      </c>
      <c r="M107" s="1">
        <f t="shared" si="154"/>
        <v>-289</v>
      </c>
      <c r="N107" s="1">
        <f t="shared" si="154"/>
        <v>-708</v>
      </c>
      <c r="O107" s="1">
        <f t="shared" si="154"/>
        <v>-276</v>
      </c>
      <c r="P107" s="1">
        <f t="shared" si="154"/>
        <v>-339</v>
      </c>
      <c r="Q107" s="1">
        <f t="shared" si="154"/>
        <v>-386</v>
      </c>
      <c r="R107" s="1">
        <f t="shared" si="154"/>
        <v>-851</v>
      </c>
      <c r="S107" s="1">
        <f>S91</f>
        <v>-370</v>
      </c>
      <c r="T107" s="1">
        <f t="shared" ref="T107:V107" si="155">T91</f>
        <v>-422</v>
      </c>
      <c r="U107" s="1">
        <f t="shared" si="155"/>
        <v>-469</v>
      </c>
      <c r="V107" s="1">
        <f t="shared" si="155"/>
        <v>-803</v>
      </c>
      <c r="AJ107" s="1">
        <f t="shared" si="149"/>
        <v>-1177</v>
      </c>
      <c r="AK107" s="1">
        <f t="shared" si="150"/>
        <v>-1367</v>
      </c>
      <c r="AL107" s="1">
        <f t="shared" si="151"/>
        <v>-1484</v>
      </c>
      <c r="AM107" s="1">
        <f t="shared" si="152"/>
        <v>-1852</v>
      </c>
      <c r="AN107" s="1">
        <f t="shared" si="153"/>
        <v>-2064</v>
      </c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</row>
    <row r="108" spans="2:81" ht="15">
      <c r="B108" s="2" t="s">
        <v>133</v>
      </c>
      <c r="C108" s="1">
        <f t="shared" ref="C108:U108" si="156">SUM(C106:C107)</f>
        <v>229</v>
      </c>
      <c r="D108" s="1">
        <f t="shared" si="156"/>
        <v>2021</v>
      </c>
      <c r="E108" s="1">
        <f t="shared" si="156"/>
        <v>5015</v>
      </c>
      <c r="F108" s="1">
        <f t="shared" si="156"/>
        <v>1402</v>
      </c>
      <c r="G108" s="1">
        <f t="shared" si="156"/>
        <v>1420</v>
      </c>
      <c r="H108" s="1">
        <f t="shared" si="156"/>
        <v>3655</v>
      </c>
      <c r="I108" s="1">
        <f t="shared" si="156"/>
        <v>3428</v>
      </c>
      <c r="J108" s="1">
        <f t="shared" si="156"/>
        <v>2755</v>
      </c>
      <c r="K108" s="1">
        <f t="shared" si="156"/>
        <v>406</v>
      </c>
      <c r="L108" s="1">
        <f t="shared" si="156"/>
        <v>3653</v>
      </c>
      <c r="M108" s="1">
        <f t="shared" si="156"/>
        <v>3233</v>
      </c>
      <c r="N108" s="1">
        <f t="shared" si="156"/>
        <v>2242</v>
      </c>
      <c r="O108" s="1">
        <f t="shared" si="156"/>
        <v>-116</v>
      </c>
      <c r="P108" s="1">
        <f t="shared" si="156"/>
        <v>4130</v>
      </c>
      <c r="Q108" s="1">
        <f t="shared" si="156"/>
        <v>3914</v>
      </c>
      <c r="R108" s="1">
        <f t="shared" si="156"/>
        <v>1819</v>
      </c>
      <c r="S108" s="1">
        <f t="shared" si="156"/>
        <v>158</v>
      </c>
      <c r="T108" s="1">
        <f t="shared" si="156"/>
        <v>3163</v>
      </c>
      <c r="U108" s="1">
        <f t="shared" si="156"/>
        <v>-1728</v>
      </c>
      <c r="V108" s="1">
        <f>SUM(V106:V107)</f>
        <v>3148</v>
      </c>
      <c r="AJ108" s="1">
        <f t="shared" si="149"/>
        <v>8667</v>
      </c>
      <c r="AK108" s="1">
        <f t="shared" si="150"/>
        <v>11258</v>
      </c>
      <c r="AL108" s="1">
        <f t="shared" si="151"/>
        <v>9534</v>
      </c>
      <c r="AM108" s="1">
        <f t="shared" si="152"/>
        <v>9747</v>
      </c>
      <c r="AN108" s="1">
        <f t="shared" si="153"/>
        <v>4741</v>
      </c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</row>
    <row r="109" spans="2:81">
      <c r="B109" s="1" t="s">
        <v>134</v>
      </c>
      <c r="C109" s="1">
        <f t="shared" ref="C109:U109" si="157">C38</f>
        <v>4289</v>
      </c>
      <c r="D109" s="1">
        <f t="shared" si="157"/>
        <v>4295</v>
      </c>
      <c r="E109" s="1">
        <f t="shared" si="157"/>
        <v>4296</v>
      </c>
      <c r="F109" s="1">
        <f t="shared" si="157"/>
        <v>4295</v>
      </c>
      <c r="G109" s="1">
        <f t="shared" si="157"/>
        <v>4307</v>
      </c>
      <c r="H109" s="1">
        <f t="shared" si="157"/>
        <v>4313</v>
      </c>
      <c r="I109" s="1">
        <f t="shared" si="157"/>
        <v>4318</v>
      </c>
      <c r="J109" s="1">
        <f t="shared" si="157"/>
        <v>4315</v>
      </c>
      <c r="K109" s="1">
        <f t="shared" si="157"/>
        <v>4332</v>
      </c>
      <c r="L109" s="1">
        <f t="shared" si="157"/>
        <v>4331</v>
      </c>
      <c r="M109" s="1">
        <f t="shared" si="157"/>
        <v>4325</v>
      </c>
      <c r="N109" s="1">
        <f t="shared" si="157"/>
        <v>4328</v>
      </c>
      <c r="O109" s="1">
        <f t="shared" si="157"/>
        <v>4326</v>
      </c>
      <c r="P109" s="1">
        <f t="shared" si="157"/>
        <v>4325</v>
      </c>
      <c r="Q109" s="1">
        <f t="shared" si="157"/>
        <v>4324</v>
      </c>
      <c r="R109" s="1">
        <f t="shared" si="157"/>
        <v>4323</v>
      </c>
      <c r="S109" s="1">
        <f t="shared" si="157"/>
        <v>4310</v>
      </c>
      <c r="T109" s="1">
        <f t="shared" si="157"/>
        <v>4309</v>
      </c>
      <c r="U109" s="1">
        <f t="shared" si="157"/>
        <v>4311</v>
      </c>
      <c r="V109" s="1">
        <f>V38</f>
        <v>4309</v>
      </c>
      <c r="AJ109" s="1">
        <f t="shared" si="149"/>
        <v>17175</v>
      </c>
      <c r="AK109" s="1">
        <f t="shared" si="150"/>
        <v>17253</v>
      </c>
      <c r="AL109" s="1">
        <f t="shared" si="151"/>
        <v>17316</v>
      </c>
      <c r="AM109" s="1">
        <f t="shared" si="152"/>
        <v>17298</v>
      </c>
      <c r="AN109" s="1">
        <f t="shared" si="153"/>
        <v>17239</v>
      </c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</row>
    <row r="110" spans="2:81" ht="15">
      <c r="B110" s="2" t="s">
        <v>135</v>
      </c>
      <c r="C110" s="6">
        <f t="shared" ref="C110:U110" si="158">C108/C109</f>
        <v>5.3392399160643506E-2</v>
      </c>
      <c r="D110" s="6">
        <f t="shared" si="158"/>
        <v>0.47054714784633295</v>
      </c>
      <c r="E110" s="6">
        <f t="shared" si="158"/>
        <v>1.1673649906890131</v>
      </c>
      <c r="F110" s="6">
        <f t="shared" si="158"/>
        <v>0.32642607683352737</v>
      </c>
      <c r="G110" s="6">
        <f t="shared" si="158"/>
        <v>0.32969584397492452</v>
      </c>
      <c r="H110" s="6">
        <f t="shared" si="158"/>
        <v>0.84743797820542544</v>
      </c>
      <c r="I110" s="6">
        <f t="shared" si="158"/>
        <v>0.79388605836035198</v>
      </c>
      <c r="J110" s="6">
        <f t="shared" si="158"/>
        <v>0.63847045191193508</v>
      </c>
      <c r="K110" s="6">
        <f t="shared" si="158"/>
        <v>9.3721144967682357E-2</v>
      </c>
      <c r="L110" s="6">
        <f t="shared" si="158"/>
        <v>0.84345416762872316</v>
      </c>
      <c r="M110" s="6">
        <f t="shared" si="158"/>
        <v>0.74751445086705204</v>
      </c>
      <c r="N110" s="6">
        <f t="shared" si="158"/>
        <v>0.51802218114602583</v>
      </c>
      <c r="O110" s="6">
        <f t="shared" si="158"/>
        <v>-2.6814609338881183E-2</v>
      </c>
      <c r="P110" s="6">
        <f t="shared" si="158"/>
        <v>0.95491329479768783</v>
      </c>
      <c r="Q110" s="6">
        <f t="shared" si="158"/>
        <v>0.90518038852913973</v>
      </c>
      <c r="R110" s="6">
        <f t="shared" si="158"/>
        <v>0.42077261161230628</v>
      </c>
      <c r="S110" s="6">
        <f t="shared" si="158"/>
        <v>3.6658932714617169E-2</v>
      </c>
      <c r="T110" s="6">
        <f t="shared" si="158"/>
        <v>0.7340450220468786</v>
      </c>
      <c r="U110" s="6">
        <f t="shared" si="158"/>
        <v>-0.40083507306889354</v>
      </c>
      <c r="V110" s="6">
        <f>V108/V109</f>
        <v>0.73056393594801583</v>
      </c>
      <c r="AJ110" s="6">
        <f t="shared" si="149"/>
        <v>2.0177306145295169</v>
      </c>
      <c r="AK110" s="6">
        <f t="shared" si="150"/>
        <v>2.6094903324526371</v>
      </c>
      <c r="AL110" s="6">
        <f t="shared" si="151"/>
        <v>2.2027119446094834</v>
      </c>
      <c r="AM110" s="6">
        <f t="shared" si="152"/>
        <v>2.2540516856002526</v>
      </c>
      <c r="AN110" s="6">
        <f t="shared" si="153"/>
        <v>1.100432817640618</v>
      </c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</row>
  </sheetData>
  <pageMargins left="0.7" right="0.7" top="0.75" bottom="0.75" header="0.3" footer="0.3"/>
  <ignoredErrors>
    <ignoredError sqref="N13:N14 AJ38:AN42 AJ43:AJ46 AJ104:AN104" formulaRange="1"/>
    <ignoredError sqref="R36 V36 G43:V43 G45:V45 F36:N36 J62 F91" formula="1"/>
    <ignoredError sqref="AK43:AN46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2025-05-24T03:34:30Z</dcterms:modified>
</cp:coreProperties>
</file>