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User\Desktop\Equity Research\Models\Financials\"/>
    </mc:Choice>
  </mc:AlternateContent>
  <xr:revisionPtr revIDLastSave="0" documentId="13_ncr:1_{4EEC9DEB-8DB8-40BA-B180-13E622504460}" xr6:coauthVersionLast="47" xr6:coauthVersionMax="47" xr10:uidLastSave="{00000000-0000-0000-0000-000000000000}"/>
  <bookViews>
    <workbookView xWindow="28680" yWindow="-120" windowWidth="29040" windowHeight="15720" activeTab="1" xr2:uid="{00000000-000D-0000-FFFF-FFFF00000000}"/>
  </bookViews>
  <sheets>
    <sheet name="Main | Overview" sheetId="1" r:id="rId1"/>
    <sheet name="Model" sheetId="2" r:id="rId2"/>
    <sheet name="Notes | Quant Analysis" sheetId="6" r:id="rId3"/>
    <sheet name="Balance Sheet Scope" sheetId="5" r:id="rId4"/>
    <sheet name="Cash Flow Scope" sheetId="3" r:id="rId5"/>
    <sheet name="PayPal" sheetId="7" r:id="rId6"/>
    <sheet name="PayPal Credit" sheetId="8" r:id="rId7"/>
    <sheet name="Braintree" sheetId="10" r:id="rId8"/>
    <sheet name="Venmo" sheetId="9" r:id="rId9"/>
    <sheet name="Xoom" sheetId="11" r:id="rId10"/>
    <sheet name="Hyperwallet" sheetId="12" r:id="rId11"/>
    <sheet name="Honey" sheetId="13" r:id="rId12"/>
    <sheet name="Paidy" sheetId="1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94" i="2" l="1"/>
  <c r="W90" i="2"/>
  <c r="W96" i="2"/>
  <c r="W73" i="2"/>
  <c r="W69" i="2"/>
  <c r="W71" i="2" s="1"/>
  <c r="W62" i="2"/>
  <c r="W23" i="2"/>
  <c r="W22" i="2"/>
  <c r="W17" i="2"/>
  <c r="W24" i="2" s="1"/>
  <c r="W11" i="2"/>
  <c r="W10" i="2"/>
  <c r="W5" i="2"/>
  <c r="W8" i="2" s="1"/>
  <c r="W12" i="2" l="1"/>
  <c r="W20" i="2"/>
  <c r="W29" i="2"/>
  <c r="W37" i="2" s="1"/>
  <c r="W47" i="2" s="1"/>
  <c r="W19" i="2"/>
  <c r="W74" i="2"/>
  <c r="W7" i="2"/>
  <c r="W39" i="2" l="1"/>
  <c r="W41" i="2" s="1"/>
  <c r="W75" i="2" s="1"/>
  <c r="W76" i="2" l="1"/>
  <c r="W43" i="2"/>
  <c r="W48" i="2"/>
  <c r="W78" i="2"/>
  <c r="W91" i="2" s="1"/>
  <c r="W93" i="2" s="1"/>
  <c r="W95" i="2" s="1"/>
  <c r="W99" i="2" s="1"/>
  <c r="W97" i="2" l="1"/>
  <c r="V73" i="2" l="1"/>
  <c r="U73" i="2"/>
  <c r="T73" i="2"/>
  <c r="S73" i="2"/>
  <c r="R73" i="2"/>
  <c r="AQ73" i="2"/>
  <c r="AR73" i="2"/>
  <c r="AD42" i="2"/>
  <c r="AC42" i="2"/>
  <c r="AB42" i="2"/>
  <c r="AA42" i="2"/>
  <c r="Z42" i="2"/>
  <c r="Y42" i="2"/>
  <c r="X42" i="2"/>
  <c r="AE42" i="2"/>
  <c r="AY12"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Q42" i="2"/>
  <c r="AR42" i="2"/>
  <c r="H38" i="6" l="1"/>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G22" i="2"/>
  <c r="K40" i="6" l="1"/>
  <c r="K39" i="6" s="1"/>
  <c r="L42" i="6" s="1"/>
  <c r="K37" i="6"/>
  <c r="K38" i="6"/>
  <c r="AQ26" i="2"/>
  <c r="U23" i="2"/>
  <c r="T23" i="2"/>
  <c r="S23" i="2"/>
  <c r="Q23" i="2"/>
  <c r="P23" i="2"/>
  <c r="O23" i="2"/>
  <c r="U22" i="2"/>
  <c r="T22" i="2"/>
  <c r="S22" i="2"/>
  <c r="Q22" i="2"/>
  <c r="P22" i="2"/>
  <c r="O22" i="2"/>
  <c r="M22" i="2"/>
  <c r="L22" i="2"/>
  <c r="K22" i="2"/>
  <c r="I22" i="2"/>
  <c r="H22" i="2"/>
  <c r="U11" i="2"/>
  <c r="T11" i="2"/>
  <c r="S11" i="2"/>
  <c r="Q11" i="2"/>
  <c r="P11" i="2"/>
  <c r="O11" i="2"/>
  <c r="M11" i="2"/>
  <c r="L11" i="2"/>
  <c r="K11" i="2"/>
  <c r="I11" i="2"/>
  <c r="H11" i="2"/>
  <c r="G11" i="2"/>
  <c r="G10" i="2"/>
  <c r="U10" i="2"/>
  <c r="T10" i="2"/>
  <c r="S10" i="2"/>
  <c r="Q10" i="2"/>
  <c r="P10" i="2"/>
  <c r="O10" i="2"/>
  <c r="M10" i="2"/>
  <c r="L10" i="2"/>
  <c r="K10" i="2"/>
  <c r="I10" i="2"/>
  <c r="H10" i="2"/>
  <c r="AZ12" i="2" l="1"/>
  <c r="BA12" i="2" s="1"/>
  <c r="BB12" i="2" s="1"/>
  <c r="BC12" i="2" s="1"/>
  <c r="BD12" i="2" s="1"/>
  <c r="BE12" i="2" s="1"/>
  <c r="BF12" i="2" s="1"/>
  <c r="BG12" i="2" s="1"/>
  <c r="BH12" i="2" s="1"/>
  <c r="BI12" i="2" s="1"/>
  <c r="BJ12" i="2" s="1"/>
  <c r="BK12" i="2" s="1"/>
  <c r="BL12" i="2" s="1"/>
  <c r="BM12" i="2" s="1"/>
  <c r="BN12" i="2" s="1"/>
  <c r="BO12" i="2" s="1"/>
  <c r="BP12" i="2" s="1"/>
  <c r="BQ12" i="2" s="1"/>
  <c r="BR12" i="2" s="1"/>
  <c r="BS12" i="2" s="1"/>
  <c r="BT12" i="2" s="1"/>
  <c r="BU12" i="2" s="1"/>
  <c r="BV12" i="2" s="1"/>
  <c r="BW12" i="2" s="1"/>
  <c r="BX12" i="2" s="1"/>
  <c r="BY12" i="2" s="1"/>
  <c r="BZ12" i="2" s="1"/>
  <c r="CA12" i="2" s="1"/>
  <c r="CB12" i="2" s="1"/>
  <c r="CC12" i="2" s="1"/>
  <c r="CD12" i="2" s="1"/>
  <c r="CE12" i="2" s="1"/>
  <c r="CF12" i="2" s="1"/>
  <c r="CG12" i="2" s="1"/>
  <c r="CH12" i="2" s="1"/>
  <c r="CI12" i="2" s="1"/>
  <c r="CJ12" i="2" s="1"/>
  <c r="CK12" i="2" s="1"/>
  <c r="CL12" i="2" s="1"/>
  <c r="CM12" i="2" s="1"/>
  <c r="CN12" i="2" s="1"/>
  <c r="CO12" i="2" s="1"/>
  <c r="CP12" i="2" s="1"/>
  <c r="CQ12" i="2" s="1"/>
  <c r="AN89" i="2" l="1"/>
  <c r="AN88" i="2"/>
  <c r="AN86" i="2"/>
  <c r="AN85" i="2"/>
  <c r="AN84" i="2"/>
  <c r="AO89" i="2"/>
  <c r="AO88" i="2"/>
  <c r="AO86" i="2"/>
  <c r="AO85" i="2"/>
  <c r="AO84" i="2"/>
  <c r="AP89" i="2"/>
  <c r="AP88" i="2"/>
  <c r="AP86" i="2"/>
  <c r="AP84" i="2"/>
  <c r="AQ84" i="2"/>
  <c r="AR84" i="2"/>
  <c r="K94" i="2"/>
  <c r="L94" i="2" s="1"/>
  <c r="M94" i="2" s="1"/>
  <c r="O94" i="2"/>
  <c r="H94" i="2"/>
  <c r="I94" i="2" s="1"/>
  <c r="H87" i="2"/>
  <c r="H83" i="2"/>
  <c r="I83" i="2" s="1"/>
  <c r="H82" i="2"/>
  <c r="I82" i="2" s="1"/>
  <c r="H81" i="2"/>
  <c r="I81" i="2" s="1"/>
  <c r="H80" i="2"/>
  <c r="H79" i="2"/>
  <c r="I79" i="2" s="1"/>
  <c r="G90" i="2"/>
  <c r="C94" i="2"/>
  <c r="D87" i="2"/>
  <c r="D83" i="2"/>
  <c r="E83" i="2" s="1"/>
  <c r="F83" i="2" s="1"/>
  <c r="D82" i="2"/>
  <c r="E82" i="2" s="1"/>
  <c r="D81" i="2"/>
  <c r="E81" i="2" s="1"/>
  <c r="D80" i="2"/>
  <c r="E80" i="2" s="1"/>
  <c r="D79" i="2"/>
  <c r="C90" i="2"/>
  <c r="N85" i="2"/>
  <c r="AP85" i="2" s="1"/>
  <c r="L87" i="2"/>
  <c r="M87" i="2" s="1"/>
  <c r="N87" i="2" s="1"/>
  <c r="L83" i="2"/>
  <c r="L82" i="2"/>
  <c r="L81" i="2"/>
  <c r="L80" i="2"/>
  <c r="M80" i="2" s="1"/>
  <c r="L79" i="2"/>
  <c r="M79" i="2" s="1"/>
  <c r="L96" i="2"/>
  <c r="M96" i="2"/>
  <c r="N96" i="2"/>
  <c r="K90" i="2"/>
  <c r="P89" i="2"/>
  <c r="Q89" i="2" s="1"/>
  <c r="P88" i="2"/>
  <c r="P87" i="2"/>
  <c r="Q87" i="2" s="1"/>
  <c r="P86" i="2"/>
  <c r="Q86" i="2" s="1"/>
  <c r="P85" i="2"/>
  <c r="Q85" i="2" s="1"/>
  <c r="P83" i="2"/>
  <c r="Q83" i="2" s="1"/>
  <c r="P82" i="2"/>
  <c r="P81" i="2"/>
  <c r="P80" i="2"/>
  <c r="Q80" i="2" s="1"/>
  <c r="P79" i="2"/>
  <c r="Q79" i="2" s="1"/>
  <c r="O90" i="2"/>
  <c r="T94" i="2"/>
  <c r="R96" i="2"/>
  <c r="Q96" i="2"/>
  <c r="P96" i="2"/>
  <c r="O96" i="2"/>
  <c r="K96" i="2"/>
  <c r="J96" i="2"/>
  <c r="I96" i="2"/>
  <c r="H96" i="2"/>
  <c r="G96" i="2"/>
  <c r="F96" i="2"/>
  <c r="E96" i="2"/>
  <c r="D96" i="2"/>
  <c r="C96" i="2"/>
  <c r="V96" i="2"/>
  <c r="U96" i="2"/>
  <c r="T96" i="2"/>
  <c r="T89" i="2"/>
  <c r="U89" i="2" s="1"/>
  <c r="T88" i="2"/>
  <c r="U88" i="2" s="1"/>
  <c r="T87" i="2"/>
  <c r="U87" i="2" s="1"/>
  <c r="T86" i="2"/>
  <c r="U86" i="2" s="1"/>
  <c r="T85" i="2"/>
  <c r="U85" i="2" s="1"/>
  <c r="T83" i="2"/>
  <c r="U83" i="2" s="1"/>
  <c r="T82" i="2"/>
  <c r="U82" i="2" s="1"/>
  <c r="T81" i="2"/>
  <c r="T80" i="2"/>
  <c r="U80" i="2" s="1"/>
  <c r="T79" i="2"/>
  <c r="U79" i="2" s="1"/>
  <c r="S96" i="2"/>
  <c r="S90" i="2"/>
  <c r="T90" i="2" s="1"/>
  <c r="AO66" i="2"/>
  <c r="AO62" i="2"/>
  <c r="AP66" i="2"/>
  <c r="AP62" i="2"/>
  <c r="AQ69" i="2"/>
  <c r="AQ71" i="2" s="1"/>
  <c r="AQ62" i="2"/>
  <c r="AR69" i="2"/>
  <c r="AR71" i="2" s="1"/>
  <c r="AR62" i="2"/>
  <c r="AP69" i="2" l="1"/>
  <c r="AP71" i="2" s="1"/>
  <c r="AP73" i="2"/>
  <c r="AO69" i="2"/>
  <c r="AO71" i="2" s="1"/>
  <c r="AO73" i="2"/>
  <c r="AO96" i="2"/>
  <c r="N79" i="2"/>
  <c r="AP79" i="2" s="1"/>
  <c r="AQ96" i="2"/>
  <c r="R85" i="2"/>
  <c r="AQ85" i="2" s="1"/>
  <c r="AR96" i="2"/>
  <c r="F81" i="2"/>
  <c r="AN81" i="2" s="1"/>
  <c r="E87" i="2"/>
  <c r="F87" i="2" s="1"/>
  <c r="V86" i="2"/>
  <c r="AR86" i="2" s="1"/>
  <c r="AP87" i="2"/>
  <c r="AN96" i="2"/>
  <c r="AP96" i="2"/>
  <c r="N80" i="2"/>
  <c r="AP80" i="2" s="1"/>
  <c r="J94" i="2"/>
  <c r="AO94" i="2" s="1"/>
  <c r="R79" i="2"/>
  <c r="AQ79" i="2" s="1"/>
  <c r="R80" i="2"/>
  <c r="AQ80" i="2" s="1"/>
  <c r="L90" i="2"/>
  <c r="M90" i="2" s="1"/>
  <c r="N94" i="2"/>
  <c r="AP94" i="2" s="1"/>
  <c r="P90" i="2"/>
  <c r="Q90" i="2" s="1"/>
  <c r="R90" i="2" s="1"/>
  <c r="M81" i="2"/>
  <c r="N81" i="2" s="1"/>
  <c r="H90" i="2"/>
  <c r="I90" i="2" s="1"/>
  <c r="AN83" i="2"/>
  <c r="F82" i="2"/>
  <c r="AN82" i="2" s="1"/>
  <c r="P94" i="2"/>
  <c r="R89" i="2"/>
  <c r="AQ89" i="2" s="1"/>
  <c r="I87" i="2"/>
  <c r="J87" i="2" s="1"/>
  <c r="V79" i="2"/>
  <c r="AR79" i="2" s="1"/>
  <c r="V88" i="2"/>
  <c r="AR88" i="2" s="1"/>
  <c r="Q88" i="2"/>
  <c r="M82" i="2"/>
  <c r="N82" i="2" s="1"/>
  <c r="AP82" i="2" s="1"/>
  <c r="F80" i="2"/>
  <c r="AN80" i="2" s="1"/>
  <c r="J83" i="2"/>
  <c r="AO83" i="2" s="1"/>
  <c r="D94" i="2"/>
  <c r="I80" i="2"/>
  <c r="J80" i="2" s="1"/>
  <c r="AO80" i="2" s="1"/>
  <c r="R86" i="2"/>
  <c r="AQ86" i="2" s="1"/>
  <c r="U81" i="2"/>
  <c r="V81" i="2" s="1"/>
  <c r="AR81" i="2" s="1"/>
  <c r="R87" i="2"/>
  <c r="AQ87" i="2" s="1"/>
  <c r="D90" i="2"/>
  <c r="E90" i="2" s="1"/>
  <c r="V80" i="2"/>
  <c r="AR80" i="2" s="1"/>
  <c r="V89" i="2"/>
  <c r="AR89" i="2" s="1"/>
  <c r="M83" i="2"/>
  <c r="N83" i="2" s="1"/>
  <c r="AP83" i="2" s="1"/>
  <c r="J82" i="2"/>
  <c r="AO82" i="2" s="1"/>
  <c r="J79" i="2"/>
  <c r="AO79" i="2" s="1"/>
  <c r="J81" i="2"/>
  <c r="AO81" i="2" s="1"/>
  <c r="E79" i="2"/>
  <c r="F79" i="2" s="1"/>
  <c r="U90" i="2"/>
  <c r="V90" i="2" s="1"/>
  <c r="V82" i="2"/>
  <c r="AR82" i="2" s="1"/>
  <c r="V83" i="2"/>
  <c r="AR83" i="2" s="1"/>
  <c r="U94" i="2"/>
  <c r="V94" i="2" s="1"/>
  <c r="V85" i="2"/>
  <c r="AR85" i="2" s="1"/>
  <c r="Q81" i="2"/>
  <c r="R81" i="2" s="1"/>
  <c r="Q82" i="2"/>
  <c r="R83" i="2"/>
  <c r="AQ83" i="2" s="1"/>
  <c r="V87" i="2"/>
  <c r="AR87" i="2" s="1"/>
  <c r="AR94" i="2" l="1"/>
  <c r="AN87" i="2"/>
  <c r="N90" i="2"/>
  <c r="AP90" i="2" s="1"/>
  <c r="AR90" i="2"/>
  <c r="AQ90" i="2"/>
  <c r="AP81" i="2"/>
  <c r="Q94" i="2"/>
  <c r="R94" i="2" s="1"/>
  <c r="AQ94" i="2" s="1"/>
  <c r="AQ81" i="2"/>
  <c r="F90" i="2"/>
  <c r="AN90" i="2" s="1"/>
  <c r="R82" i="2"/>
  <c r="AQ82" i="2" s="1"/>
  <c r="E94" i="2"/>
  <c r="F94" i="2" s="1"/>
  <c r="AN79" i="2"/>
  <c r="AO87" i="2"/>
  <c r="J90" i="2"/>
  <c r="AO90" i="2" s="1"/>
  <c r="R88" i="2"/>
  <c r="AQ88" i="2" s="1"/>
  <c r="AN94" i="2" l="1"/>
  <c r="J40" i="2" l="1"/>
  <c r="F40" i="2"/>
  <c r="F38" i="2"/>
  <c r="J38" i="2"/>
  <c r="F36" i="2"/>
  <c r="F35" i="2"/>
  <c r="F34" i="2"/>
  <c r="F33" i="2"/>
  <c r="F32" i="2"/>
  <c r="F31" i="2"/>
  <c r="F30" i="2"/>
  <c r="AP42" i="2"/>
  <c r="AO42" i="2"/>
  <c r="AN42" i="2"/>
  <c r="AN26" i="2"/>
  <c r="AP26" i="2"/>
  <c r="AO26" i="2"/>
  <c r="K66" i="2"/>
  <c r="L66" i="2"/>
  <c r="J66" i="2"/>
  <c r="M66" i="2"/>
  <c r="O66" i="2"/>
  <c r="P66" i="2"/>
  <c r="N66" i="2"/>
  <c r="Q66" i="2"/>
  <c r="S69" i="2"/>
  <c r="U69" i="2"/>
  <c r="T69" i="2"/>
  <c r="R69" i="2"/>
  <c r="V69" i="2"/>
  <c r="J36" i="2"/>
  <c r="J35" i="2"/>
  <c r="J34" i="2"/>
  <c r="J33" i="2"/>
  <c r="J32" i="2"/>
  <c r="J31" i="2"/>
  <c r="J30" i="2"/>
  <c r="N40" i="2"/>
  <c r="N38" i="2"/>
  <c r="N36" i="2"/>
  <c r="N35" i="2"/>
  <c r="N34" i="2"/>
  <c r="N33" i="2"/>
  <c r="N32" i="2"/>
  <c r="N31" i="2"/>
  <c r="N30" i="2"/>
  <c r="R30" i="2"/>
  <c r="AQ30" i="2" s="1"/>
  <c r="R40" i="2"/>
  <c r="AP40" i="2" s="1"/>
  <c r="R38" i="2"/>
  <c r="AQ38" i="2" s="1"/>
  <c r="R36" i="2"/>
  <c r="AQ36" i="2" s="1"/>
  <c r="R35" i="2"/>
  <c r="AQ35" i="2" s="1"/>
  <c r="R34" i="2"/>
  <c r="AN34" i="2" s="1"/>
  <c r="R33" i="2"/>
  <c r="AQ33" i="2" s="1"/>
  <c r="R32" i="2"/>
  <c r="AP32" i="2" s="1"/>
  <c r="R31" i="2"/>
  <c r="AP31" i="2" s="1"/>
  <c r="V40" i="2"/>
  <c r="AR40" i="2" s="1"/>
  <c r="V38" i="2"/>
  <c r="AR38" i="2" s="1"/>
  <c r="V36" i="2"/>
  <c r="AR36" i="2" s="1"/>
  <c r="V35" i="2"/>
  <c r="AR35" i="2" s="1"/>
  <c r="V34" i="2"/>
  <c r="AR34" i="2" s="1"/>
  <c r="V33" i="2"/>
  <c r="AR33" i="2" s="1"/>
  <c r="V32" i="2"/>
  <c r="AR32" i="2" s="1"/>
  <c r="V31" i="2"/>
  <c r="AR31" i="2" s="1"/>
  <c r="V30" i="2"/>
  <c r="AR30" i="2" s="1"/>
  <c r="F15" i="2"/>
  <c r="F4" i="2"/>
  <c r="F3" i="2"/>
  <c r="J15" i="2"/>
  <c r="J4" i="2"/>
  <c r="J3" i="2"/>
  <c r="C16" i="2"/>
  <c r="C17" i="2" s="1"/>
  <c r="C19" i="2" s="1"/>
  <c r="G16" i="2"/>
  <c r="D16" i="2"/>
  <c r="D17" i="2" s="1"/>
  <c r="H16" i="2"/>
  <c r="E16" i="2"/>
  <c r="E17" i="2" s="1"/>
  <c r="I16" i="2"/>
  <c r="J62" i="2"/>
  <c r="E5" i="2"/>
  <c r="E8" i="2" s="1"/>
  <c r="D5" i="2"/>
  <c r="D8" i="2" s="1"/>
  <c r="C5" i="2"/>
  <c r="C8" i="2" s="1"/>
  <c r="I5" i="2"/>
  <c r="H5" i="2"/>
  <c r="G5" i="2"/>
  <c r="N16" i="2"/>
  <c r="N15" i="2"/>
  <c r="N4" i="2"/>
  <c r="N3" i="2"/>
  <c r="R16" i="2"/>
  <c r="R15" i="2"/>
  <c r="R4" i="2"/>
  <c r="R3" i="2"/>
  <c r="V16" i="2"/>
  <c r="V15" i="2"/>
  <c r="V4" i="2"/>
  <c r="V3" i="2"/>
  <c r="T17" i="2"/>
  <c r="S17" i="2"/>
  <c r="Q17" i="2"/>
  <c r="P17" i="2"/>
  <c r="O17" i="2"/>
  <c r="M17" i="2"/>
  <c r="L17" i="2"/>
  <c r="K17" i="2"/>
  <c r="U17" i="2"/>
  <c r="U5" i="2"/>
  <c r="T5" i="2"/>
  <c r="S5" i="2"/>
  <c r="Q5" i="2"/>
  <c r="P5" i="2"/>
  <c r="O5" i="2"/>
  <c r="M5" i="2"/>
  <c r="L5" i="2"/>
  <c r="K5" i="2"/>
  <c r="M69" i="2" l="1"/>
  <c r="M73" i="2"/>
  <c r="P69" i="2"/>
  <c r="P73" i="2"/>
  <c r="J69" i="2"/>
  <c r="J71" i="2" s="1"/>
  <c r="J73" i="2"/>
  <c r="N69" i="2"/>
  <c r="N73" i="2"/>
  <c r="L69" i="2"/>
  <c r="L73" i="2"/>
  <c r="K69" i="2"/>
  <c r="K73" i="2"/>
  <c r="O69" i="2"/>
  <c r="O73" i="2"/>
  <c r="Q69" i="2"/>
  <c r="Q73" i="2"/>
  <c r="J11" i="2"/>
  <c r="T24" i="2"/>
  <c r="J10" i="2"/>
  <c r="J22" i="2"/>
  <c r="U24" i="2"/>
  <c r="O7" i="2"/>
  <c r="O12" i="2"/>
  <c r="AR4" i="2"/>
  <c r="V11" i="2"/>
  <c r="AP4" i="2"/>
  <c r="N11" i="2"/>
  <c r="M8" i="2"/>
  <c r="M12" i="2"/>
  <c r="AP3" i="2"/>
  <c r="N10" i="2"/>
  <c r="I17" i="2"/>
  <c r="I24" i="2" s="1"/>
  <c r="I23" i="2"/>
  <c r="M23" i="2"/>
  <c r="O24" i="2"/>
  <c r="S8" i="2"/>
  <c r="S12" i="2"/>
  <c r="P24" i="2"/>
  <c r="AQ3" i="2"/>
  <c r="R10" i="2"/>
  <c r="G7" i="2"/>
  <c r="G12" i="2"/>
  <c r="H17" i="2"/>
  <c r="H24" i="2" s="1"/>
  <c r="H23" i="2"/>
  <c r="L23" i="2"/>
  <c r="L8" i="2"/>
  <c r="L12" i="2"/>
  <c r="AR15" i="2"/>
  <c r="V22" i="2"/>
  <c r="Q8" i="2"/>
  <c r="Q12" i="2"/>
  <c r="AP16" i="2"/>
  <c r="T8" i="2"/>
  <c r="T12" i="2"/>
  <c r="Q24" i="2"/>
  <c r="AQ4" i="2"/>
  <c r="R11" i="2"/>
  <c r="H7" i="2"/>
  <c r="H12" i="2"/>
  <c r="AR3" i="2"/>
  <c r="V10" i="2"/>
  <c r="P7" i="2"/>
  <c r="P12" i="2"/>
  <c r="AP15" i="2"/>
  <c r="N22" i="2"/>
  <c r="AR16" i="2"/>
  <c r="V23" i="2"/>
  <c r="K8" i="2"/>
  <c r="K12" i="2"/>
  <c r="U8" i="2"/>
  <c r="U12" i="2"/>
  <c r="S24" i="2"/>
  <c r="AQ15" i="2"/>
  <c r="R22" i="2"/>
  <c r="I8" i="2"/>
  <c r="I12" i="2"/>
  <c r="G17" i="2"/>
  <c r="G24" i="2" s="1"/>
  <c r="K23" i="2"/>
  <c r="G23" i="2"/>
  <c r="AQ16" i="2"/>
  <c r="R23" i="2"/>
  <c r="K19" i="2"/>
  <c r="M19" i="2"/>
  <c r="O19" i="2"/>
  <c r="E19" i="2"/>
  <c r="U19" i="2"/>
  <c r="L19" i="2"/>
  <c r="P19" i="2"/>
  <c r="T19" i="2"/>
  <c r="Q20" i="2"/>
  <c r="D19" i="2"/>
  <c r="S19" i="2"/>
  <c r="AO31" i="2"/>
  <c r="AO30" i="2"/>
  <c r="AO34" i="2"/>
  <c r="AN30" i="2"/>
  <c r="AP34" i="2"/>
  <c r="AN31" i="2"/>
  <c r="AQ40" i="2"/>
  <c r="AQ31" i="2"/>
  <c r="AQ32" i="2"/>
  <c r="AN36" i="2"/>
  <c r="AN33" i="2"/>
  <c r="AQ34" i="2"/>
  <c r="AO36" i="2"/>
  <c r="AO33" i="2"/>
  <c r="AP36" i="2"/>
  <c r="AN38" i="2"/>
  <c r="AP33" i="2"/>
  <c r="AN35" i="2"/>
  <c r="AO38" i="2"/>
  <c r="AP30" i="2"/>
  <c r="AN32" i="2"/>
  <c r="AO35" i="2"/>
  <c r="AP38" i="2"/>
  <c r="AN40" i="2"/>
  <c r="AO32" i="2"/>
  <c r="AP35" i="2"/>
  <c r="AO40" i="2"/>
  <c r="AN15" i="2"/>
  <c r="AO3" i="2"/>
  <c r="AO15" i="2"/>
  <c r="AN3" i="2"/>
  <c r="AN4" i="2"/>
  <c r="AO4" i="2"/>
  <c r="E29" i="2"/>
  <c r="E37" i="2" s="1"/>
  <c r="K29" i="2"/>
  <c r="I29" i="2"/>
  <c r="I37" i="2" s="1"/>
  <c r="M29" i="2"/>
  <c r="U29" i="2"/>
  <c r="J16" i="2"/>
  <c r="G29" i="2"/>
  <c r="G37" i="2" s="1"/>
  <c r="O29" i="2"/>
  <c r="H29" i="2"/>
  <c r="H37" i="2" s="1"/>
  <c r="P29" i="2"/>
  <c r="Q29" i="2"/>
  <c r="E20" i="2"/>
  <c r="F16" i="2"/>
  <c r="S29" i="2"/>
  <c r="C29" i="2"/>
  <c r="C37" i="2" s="1"/>
  <c r="D29" i="2"/>
  <c r="D37" i="2" s="1"/>
  <c r="L29" i="2"/>
  <c r="T29" i="2"/>
  <c r="T20" i="2"/>
  <c r="U20" i="2"/>
  <c r="L20" i="2"/>
  <c r="K20" i="2"/>
  <c r="M20" i="2"/>
  <c r="O20" i="2"/>
  <c r="S20" i="2"/>
  <c r="D20" i="2"/>
  <c r="K7" i="2"/>
  <c r="H8" i="2"/>
  <c r="P20" i="2"/>
  <c r="C20" i="2"/>
  <c r="Q19" i="2"/>
  <c r="C7" i="2"/>
  <c r="S7" i="2"/>
  <c r="I7" i="2"/>
  <c r="Q7" i="2"/>
  <c r="G8" i="2"/>
  <c r="O8" i="2"/>
  <c r="P8" i="2"/>
  <c r="D7" i="2"/>
  <c r="L7" i="2"/>
  <c r="T7" i="2"/>
  <c r="E7" i="2"/>
  <c r="M7" i="2"/>
  <c r="U7" i="2"/>
  <c r="F5" i="2"/>
  <c r="F29" i="2" s="1"/>
  <c r="F37" i="2" s="1"/>
  <c r="F39" i="2" s="1"/>
  <c r="F41" i="2" s="1"/>
  <c r="J5" i="2"/>
  <c r="V5" i="2"/>
  <c r="AR5" i="2" s="1"/>
  <c r="N17" i="2"/>
  <c r="R17" i="2"/>
  <c r="V17" i="2"/>
  <c r="N5" i="2"/>
  <c r="R5" i="2"/>
  <c r="K37" i="2" l="1"/>
  <c r="L37" i="2"/>
  <c r="T37" i="2"/>
  <c r="T39" i="2" s="1"/>
  <c r="T41" i="2" s="1"/>
  <c r="U37" i="2"/>
  <c r="M37" i="2"/>
  <c r="F78" i="2"/>
  <c r="F91" i="2" s="1"/>
  <c r="F93" i="2" s="1"/>
  <c r="F95" i="2" s="1"/>
  <c r="F99" i="2" s="1"/>
  <c r="AS3" i="2"/>
  <c r="AR10" i="2"/>
  <c r="AR8" i="2"/>
  <c r="AS4" i="2"/>
  <c r="AQ11" i="2"/>
  <c r="I20" i="2"/>
  <c r="G19" i="2"/>
  <c r="K24" i="2"/>
  <c r="G20" i="2"/>
  <c r="AQ10" i="2"/>
  <c r="R12" i="2"/>
  <c r="J12" i="2"/>
  <c r="AQ22" i="2"/>
  <c r="AR11" i="2"/>
  <c r="V24" i="2"/>
  <c r="AP10" i="2"/>
  <c r="AR23" i="2"/>
  <c r="AR22" i="2"/>
  <c r="AO16" i="2"/>
  <c r="AP23" i="2" s="1"/>
  <c r="J23" i="2"/>
  <c r="H20" i="2"/>
  <c r="M24" i="2"/>
  <c r="N12" i="2"/>
  <c r="R24" i="2"/>
  <c r="AQ23" i="2"/>
  <c r="I19" i="2"/>
  <c r="N23" i="2"/>
  <c r="L24" i="2"/>
  <c r="V12" i="2"/>
  <c r="H19" i="2"/>
  <c r="F43" i="2"/>
  <c r="F48" i="2"/>
  <c r="Q37" i="2"/>
  <c r="P37" i="2"/>
  <c r="AO11" i="2"/>
  <c r="O37" i="2"/>
  <c r="S37" i="2"/>
  <c r="V8" i="2"/>
  <c r="J29" i="2"/>
  <c r="F47" i="2"/>
  <c r="R29" i="2"/>
  <c r="AO22" i="2"/>
  <c r="AP22" i="2"/>
  <c r="N29" i="2"/>
  <c r="AO10" i="2"/>
  <c r="AP11" i="2"/>
  <c r="AN5" i="2"/>
  <c r="AN7" i="2" s="1"/>
  <c r="AN16" i="2"/>
  <c r="AO5" i="2"/>
  <c r="AO7" i="2" s="1"/>
  <c r="M39" i="2"/>
  <c r="M41" i="2" s="1"/>
  <c r="M47" i="2"/>
  <c r="I39" i="2"/>
  <c r="I41" i="2" s="1"/>
  <c r="I47" i="2"/>
  <c r="L39" i="2"/>
  <c r="L41" i="2" s="1"/>
  <c r="L47" i="2"/>
  <c r="E39" i="2"/>
  <c r="E41" i="2" s="1"/>
  <c r="E47" i="2"/>
  <c r="K39" i="2"/>
  <c r="K41" i="2" s="1"/>
  <c r="K47" i="2"/>
  <c r="D39" i="2"/>
  <c r="D41" i="2" s="1"/>
  <c r="D47" i="2"/>
  <c r="U39" i="2"/>
  <c r="U41" i="2" s="1"/>
  <c r="U47" i="2"/>
  <c r="H39" i="2"/>
  <c r="H41" i="2" s="1"/>
  <c r="H47" i="2"/>
  <c r="C39" i="2"/>
  <c r="C41" i="2" s="1"/>
  <c r="C47" i="2"/>
  <c r="G39" i="2"/>
  <c r="G41" i="2" s="1"/>
  <c r="G47" i="2"/>
  <c r="V29" i="2"/>
  <c r="J8" i="2"/>
  <c r="F8" i="2"/>
  <c r="AQ5" i="2"/>
  <c r="AP5" i="2"/>
  <c r="AR17" i="2"/>
  <c r="V20" i="2"/>
  <c r="V19" i="2"/>
  <c r="AQ17" i="2"/>
  <c r="R20" i="2"/>
  <c r="N8" i="2"/>
  <c r="R19" i="2"/>
  <c r="J17" i="2"/>
  <c r="N24" i="2" s="1"/>
  <c r="AP17" i="2"/>
  <c r="N20" i="2"/>
  <c r="N19" i="2"/>
  <c r="F17" i="2"/>
  <c r="J7" i="2"/>
  <c r="N7" i="2"/>
  <c r="V7" i="2"/>
  <c r="R8" i="2"/>
  <c r="R7" i="2"/>
  <c r="F7" i="2"/>
  <c r="T76" i="2" l="1"/>
  <c r="J37" i="2"/>
  <c r="J74" i="2"/>
  <c r="L76" i="2"/>
  <c r="T47" i="2"/>
  <c r="U76" i="2"/>
  <c r="N37" i="2"/>
  <c r="N39" i="2" s="1"/>
  <c r="N41" i="2" s="1"/>
  <c r="K76" i="2"/>
  <c r="M76" i="2"/>
  <c r="AN41" i="2"/>
  <c r="F97" i="2"/>
  <c r="AT4" i="2"/>
  <c r="AT3" i="2"/>
  <c r="AS5" i="2"/>
  <c r="AR24" i="2"/>
  <c r="AQ24" i="2"/>
  <c r="J24" i="2"/>
  <c r="T78" i="2"/>
  <c r="T91" i="2" s="1"/>
  <c r="T93" i="2" s="1"/>
  <c r="T95" i="2" s="1"/>
  <c r="T99" i="2" s="1"/>
  <c r="I78" i="2"/>
  <c r="I91" i="2" s="1"/>
  <c r="I93" i="2" s="1"/>
  <c r="I95" i="2" s="1"/>
  <c r="I99" i="2" s="1"/>
  <c r="K78" i="2"/>
  <c r="K91" i="2" s="1"/>
  <c r="M78" i="2"/>
  <c r="M91" i="2" s="1"/>
  <c r="M93" i="2" s="1"/>
  <c r="M95" i="2" s="1"/>
  <c r="M99" i="2" s="1"/>
  <c r="H78" i="2"/>
  <c r="H91" i="2" s="1"/>
  <c r="H93" i="2" s="1"/>
  <c r="H95" i="2" s="1"/>
  <c r="H99" i="2" s="1"/>
  <c r="U78" i="2"/>
  <c r="U91" i="2" s="1"/>
  <c r="U93" i="2" s="1"/>
  <c r="U95" i="2" s="1"/>
  <c r="G78" i="2"/>
  <c r="G91" i="2" s="1"/>
  <c r="L78" i="2"/>
  <c r="L91" i="2" s="1"/>
  <c r="L93" i="2" s="1"/>
  <c r="L95" i="2" s="1"/>
  <c r="L97" i="2" s="1"/>
  <c r="AR29" i="2"/>
  <c r="AR74" i="2" s="1"/>
  <c r="D48" i="2"/>
  <c r="D78" i="2"/>
  <c r="D91" i="2" s="1"/>
  <c r="D93" i="2" s="1"/>
  <c r="D95" i="2" s="1"/>
  <c r="C48" i="2"/>
  <c r="C78" i="2"/>
  <c r="E48" i="2"/>
  <c r="E78" i="2"/>
  <c r="E91" i="2" s="1"/>
  <c r="E93" i="2" s="1"/>
  <c r="E95" i="2" s="1"/>
  <c r="M48" i="2"/>
  <c r="P47" i="2"/>
  <c r="U48" i="2"/>
  <c r="Q39" i="2"/>
  <c r="Q41" i="2" s="1"/>
  <c r="J39" i="2"/>
  <c r="J41" i="2" s="1"/>
  <c r="K48" i="2"/>
  <c r="G48" i="2"/>
  <c r="L48" i="2"/>
  <c r="P39" i="2"/>
  <c r="P41" i="2" s="1"/>
  <c r="T48" i="2"/>
  <c r="H48" i="2"/>
  <c r="I48" i="2"/>
  <c r="O47" i="2"/>
  <c r="O39" i="2"/>
  <c r="O41" i="2" s="1"/>
  <c r="S39" i="2"/>
  <c r="S41" i="2" s="1"/>
  <c r="S47" i="2"/>
  <c r="Q47" i="2"/>
  <c r="AN8" i="2"/>
  <c r="AQ7" i="2"/>
  <c r="AQ8" i="2"/>
  <c r="R37" i="2"/>
  <c r="AQ29" i="2"/>
  <c r="AQ74" i="2" s="1"/>
  <c r="AO8" i="2"/>
  <c r="AP12" i="2"/>
  <c r="AP8" i="2"/>
  <c r="AP7" i="2"/>
  <c r="AO29" i="2"/>
  <c r="AO74" i="2" s="1"/>
  <c r="AR12" i="2"/>
  <c r="AR7" i="2"/>
  <c r="AP29" i="2"/>
  <c r="AP74" i="2" s="1"/>
  <c r="AN29" i="2"/>
  <c r="N47" i="2"/>
  <c r="AO12" i="2"/>
  <c r="AQ12" i="2"/>
  <c r="AQ20" i="2"/>
  <c r="AQ19" i="2"/>
  <c r="J47" i="2"/>
  <c r="AO23" i="2"/>
  <c r="AP19" i="2"/>
  <c r="AP20" i="2"/>
  <c r="AR20" i="2"/>
  <c r="AR19" i="2"/>
  <c r="J19" i="2"/>
  <c r="AO17" i="2"/>
  <c r="F19" i="2"/>
  <c r="AN17" i="2"/>
  <c r="AN19" i="2" s="1"/>
  <c r="V37" i="2"/>
  <c r="L43" i="2"/>
  <c r="G43" i="2"/>
  <c r="U43" i="2"/>
  <c r="T43" i="2"/>
  <c r="C43" i="2"/>
  <c r="K43" i="2"/>
  <c r="M43" i="2"/>
  <c r="H43" i="2"/>
  <c r="D43" i="2"/>
  <c r="E43" i="2"/>
  <c r="I43" i="2"/>
  <c r="F20" i="2"/>
  <c r="J20" i="2"/>
  <c r="AP41" i="2" l="1"/>
  <c r="N76" i="2"/>
  <c r="AO41" i="2"/>
  <c r="J76" i="2"/>
  <c r="J75" i="2"/>
  <c r="S76" i="2"/>
  <c r="S75" i="2"/>
  <c r="O76" i="2"/>
  <c r="Q76" i="2"/>
  <c r="Q75" i="2"/>
  <c r="P75" i="2"/>
  <c r="P76" i="2"/>
  <c r="AN37" i="2"/>
  <c r="AN39" i="2" s="1"/>
  <c r="AN45" i="2"/>
  <c r="AN46" i="2"/>
  <c r="AP37" i="2"/>
  <c r="AP39" i="2" s="1"/>
  <c r="AP45" i="2"/>
  <c r="AP46" i="2"/>
  <c r="AQ37" i="2"/>
  <c r="AQ39" i="2" s="1"/>
  <c r="AQ46" i="2"/>
  <c r="AQ45" i="2"/>
  <c r="AR37" i="2"/>
  <c r="AR39" i="2" s="1"/>
  <c r="AR45" i="2"/>
  <c r="AR46" i="2"/>
  <c r="AO37" i="2"/>
  <c r="AO39" i="2" s="1"/>
  <c r="AO46" i="2"/>
  <c r="AO45" i="2"/>
  <c r="AS29" i="2"/>
  <c r="AS37" i="2" s="1"/>
  <c r="AS40" i="2" s="1"/>
  <c r="AS12" i="2"/>
  <c r="AS8" i="2"/>
  <c r="AS7" i="2"/>
  <c r="M97" i="2"/>
  <c r="AU3" i="2"/>
  <c r="AT5" i="2"/>
  <c r="AU4" i="2"/>
  <c r="I97" i="2"/>
  <c r="H97" i="2"/>
  <c r="T97" i="2"/>
  <c r="AO24" i="2"/>
  <c r="L99" i="2"/>
  <c r="V47" i="2"/>
  <c r="P78" i="2"/>
  <c r="P91" i="2" s="1"/>
  <c r="P93" i="2" s="1"/>
  <c r="P95" i="2" s="1"/>
  <c r="P99" i="2" s="1"/>
  <c r="S78" i="2"/>
  <c r="S91" i="2" s="1"/>
  <c r="N78" i="2"/>
  <c r="N91" i="2" s="1"/>
  <c r="N93" i="2" s="1"/>
  <c r="N95" i="2" s="1"/>
  <c r="N99" i="2" s="1"/>
  <c r="O78" i="2"/>
  <c r="O91" i="2" s="1"/>
  <c r="AP24" i="2"/>
  <c r="Q78" i="2"/>
  <c r="Q91" i="2" s="1"/>
  <c r="Q93" i="2" s="1"/>
  <c r="Q95" i="2" s="1"/>
  <c r="U97" i="2"/>
  <c r="U99" i="2"/>
  <c r="C91" i="2"/>
  <c r="AN78" i="2"/>
  <c r="D97" i="2"/>
  <c r="D99" i="2"/>
  <c r="G93" i="2"/>
  <c r="E97" i="2"/>
  <c r="E99" i="2"/>
  <c r="K93" i="2"/>
  <c r="J78" i="2"/>
  <c r="J43" i="2"/>
  <c r="AO43" i="2" s="1"/>
  <c r="O48" i="2"/>
  <c r="S48" i="2"/>
  <c r="J48" i="2"/>
  <c r="P48" i="2"/>
  <c r="Q48" i="2"/>
  <c r="S43" i="2"/>
  <c r="P43" i="2"/>
  <c r="Q43" i="2"/>
  <c r="N48" i="2"/>
  <c r="R39" i="2"/>
  <c r="R47" i="2"/>
  <c r="AN43" i="2"/>
  <c r="O43" i="2"/>
  <c r="AO20" i="2"/>
  <c r="AO19" i="2"/>
  <c r="N43" i="2"/>
  <c r="AP43" i="2" s="1"/>
  <c r="AN20" i="2"/>
  <c r="V39" i="2"/>
  <c r="V71" i="2"/>
  <c r="U71" i="2"/>
  <c r="T71" i="2"/>
  <c r="S71" i="2"/>
  <c r="R71" i="2"/>
  <c r="Q71" i="2"/>
  <c r="P71" i="2"/>
  <c r="O71" i="2"/>
  <c r="N71" i="2"/>
  <c r="M71" i="2"/>
  <c r="L71" i="2"/>
  <c r="K71" i="2"/>
  <c r="AQ2" i="2"/>
  <c r="AR2" i="2" s="1"/>
  <c r="AS2" i="2" s="1"/>
  <c r="AT2" i="2" s="1"/>
  <c r="AU2" i="2" s="1"/>
  <c r="AV2" i="2" s="1"/>
  <c r="AW2" i="2" s="1"/>
  <c r="AX2" i="2" s="1"/>
  <c r="AY2" i="2" s="1"/>
  <c r="AZ2" i="2" s="1"/>
  <c r="BA2" i="2" s="1"/>
  <c r="BB2" i="2" s="1"/>
  <c r="BC2" i="2" s="1"/>
  <c r="BD2" i="2" s="1"/>
  <c r="BE2" i="2" s="1"/>
  <c r="BF2" i="2" s="1"/>
  <c r="BG2" i="2" s="1"/>
  <c r="BH2" i="2" s="1"/>
  <c r="BI2" i="2" s="1"/>
  <c r="BJ2" i="2" s="1"/>
  <c r="BK2" i="2" s="1"/>
  <c r="BL2" i="2" s="1"/>
  <c r="BM2" i="2" s="1"/>
  <c r="BN2" i="2" s="1"/>
  <c r="BO2" i="2" s="1"/>
  <c r="BP2" i="2" s="1"/>
  <c r="BQ2" i="2" s="1"/>
  <c r="BR2" i="2" s="1"/>
  <c r="BS2" i="2" s="1"/>
  <c r="BT2" i="2" s="1"/>
  <c r="BU2" i="2" s="1"/>
  <c r="BV2" i="2" s="1"/>
  <c r="BW2" i="2" s="1"/>
  <c r="BX2" i="2" s="1"/>
  <c r="BY2" i="2" s="1"/>
  <c r="BZ2" i="2" s="1"/>
  <c r="CA2" i="2" s="1"/>
  <c r="CB2" i="2" s="1"/>
  <c r="CC2" i="2" s="1"/>
  <c r="CD2" i="2" s="1"/>
  <c r="CE2" i="2" s="1"/>
  <c r="CF2" i="2" s="1"/>
  <c r="CG2" i="2" s="1"/>
  <c r="CH2" i="2" s="1"/>
  <c r="CI2" i="2" s="1"/>
  <c r="CJ2" i="2" s="1"/>
  <c r="CK2" i="2" s="1"/>
  <c r="CL2" i="2" s="1"/>
  <c r="CM2" i="2" s="1"/>
  <c r="CN2" i="2" s="1"/>
  <c r="CO2" i="2" s="1"/>
  <c r="CP2" i="2" s="1"/>
  <c r="CQ2" i="2" s="1"/>
  <c r="V62" i="2"/>
  <c r="V74" i="2" s="1"/>
  <c r="U62" i="2"/>
  <c r="T62" i="2"/>
  <c r="S62" i="2"/>
  <c r="S74" i="2" s="1"/>
  <c r="R62" i="2"/>
  <c r="R74" i="2" s="1"/>
  <c r="Q62" i="2"/>
  <c r="Q74" i="2" s="1"/>
  <c r="P62" i="2"/>
  <c r="P74" i="2" s="1"/>
  <c r="O62" i="2"/>
  <c r="O74" i="2" s="1"/>
  <c r="N62" i="2"/>
  <c r="N74" i="2" s="1"/>
  <c r="M62" i="2"/>
  <c r="L62" i="2"/>
  <c r="K62" i="2"/>
  <c r="T74" i="2" l="1"/>
  <c r="T75" i="2"/>
  <c r="AO76" i="2"/>
  <c r="AO75" i="2"/>
  <c r="AN47" i="2"/>
  <c r="M74" i="2"/>
  <c r="M75" i="2"/>
  <c r="N75" i="2"/>
  <c r="L74" i="2"/>
  <c r="L75" i="2"/>
  <c r="U74" i="2"/>
  <c r="U75" i="2"/>
  <c r="K74" i="2"/>
  <c r="K75" i="2"/>
  <c r="O75" i="2"/>
  <c r="AP76" i="2"/>
  <c r="AP75" i="2"/>
  <c r="AP47" i="2"/>
  <c r="AT29" i="2"/>
  <c r="AT37" i="2" s="1"/>
  <c r="AT40" i="2" s="1"/>
  <c r="AT12" i="2"/>
  <c r="AT8" i="2"/>
  <c r="AT7" i="2"/>
  <c r="AV4" i="2"/>
  <c r="AU5" i="2"/>
  <c r="AV3" i="2"/>
  <c r="P97" i="2"/>
  <c r="N97" i="2"/>
  <c r="AP91" i="2"/>
  <c r="AS41" i="2"/>
  <c r="AS48" i="2" s="1"/>
  <c r="AP78" i="2"/>
  <c r="Q97" i="2"/>
  <c r="Q99" i="2"/>
  <c r="C93" i="2"/>
  <c r="AN91" i="2"/>
  <c r="S93" i="2"/>
  <c r="K95" i="2"/>
  <c r="AP93" i="2"/>
  <c r="G95" i="2"/>
  <c r="J91" i="2"/>
  <c r="AO78" i="2"/>
  <c r="O93" i="2"/>
  <c r="AQ47" i="2"/>
  <c r="AR47" i="2"/>
  <c r="AO47" i="2"/>
  <c r="R41" i="2"/>
  <c r="V41" i="2"/>
  <c r="C7" i="1"/>
  <c r="C6" i="1"/>
  <c r="C5" i="1"/>
  <c r="AR41" i="2" l="1"/>
  <c r="V75" i="2"/>
  <c r="V76" i="2"/>
  <c r="AQ41" i="2"/>
  <c r="R76" i="2"/>
  <c r="R75" i="2"/>
  <c r="AU29" i="2"/>
  <c r="AU37" i="2" s="1"/>
  <c r="AU40" i="2" s="1"/>
  <c r="AU12" i="2"/>
  <c r="AU8" i="2"/>
  <c r="AV5" i="2"/>
  <c r="AW3" i="2"/>
  <c r="AU7" i="2"/>
  <c r="AW4" i="2"/>
  <c r="AS43" i="2"/>
  <c r="V78" i="2"/>
  <c r="V91" i="2" s="1"/>
  <c r="R78" i="2"/>
  <c r="R91" i="2" s="1"/>
  <c r="AT41" i="2"/>
  <c r="K97" i="2"/>
  <c r="AP97" i="2" s="1"/>
  <c r="AP95" i="2"/>
  <c r="K99" i="2"/>
  <c r="S95" i="2"/>
  <c r="J93" i="2"/>
  <c r="AO91" i="2"/>
  <c r="C95" i="2"/>
  <c r="AN93" i="2"/>
  <c r="O95" i="2"/>
  <c r="G97" i="2"/>
  <c r="G99" i="2"/>
  <c r="V48" i="2"/>
  <c r="R48" i="2"/>
  <c r="V43" i="2"/>
  <c r="AR43" i="2" s="1"/>
  <c r="R43" i="2"/>
  <c r="AQ43" i="2" s="1"/>
  <c r="AN48" i="2"/>
  <c r="C8" i="1"/>
  <c r="AQ75" i="2" l="1"/>
  <c r="AQ76" i="2"/>
  <c r="AR76" i="2"/>
  <c r="AR75" i="2"/>
  <c r="AQ78" i="2"/>
  <c r="AT43" i="2"/>
  <c r="AT48" i="2"/>
  <c r="AV29" i="2"/>
  <c r="AV37" i="2" s="1"/>
  <c r="AV12" i="2"/>
  <c r="AV8" i="2"/>
  <c r="AV7" i="2"/>
  <c r="AW5" i="2"/>
  <c r="AW8" i="2" s="1"/>
  <c r="AX3" i="2"/>
  <c r="AX4" i="2"/>
  <c r="AR78" i="2"/>
  <c r="AU41" i="2"/>
  <c r="C97" i="2"/>
  <c r="AN97" i="2" s="1"/>
  <c r="AN95" i="2"/>
  <c r="C99" i="2"/>
  <c r="J95" i="2"/>
  <c r="AO93" i="2"/>
  <c r="O97" i="2"/>
  <c r="O99" i="2"/>
  <c r="S97" i="2"/>
  <c r="S99" i="2"/>
  <c r="R93" i="2"/>
  <c r="AQ91" i="2"/>
  <c r="V93" i="2"/>
  <c r="V95" i="2" s="1"/>
  <c r="AR95" i="2" s="1"/>
  <c r="AR91" i="2"/>
  <c r="AQ48" i="2"/>
  <c r="AO48" i="2"/>
  <c r="AP48" i="2"/>
  <c r="AR48" i="2"/>
  <c r="AV40" i="2" l="1"/>
  <c r="AV41" i="2" s="1"/>
  <c r="AU48" i="2"/>
  <c r="AW29" i="2"/>
  <c r="AW37" i="2" s="1"/>
  <c r="AW12" i="2"/>
  <c r="AX5" i="2"/>
  <c r="AW7" i="2"/>
  <c r="AR93" i="2"/>
  <c r="R95" i="2"/>
  <c r="AQ93" i="2"/>
  <c r="J97" i="2"/>
  <c r="AO97" i="2" s="1"/>
  <c r="J99" i="2"/>
  <c r="AO95" i="2"/>
  <c r="AV48" i="2" l="1"/>
  <c r="AW40" i="2"/>
  <c r="AW41" i="2" s="1"/>
  <c r="AX29" i="2"/>
  <c r="AX37" i="2" s="1"/>
  <c r="AX12" i="2"/>
  <c r="AX7" i="2"/>
  <c r="AX8" i="2"/>
  <c r="R97" i="2"/>
  <c r="AQ97" i="2" s="1"/>
  <c r="R99" i="2"/>
  <c r="AQ95" i="2"/>
  <c r="V97" i="2"/>
  <c r="AR97" i="2" s="1"/>
  <c r="V99" i="2"/>
  <c r="AW48" i="2" l="1"/>
  <c r="AX40" i="2"/>
  <c r="AX41" i="2" s="1"/>
  <c r="AY29" i="2"/>
  <c r="AX48" i="2" l="1"/>
  <c r="AZ29" i="2"/>
  <c r="AZ37" i="2" s="1"/>
  <c r="AY37" i="2"/>
  <c r="CM48" i="2" l="1"/>
  <c r="CE48" i="2"/>
  <c r="BW48" i="2"/>
  <c r="BO48" i="2"/>
  <c r="BG48" i="2"/>
  <c r="AY48" i="2"/>
  <c r="CF48" i="2"/>
  <c r="CL48" i="2"/>
  <c r="CD48" i="2"/>
  <c r="BV48" i="2"/>
  <c r="BN48" i="2"/>
  <c r="BF48" i="2"/>
  <c r="CO48" i="2"/>
  <c r="BQ48" i="2"/>
  <c r="BA48" i="2"/>
  <c r="CN48" i="2"/>
  <c r="AZ48" i="2"/>
  <c r="CK48" i="2"/>
  <c r="CC48" i="2"/>
  <c r="BU48" i="2"/>
  <c r="BM48" i="2"/>
  <c r="BE48" i="2"/>
  <c r="BP48" i="2"/>
  <c r="CJ48" i="2"/>
  <c r="CB48" i="2"/>
  <c r="BT48" i="2"/>
  <c r="BL48" i="2"/>
  <c r="BD48" i="2"/>
  <c r="CG48" i="2"/>
  <c r="BI48" i="2"/>
  <c r="BX48" i="2"/>
  <c r="CQ48" i="2"/>
  <c r="CI48" i="2"/>
  <c r="CA48" i="2"/>
  <c r="BS48" i="2"/>
  <c r="BK48" i="2"/>
  <c r="BC48" i="2"/>
  <c r="BH48" i="2"/>
  <c r="CP48" i="2"/>
  <c r="CH48" i="2"/>
  <c r="BZ48" i="2"/>
  <c r="BR48" i="2"/>
  <c r="BJ48" i="2"/>
  <c r="BB48" i="2"/>
  <c r="BY48" i="2"/>
  <c r="AZ40" i="2"/>
  <c r="AZ41" i="2" s="1"/>
  <c r="AY40" i="2"/>
  <c r="AY41" i="2" s="1"/>
  <c r="BA29" i="2"/>
  <c r="BA37" i="2" s="1"/>
  <c r="BA40" i="2" l="1"/>
  <c r="BA41" i="2" s="1"/>
  <c r="BB29" i="2"/>
  <c r="BB37" i="2" s="1"/>
  <c r="BB40" i="2" s="1"/>
  <c r="BC29" i="2" l="1"/>
  <c r="BC37" i="2" s="1"/>
  <c r="BB41" i="2"/>
  <c r="BC40" i="2" l="1"/>
  <c r="BC41" i="2" s="1"/>
  <c r="BD29" i="2"/>
  <c r="BD37" i="2" s="1"/>
  <c r="BD40" i="2" l="1"/>
  <c r="BD41" i="2" s="1"/>
  <c r="BE29" i="2"/>
  <c r="BE37" i="2" s="1"/>
  <c r="BE40" i="2" l="1"/>
  <c r="BE41" i="2" s="1"/>
  <c r="BF29" i="2"/>
  <c r="BF37" i="2" s="1"/>
  <c r="BF40" i="2" s="1"/>
  <c r="BG29" i="2" l="1"/>
  <c r="BG37" i="2" s="1"/>
  <c r="BG40" i="2" s="1"/>
  <c r="BF41" i="2"/>
  <c r="BH29" i="2" l="1"/>
  <c r="BH37" i="2" s="1"/>
  <c r="BG41" i="2"/>
  <c r="BH40" i="2" l="1"/>
  <c r="BH41" i="2" s="1"/>
  <c r="BI29" i="2"/>
  <c r="BI37" i="2" s="1"/>
  <c r="BI40" i="2" l="1"/>
  <c r="BI41" i="2" s="1"/>
  <c r="BJ29" i="2"/>
  <c r="BJ37" i="2" s="1"/>
  <c r="BJ40" i="2" s="1"/>
  <c r="BK29" i="2" l="1"/>
  <c r="BK37" i="2" s="1"/>
  <c r="BK40" i="2" s="1"/>
  <c r="BJ41" i="2"/>
  <c r="BL29" i="2" l="1"/>
  <c r="BL37" i="2" s="1"/>
  <c r="BL40" i="2" s="1"/>
  <c r="BK41" i="2"/>
  <c r="BL41" i="2" l="1"/>
  <c r="BM29" i="2"/>
  <c r="BM37" i="2" s="1"/>
  <c r="BM40" i="2" s="1"/>
  <c r="BN29" i="2" l="1"/>
  <c r="BN37" i="2" s="1"/>
  <c r="BN40" i="2" s="1"/>
  <c r="BM41" i="2"/>
  <c r="BO29" i="2" l="1"/>
  <c r="BO37" i="2" s="1"/>
  <c r="BO40" i="2" s="1"/>
  <c r="BN41" i="2"/>
  <c r="BO41" i="2" l="1"/>
  <c r="BP29" i="2"/>
  <c r="BP37" i="2" s="1"/>
  <c r="BP40" i="2" s="1"/>
  <c r="BP41" i="2" s="1"/>
  <c r="BQ29" i="2" l="1"/>
  <c r="BQ37" i="2" s="1"/>
  <c r="BQ40" i="2" s="1"/>
  <c r="BQ41" i="2" l="1"/>
  <c r="BR29" i="2"/>
  <c r="BR37" i="2" s="1"/>
  <c r="BR40" i="2" s="1"/>
  <c r="BS29" i="2" l="1"/>
  <c r="BS37" i="2" s="1"/>
  <c r="BS40" i="2" s="1"/>
  <c r="BR41" i="2"/>
  <c r="BS41" i="2" l="1"/>
  <c r="BT29" i="2"/>
  <c r="BT37" i="2" s="1"/>
  <c r="BT40" i="2" s="1"/>
  <c r="BT41" i="2" s="1"/>
  <c r="BU29" i="2" l="1"/>
  <c r="BU37" i="2" s="1"/>
  <c r="BU40" i="2" s="1"/>
  <c r="BV29" i="2" l="1"/>
  <c r="BV37" i="2" s="1"/>
  <c r="BV40" i="2" s="1"/>
  <c r="BU41" i="2"/>
  <c r="BW29" i="2"/>
  <c r="BW37" i="2" s="1"/>
  <c r="BW40" i="2" s="1"/>
  <c r="BV41" i="2"/>
  <c r="BX29" i="2" l="1"/>
  <c r="BX37" i="2" s="1"/>
  <c r="BX40" i="2" s="1"/>
  <c r="BW41" i="2"/>
  <c r="BX41" i="2" l="1"/>
  <c r="BY29" i="2"/>
  <c r="BY37" i="2" s="1"/>
  <c r="BY40" i="2" s="1"/>
  <c r="BY41" i="2" l="1"/>
  <c r="BZ29" i="2"/>
  <c r="BZ37" i="2" s="1"/>
  <c r="BZ40" i="2" s="1"/>
  <c r="BZ41" i="2" l="1"/>
  <c r="CA29" i="2"/>
  <c r="CA37" i="2" s="1"/>
  <c r="CA40" i="2" s="1"/>
  <c r="CB29" i="2" l="1"/>
  <c r="CB37" i="2" s="1"/>
  <c r="CB40" i="2" s="1"/>
  <c r="CB41" i="2" l="1"/>
  <c r="CC29" i="2"/>
  <c r="CC37" i="2" s="1"/>
  <c r="CC40" i="2" s="1"/>
  <c r="CA41" i="2"/>
  <c r="CD29" i="2" l="1"/>
  <c r="CD37" i="2" s="1"/>
  <c r="CD40" i="2" s="1"/>
  <c r="CD41" i="2" l="1"/>
  <c r="CE29" i="2"/>
  <c r="CE37" i="2" s="1"/>
  <c r="CE40" i="2" s="1"/>
  <c r="CC41" i="2"/>
  <c r="CE41" i="2" l="1"/>
  <c r="CF29" i="2"/>
  <c r="CF37" i="2" s="1"/>
  <c r="CF40" i="2" s="1"/>
  <c r="CF41" i="2" l="1"/>
  <c r="CG29" i="2"/>
  <c r="CG37" i="2" s="1"/>
  <c r="CG40" i="2" s="1"/>
  <c r="CG41" i="2" l="1"/>
  <c r="CH29" i="2"/>
  <c r="CH37" i="2" s="1"/>
  <c r="CH40" i="2" s="1"/>
  <c r="CI29" i="2" l="1"/>
  <c r="CI37" i="2" s="1"/>
  <c r="CI40" i="2" s="1"/>
  <c r="CH41" i="2" l="1"/>
  <c r="CI41" i="2"/>
  <c r="CJ29" i="2"/>
  <c r="CJ37" i="2" s="1"/>
  <c r="CJ40" i="2" s="1"/>
  <c r="CK29" i="2" l="1"/>
  <c r="CK37" i="2" s="1"/>
  <c r="CK40" i="2" s="1"/>
  <c r="CJ41" i="2"/>
  <c r="CK41" i="2" l="1"/>
  <c r="CL29" i="2"/>
  <c r="CL37" i="2" s="1"/>
  <c r="CL40" i="2" s="1"/>
  <c r="CM29" i="2" l="1"/>
  <c r="CM37" i="2" s="1"/>
  <c r="CM40" i="2" s="1"/>
  <c r="CM41" i="2" l="1"/>
  <c r="CN29" i="2"/>
  <c r="CN37" i="2" s="1"/>
  <c r="CN40" i="2" s="1"/>
  <c r="CL41" i="2"/>
  <c r="CO29" i="2" l="1"/>
  <c r="CO37" i="2" s="1"/>
  <c r="CO40" i="2" s="1"/>
  <c r="CP29" i="2" l="1"/>
  <c r="CP37" i="2" s="1"/>
  <c r="CP40" i="2" s="1"/>
  <c r="CO41" i="2"/>
  <c r="CN41" i="2"/>
  <c r="CQ29" i="2" l="1"/>
  <c r="CQ37" i="2" s="1"/>
  <c r="CQ40" i="2" s="1"/>
  <c r="CP41" i="2"/>
  <c r="CQ41" i="2" l="1"/>
  <c r="AU52" i="2" l="1"/>
  <c r="AU54" i="2" l="1"/>
  <c r="AU56" i="2" s="1"/>
  <c r="AV56"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tc={6FA3413F-0950-48BD-8319-2A8DA9CE50E4}</author>
    <author>tc={38ADF2F8-1B4F-47C7-85FB-0FD1BE23E2EC}</author>
  </authors>
  <commentList>
    <comment ref="AS43" authorId="0" shapeId="0" xr:uid="{6FA3413F-0950-48BD-8319-2A8DA9CE50E4}">
      <text>
        <t xml:space="preserve">[Threaded comment]
Your version of Excel allows you to read this threaded comment; however, any edits to it will get removed if the file is opened in a newer version of Excel. Learn more: https://go.microsoft.com/fwlink/?linkid=870924
Comment:
    4/23/25 FY Estimates - Low: 4.74 High: 5.25 Avg: 5.00
</t>
      </text>
    </comment>
    <comment ref="AT43" authorId="1" shapeId="0" xr:uid="{38ADF2F8-1B4F-47C7-85FB-0FD1BE23E2EC}">
      <text>
        <t>[Threaded comment]
Your version of Excel allows you to read this threaded comment; however, any edits to it will get removed if the file is opened in a newer version of Excel. Learn more: https://go.microsoft.com/fwlink/?linkid=870924
Comment:
    4/15/25 FY Estimates - Low: 4.70 High: 6.01 Avg: 5.56</t>
      </text>
    </comment>
  </commentList>
</comments>
</file>

<file path=xl/sharedStrings.xml><?xml version="1.0" encoding="utf-8"?>
<sst xmlns="http://schemas.openxmlformats.org/spreadsheetml/2006/main" count="541" uniqueCount="500">
  <si>
    <t>PYPL</t>
  </si>
  <si>
    <t xml:space="preserve">Price </t>
  </si>
  <si>
    <t>MC</t>
  </si>
  <si>
    <t>Cash</t>
  </si>
  <si>
    <t>Debt</t>
  </si>
  <si>
    <t>EV</t>
  </si>
  <si>
    <t>FQ1'25</t>
  </si>
  <si>
    <t>Revenues</t>
  </si>
  <si>
    <t>Transaction Revenues</t>
  </si>
  <si>
    <t>Revenues from other VASs</t>
  </si>
  <si>
    <t>Ttl Revenues</t>
  </si>
  <si>
    <t xml:space="preserve">U.S. </t>
  </si>
  <si>
    <t>Primary Geographic Markets (Revenue)</t>
  </si>
  <si>
    <t>International</t>
  </si>
  <si>
    <t>Transaction Expenses</t>
  </si>
  <si>
    <t>Other Income/(Expenses), net</t>
  </si>
  <si>
    <t>Pretax Income</t>
  </si>
  <si>
    <t>Net Income</t>
  </si>
  <si>
    <t xml:space="preserve">PayPal Holdings Inc. </t>
  </si>
  <si>
    <t>Founded: 1998</t>
  </si>
  <si>
    <t>Employees: 24,400</t>
  </si>
  <si>
    <t>Company Overview:</t>
  </si>
  <si>
    <t>Product Lines:</t>
  </si>
  <si>
    <t>Active Users: 434 Mil</t>
  </si>
  <si>
    <t>Q4'24</t>
  </si>
  <si>
    <r>
      <rPr>
        <b/>
        <sz val="11"/>
        <color theme="1"/>
        <rFont val="Calibre"/>
      </rPr>
      <t>As of December 31, 2024</t>
    </r>
    <r>
      <rPr>
        <sz val="11"/>
        <color theme="1"/>
        <rFont val="Calibre"/>
      </rPr>
      <t>, The Company's platforms boast</t>
    </r>
    <r>
      <rPr>
        <b/>
        <sz val="11"/>
        <color theme="1"/>
        <rFont val="Calibre"/>
      </rPr>
      <t xml:space="preserve"> 434 million active accounts (consumers and merchants)</t>
    </r>
    <r>
      <rPr>
        <sz val="11"/>
        <color theme="1"/>
        <rFont val="Calibre"/>
      </rPr>
      <t xml:space="preserve"> across approximately 200 markets.</t>
    </r>
  </si>
  <si>
    <t>Revenue Overview:</t>
  </si>
  <si>
    <r>
      <t xml:space="preserve">The Business facilitates the </t>
    </r>
    <r>
      <rPr>
        <b/>
        <sz val="11"/>
        <color theme="1"/>
        <rFont val="Calibre"/>
      </rPr>
      <t>buying and selling of cryptocurrencies</t>
    </r>
    <r>
      <rPr>
        <sz val="11"/>
        <color theme="1"/>
        <rFont val="Calibre"/>
      </rPr>
      <t xml:space="preserve">, using a </t>
    </r>
    <r>
      <rPr>
        <b/>
        <sz val="11"/>
        <color theme="1"/>
        <rFont val="Calibre"/>
      </rPr>
      <t>fee structure</t>
    </r>
    <r>
      <rPr>
        <sz val="11"/>
        <color theme="1"/>
        <rFont val="Calibre"/>
      </rPr>
      <t xml:space="preserve"> based on the customer's transaction size. Additionally, </t>
    </r>
    <r>
      <rPr>
        <b/>
        <sz val="11"/>
        <color theme="1"/>
        <rFont val="Calibre"/>
      </rPr>
      <t>The Company applies a spread of ~ 0.5%</t>
    </r>
    <r>
      <rPr>
        <sz val="11"/>
        <color theme="1"/>
        <rFont val="Calibre"/>
      </rPr>
      <t xml:space="preserve"> on cryptocurrency purchases and sales</t>
    </r>
  </si>
  <si>
    <r>
      <t xml:space="preserve">The company </t>
    </r>
    <r>
      <rPr>
        <b/>
        <sz val="11"/>
        <color theme="1"/>
        <rFont val="Calibre"/>
      </rPr>
      <t>earns interest on funds</t>
    </r>
    <r>
      <rPr>
        <sz val="11"/>
        <color theme="1"/>
        <rFont val="Calibre"/>
      </rPr>
      <t xml:space="preserve"> held in </t>
    </r>
    <r>
      <rPr>
        <b/>
        <sz val="11"/>
        <color theme="1"/>
        <rFont val="Calibre"/>
      </rPr>
      <t>customer accounts</t>
    </r>
  </si>
  <si>
    <r>
      <t xml:space="preserve">The Company's payments platform allows consumers to </t>
    </r>
    <r>
      <rPr>
        <b/>
        <sz val="11"/>
        <color theme="1"/>
        <rFont val="Calibre"/>
      </rPr>
      <t>send and receive payments in approximately 200 markets</t>
    </r>
    <r>
      <rPr>
        <sz val="11"/>
        <color theme="1"/>
        <rFont val="Calibre"/>
      </rPr>
      <t xml:space="preserve"> and in approximately 100 currencies, withdraw funds to their bank accounts in 56 currencies, and hold balances in their PayPal accounts in 25 currencies.</t>
    </r>
  </si>
  <si>
    <r>
      <rPr>
        <b/>
        <sz val="11"/>
        <color theme="1"/>
        <rFont val="Calibre"/>
      </rPr>
      <t>Sovereign</t>
    </r>
    <r>
      <rPr>
        <sz val="11"/>
        <color theme="1"/>
        <rFont val="Calibre"/>
      </rPr>
      <t xml:space="preserve"> and </t>
    </r>
    <r>
      <rPr>
        <b/>
        <sz val="11"/>
        <color theme="1"/>
        <rFont val="Calibre"/>
      </rPr>
      <t>crypto</t>
    </r>
    <r>
      <rPr>
        <sz val="11"/>
        <color theme="1"/>
        <rFont val="Calibre"/>
      </rPr>
      <t xml:space="preserve"> </t>
    </r>
    <r>
      <rPr>
        <b/>
        <sz val="11"/>
        <color theme="1"/>
        <rFont val="Calibre"/>
      </rPr>
      <t>currencies</t>
    </r>
    <r>
      <rPr>
        <sz val="11"/>
        <color theme="1"/>
        <rFont val="Calibre"/>
      </rPr>
      <t xml:space="preserve"> held ----&gt; Analyze balance sheet/supporting docs to break down itemized list of holdings </t>
    </r>
    <r>
      <rPr>
        <b/>
        <sz val="11"/>
        <color theme="1"/>
        <rFont val="Calibre"/>
      </rPr>
      <t>(see Balance Sheet Scope tab)</t>
    </r>
  </si>
  <si>
    <r>
      <t xml:space="preserve">PayPal earns recurring </t>
    </r>
    <r>
      <rPr>
        <b/>
        <sz val="11"/>
        <color theme="1"/>
        <rFont val="Calibre"/>
      </rPr>
      <t xml:space="preserve">revenue from subscription-based services </t>
    </r>
    <r>
      <rPr>
        <sz val="11"/>
        <color theme="1"/>
        <rFont val="Calibre"/>
      </rPr>
      <t>and</t>
    </r>
    <r>
      <rPr>
        <b/>
        <sz val="11"/>
        <color theme="1"/>
        <rFont val="Calibre"/>
      </rPr>
      <t xml:space="preserve"> gateway fees</t>
    </r>
    <r>
      <rPr>
        <sz val="11"/>
        <color theme="1"/>
        <rFont val="Calibre"/>
      </rPr>
      <t>. Merchants integrate PayPal's payment solutions directly into their e-commerce platforms, paying a fee for the service</t>
    </r>
  </si>
  <si>
    <t xml:space="preserve">The Business provides payment solutions under the PayPal, PayPal Credit, Braintree, Venmo, Xoom, Zettle, Hyperwallet, Honey, and Paidy names. </t>
  </si>
  <si>
    <r>
      <t xml:space="preserve">PayPal manages a </t>
    </r>
    <r>
      <rPr>
        <b/>
        <sz val="11"/>
        <color theme="1"/>
        <rFont val="Calibre"/>
      </rPr>
      <t>consumer and commercial loan portfolio</t>
    </r>
    <r>
      <rPr>
        <sz val="11"/>
        <color theme="1"/>
        <rFont val="Calibre"/>
      </rPr>
      <t xml:space="preserve"> (</t>
    </r>
    <r>
      <rPr>
        <b/>
        <sz val="11"/>
        <color theme="1"/>
        <rFont val="Calibre"/>
      </rPr>
      <t xml:space="preserve">PayPal credit/personal loans </t>
    </r>
    <r>
      <rPr>
        <sz val="11"/>
        <color theme="1"/>
        <rFont val="Calibre"/>
      </rPr>
      <t xml:space="preserve">and </t>
    </r>
    <r>
      <rPr>
        <b/>
        <sz val="11"/>
        <color theme="1"/>
        <rFont val="Calibre"/>
      </rPr>
      <t>commercial</t>
    </r>
    <r>
      <rPr>
        <sz val="11"/>
        <color theme="1"/>
        <rFont val="Calibre"/>
      </rPr>
      <t xml:space="preserve"> </t>
    </r>
    <r>
      <rPr>
        <b/>
        <sz val="11"/>
        <color theme="1"/>
        <rFont val="Calibre"/>
      </rPr>
      <t>working capital loans</t>
    </r>
    <r>
      <rPr>
        <sz val="11"/>
        <color theme="1"/>
        <rFont val="Calibre"/>
      </rPr>
      <t>)</t>
    </r>
  </si>
  <si>
    <t xml:space="preserve">Strategic partnerships integrate PayPal payment processing solutions with other existing networks (Amazon Checkout, Shopify Payments, Global Payments partnership, Fiserv integration, etc.) </t>
  </si>
  <si>
    <t>Transaction Fees from payment processing:</t>
  </si>
  <si>
    <t xml:space="preserve">Payment processing is spread across a multitude of subsidiary platforms (listed above) </t>
  </si>
  <si>
    <r>
      <t xml:space="preserve">PayPal collects </t>
    </r>
    <r>
      <rPr>
        <b/>
        <sz val="11"/>
        <color theme="1"/>
        <rFont val="Calibre"/>
      </rPr>
      <t>referral fees</t>
    </r>
    <r>
      <rPr>
        <sz val="11"/>
        <color theme="1"/>
        <rFont val="Calibre"/>
      </rPr>
      <t xml:space="preserve"> through browser plug-in </t>
    </r>
    <r>
      <rPr>
        <b/>
        <sz val="11"/>
        <color theme="1"/>
        <rFont val="Calibre"/>
      </rPr>
      <t>Honey,</t>
    </r>
    <r>
      <rPr>
        <sz val="11"/>
        <color theme="1"/>
        <rFont val="Calibre"/>
      </rPr>
      <t xml:space="preserve"> as well as through more traditional methods such as</t>
    </r>
    <r>
      <rPr>
        <b/>
        <sz val="11"/>
        <color theme="1"/>
        <rFont val="Calibre"/>
      </rPr>
      <t xml:space="preserve"> partnership agreements </t>
    </r>
    <r>
      <rPr>
        <sz val="11"/>
        <color theme="1"/>
        <rFont val="Calibre"/>
      </rPr>
      <t>from integrating PayPal tools into other networks</t>
    </r>
  </si>
  <si>
    <r>
      <t xml:space="preserve">PayPal charges a </t>
    </r>
    <r>
      <rPr>
        <b/>
        <sz val="11"/>
        <color theme="1"/>
        <rFont val="Calibre"/>
      </rPr>
      <t>currency conversion fee of 3-4%</t>
    </r>
    <r>
      <rPr>
        <sz val="11"/>
        <color theme="1"/>
        <rFont val="Calibre"/>
      </rPr>
      <t xml:space="preserve"> when users need to </t>
    </r>
    <r>
      <rPr>
        <b/>
        <sz val="11"/>
        <color theme="1"/>
        <rFont val="Calibre"/>
      </rPr>
      <t>convert between different currencies (Cross-Currency/Border Transactions)</t>
    </r>
  </si>
  <si>
    <r>
      <t xml:space="preserve">PayPal Holdings, Inc. operates a technology platform that enables </t>
    </r>
    <r>
      <rPr>
        <b/>
        <sz val="11"/>
        <color theme="1"/>
        <rFont val="Calibre"/>
      </rPr>
      <t>digital payments</t>
    </r>
    <r>
      <rPr>
        <sz val="11"/>
        <color theme="1"/>
        <rFont val="Calibre"/>
      </rPr>
      <t xml:space="preserve"> on behalf of both </t>
    </r>
    <r>
      <rPr>
        <b/>
        <sz val="11"/>
        <color theme="1"/>
        <rFont val="Calibre"/>
      </rPr>
      <t>merchants</t>
    </r>
    <r>
      <rPr>
        <sz val="11"/>
        <color theme="1"/>
        <rFont val="Calibre"/>
      </rPr>
      <t xml:space="preserve"> and </t>
    </r>
    <r>
      <rPr>
        <b/>
        <sz val="11"/>
        <color theme="1"/>
        <rFont val="Calibre"/>
      </rPr>
      <t>consumers</t>
    </r>
    <r>
      <rPr>
        <sz val="11"/>
        <color theme="1"/>
        <rFont val="Calibre"/>
      </rPr>
      <t xml:space="preserve"> worldwide.</t>
    </r>
  </si>
  <si>
    <t>PayPal:</t>
  </si>
  <si>
    <t>PayPal Credit:</t>
  </si>
  <si>
    <t>Braintree:</t>
  </si>
  <si>
    <t>Venmo:</t>
  </si>
  <si>
    <t>Xoom:</t>
  </si>
  <si>
    <t>Hyperwallet:</t>
  </si>
  <si>
    <t>Honey:</t>
  </si>
  <si>
    <t>Paidy:</t>
  </si>
  <si>
    <r>
      <t xml:space="preserve">The Company facilitates withdraws to bank accounts in 56 currencies and balance holding in 25 currencies. </t>
    </r>
    <r>
      <rPr>
        <b/>
        <sz val="11"/>
        <color theme="1"/>
        <rFont val="Calibre"/>
      </rPr>
      <t>Cross-boarder transactions are approximately 25% of PayPal's TPV</t>
    </r>
  </si>
  <si>
    <r>
      <rPr>
        <b/>
        <sz val="11"/>
        <color theme="1"/>
        <rFont val="Calibre"/>
      </rPr>
      <t>PayPal is The Company's core digital payment platform</t>
    </r>
    <r>
      <rPr>
        <sz val="11"/>
        <color theme="1"/>
        <rFont val="Calibre"/>
      </rPr>
      <t xml:space="preserve"> that connects consumers and merchants with a secure and convenient way to transact online, in-store, and across borders.</t>
    </r>
  </si>
  <si>
    <r>
      <rPr>
        <sz val="11"/>
        <color theme="1"/>
        <rFont val="Calibre"/>
      </rPr>
      <t xml:space="preserve">PayPal Credit </t>
    </r>
    <r>
      <rPr>
        <b/>
        <sz val="11"/>
        <color theme="1"/>
        <rFont val="Calibre"/>
      </rPr>
      <t xml:space="preserve">allows users to send money online, </t>
    </r>
    <r>
      <rPr>
        <sz val="11"/>
        <color theme="1"/>
        <rFont val="Calibre"/>
      </rPr>
      <t>but a</t>
    </r>
    <r>
      <rPr>
        <b/>
        <sz val="11"/>
        <color theme="1"/>
        <rFont val="Calibre"/>
      </rPr>
      <t xml:space="preserve"> 2.9% + $0.30 fee applies </t>
    </r>
    <r>
      <rPr>
        <sz val="11"/>
        <color theme="1"/>
        <rFont val="Calibre"/>
      </rPr>
      <t>for this feature</t>
    </r>
  </si>
  <si>
    <r>
      <t xml:space="preserve">Braintree is a </t>
    </r>
    <r>
      <rPr>
        <b/>
        <sz val="11"/>
        <color theme="1"/>
        <rFont val="Calibre"/>
      </rPr>
      <t>robust payment gateway and processor</t>
    </r>
    <r>
      <rPr>
        <sz val="11"/>
        <color theme="1"/>
        <rFont val="Calibre"/>
      </rPr>
      <t xml:space="preserve"> that offers comprehensive </t>
    </r>
    <r>
      <rPr>
        <b/>
        <sz val="11"/>
        <color theme="1"/>
        <rFont val="Calibre"/>
      </rPr>
      <t>payment solutions for enterprises</t>
    </r>
  </si>
  <si>
    <r>
      <t xml:space="preserve">Transparent pricing model with a </t>
    </r>
    <r>
      <rPr>
        <b/>
        <sz val="11"/>
        <color theme="1"/>
        <rFont val="Calibre"/>
      </rPr>
      <t>standard rate</t>
    </r>
    <r>
      <rPr>
        <sz val="11"/>
        <color theme="1"/>
        <rFont val="Calibre"/>
      </rPr>
      <t xml:space="preserve"> of </t>
    </r>
    <r>
      <rPr>
        <b/>
        <sz val="11"/>
        <color theme="1"/>
        <rFont val="Calibre"/>
      </rPr>
      <t>2.59% + $0.49 per transaction</t>
    </r>
    <r>
      <rPr>
        <sz val="11"/>
        <color theme="1"/>
        <rFont val="Calibre"/>
      </rPr>
      <t xml:space="preserve"> for most payment types</t>
    </r>
  </si>
  <si>
    <r>
      <t xml:space="preserve">Allows for businesses to </t>
    </r>
    <r>
      <rPr>
        <b/>
        <sz val="11"/>
        <color theme="1"/>
        <rFont val="Calibre"/>
      </rPr>
      <t>digitally process transactions</t>
    </r>
    <r>
      <rPr>
        <sz val="11"/>
        <color theme="1"/>
        <rFont val="Calibre"/>
      </rPr>
      <t xml:space="preserve"> through various payment methods </t>
    </r>
    <r>
      <rPr>
        <b/>
        <sz val="11"/>
        <color theme="1"/>
        <rFont val="Calibre"/>
      </rPr>
      <t>including major credit/debit cards, digital wallets</t>
    </r>
    <r>
      <rPr>
        <sz val="11"/>
        <color theme="1"/>
        <rFont val="Calibre"/>
      </rPr>
      <t xml:space="preserve"> (PayPal, Apple Pay, Google Pay), and </t>
    </r>
    <r>
      <rPr>
        <b/>
        <sz val="11"/>
        <color theme="1"/>
        <rFont val="Calibre"/>
      </rPr>
      <t>local payment options</t>
    </r>
  </si>
  <si>
    <r>
      <t xml:space="preserve">Offers </t>
    </r>
    <r>
      <rPr>
        <b/>
        <sz val="11"/>
        <color theme="1"/>
        <rFont val="Calibre"/>
      </rPr>
      <t>additional transaction security</t>
    </r>
    <r>
      <rPr>
        <sz val="11"/>
        <color theme="1"/>
        <rFont val="Calibre"/>
      </rPr>
      <t xml:space="preserve"> for consumers and merchants. </t>
    </r>
  </si>
  <si>
    <r>
      <rPr>
        <b/>
        <sz val="11"/>
        <color theme="1"/>
        <rFont val="Calibre"/>
      </rPr>
      <t>Supports subscription-based businesses</t>
    </r>
    <r>
      <rPr>
        <sz val="11"/>
        <color theme="1"/>
        <rFont val="Calibre"/>
      </rPr>
      <t xml:space="preserve"> with </t>
    </r>
    <r>
      <rPr>
        <b/>
        <sz val="11"/>
        <color theme="1"/>
        <rFont val="Calibre"/>
      </rPr>
      <t>easy-to-manage recurring payment schedules</t>
    </r>
  </si>
  <si>
    <r>
      <rPr>
        <b/>
        <sz val="11"/>
        <color theme="1"/>
        <rFont val="Calibre"/>
      </rPr>
      <t>Offers</t>
    </r>
    <r>
      <rPr>
        <sz val="11"/>
        <color theme="1"/>
        <rFont val="Calibre"/>
      </rPr>
      <t xml:space="preserve"> solutions for</t>
    </r>
    <r>
      <rPr>
        <b/>
        <sz val="11"/>
        <color theme="1"/>
        <rFont val="Calibre"/>
      </rPr>
      <t xml:space="preserve"> </t>
    </r>
    <r>
      <rPr>
        <sz val="11"/>
        <color theme="1"/>
        <rFont val="Calibre"/>
      </rPr>
      <t>seamless</t>
    </r>
    <r>
      <rPr>
        <b/>
        <sz val="11"/>
        <color theme="1"/>
        <rFont val="Calibre"/>
      </rPr>
      <t xml:space="preserve"> mobile payment integration</t>
    </r>
  </si>
  <si>
    <r>
      <t xml:space="preserve">Venmo is a mobile payments app/platform (owned and operated by PayPal) that specializes in </t>
    </r>
    <r>
      <rPr>
        <b/>
        <sz val="11"/>
        <color theme="1"/>
        <rFont val="Calibre"/>
      </rPr>
      <t>peer-to-peer money transfers and payments</t>
    </r>
  </si>
  <si>
    <r>
      <t xml:space="preserve">Facilitates </t>
    </r>
    <r>
      <rPr>
        <b/>
        <sz val="11"/>
        <color theme="1"/>
        <rFont val="Calibre"/>
      </rPr>
      <t>quick and secure money transfers between individuals</t>
    </r>
    <r>
      <rPr>
        <sz val="11"/>
        <color theme="1"/>
        <rFont val="Calibre"/>
      </rPr>
      <t>, commonly used for splitting bills, sharing expenses, or reimbursing friends and family</t>
    </r>
  </si>
  <si>
    <r>
      <t xml:space="preserve">Can be used for </t>
    </r>
    <r>
      <rPr>
        <b/>
        <sz val="11"/>
        <color theme="1"/>
        <rFont val="Calibre"/>
      </rPr>
      <t>purchases with authorized merchants</t>
    </r>
    <r>
      <rPr>
        <sz val="11"/>
        <color theme="1"/>
        <rFont val="Calibre"/>
      </rPr>
      <t xml:space="preserve"> via the Venmo app, in-store QR codes, or Venmo Mastercard Debit Card</t>
    </r>
  </si>
  <si>
    <r>
      <rPr>
        <b/>
        <sz val="11"/>
        <color theme="1"/>
        <rFont val="Calibre"/>
      </rPr>
      <t>Venmo had 68.3 million active users</t>
    </r>
    <r>
      <rPr>
        <sz val="11"/>
        <color theme="1"/>
        <rFont val="Calibre"/>
      </rPr>
      <t xml:space="preserve"> in the </t>
    </r>
    <r>
      <rPr>
        <b/>
        <sz val="11"/>
        <color theme="1"/>
        <rFont val="Calibre"/>
      </rPr>
      <t>U.S. in 2024</t>
    </r>
    <r>
      <rPr>
        <sz val="11"/>
        <color theme="1"/>
        <rFont val="Calibre"/>
      </rPr>
      <t xml:space="preserve">, projected to grow to 72.9 million in 2025. User base is younger, with over </t>
    </r>
    <r>
      <rPr>
        <b/>
        <sz val="11"/>
        <color theme="1"/>
        <rFont val="Calibre"/>
      </rPr>
      <t>83%</t>
    </r>
    <r>
      <rPr>
        <sz val="11"/>
        <color theme="1"/>
        <rFont val="Calibre"/>
      </rPr>
      <t xml:space="preserve"> falling </t>
    </r>
    <r>
      <rPr>
        <b/>
        <sz val="11"/>
        <color theme="1"/>
        <rFont val="Calibre"/>
      </rPr>
      <t>between 18-34 age bracket</t>
    </r>
  </si>
  <si>
    <r>
      <rPr>
        <b/>
        <sz val="11"/>
        <color theme="1"/>
        <rFont val="Calibre"/>
      </rPr>
      <t>P2P transactions are free</t>
    </r>
    <r>
      <rPr>
        <sz val="11"/>
        <color theme="1"/>
        <rFont val="Calibre"/>
      </rPr>
      <t xml:space="preserve"> if funded through a bank account or Venmo balance but </t>
    </r>
    <r>
      <rPr>
        <b/>
        <sz val="11"/>
        <color theme="1"/>
        <rFont val="Calibre"/>
      </rPr>
      <t>incur a 3% fee when funded via credit cards</t>
    </r>
  </si>
  <si>
    <t>Xoom is a digital money transfer service (owned and operated by PayPal) that specializes in fast, secure, and convenient international and domestic money transfers.</t>
  </si>
  <si>
    <t>Designed to help users send money, pay bills, reload mobile phones, and transfer funds globally</t>
  </si>
  <si>
    <r>
      <t>PayPal</t>
    </r>
    <r>
      <rPr>
        <b/>
        <sz val="11"/>
        <color theme="1"/>
        <rFont val="Calibre"/>
      </rPr>
      <t xml:space="preserve"> supports a "digital wallet"</t>
    </r>
    <r>
      <rPr>
        <sz val="11"/>
        <color theme="1"/>
        <rFont val="Calibre"/>
      </rPr>
      <t xml:space="preserve"> and allows for multiple payment methods including Visa, Mastercard, Discover, American Express, traditional bank accounts or direct PayPal account debits</t>
    </r>
  </si>
  <si>
    <t>Net Margin</t>
  </si>
  <si>
    <t>ST Investments</t>
  </si>
  <si>
    <t>G&amp;A Expenses</t>
  </si>
  <si>
    <t>R&amp;D Expenses</t>
  </si>
  <si>
    <t>PP&amp;E</t>
  </si>
  <si>
    <t>Goodwill</t>
  </si>
  <si>
    <t>Intangibles</t>
  </si>
  <si>
    <t>Other Assets</t>
  </si>
  <si>
    <t>Total Assets</t>
  </si>
  <si>
    <t>Q1'22</t>
  </si>
  <si>
    <t>Q2'22</t>
  </si>
  <si>
    <t>Q3'22</t>
  </si>
  <si>
    <t>Q4'22</t>
  </si>
  <si>
    <t>Q1'23</t>
  </si>
  <si>
    <t>Q2'23</t>
  </si>
  <si>
    <t>Q3'23</t>
  </si>
  <si>
    <t>Q4'23</t>
  </si>
  <si>
    <t>Q1'24</t>
  </si>
  <si>
    <t>Q2'24</t>
  </si>
  <si>
    <t>Q3'24</t>
  </si>
  <si>
    <t>Q1'25</t>
  </si>
  <si>
    <t>Q2'25</t>
  </si>
  <si>
    <t>AP</t>
  </si>
  <si>
    <t>AR, net</t>
  </si>
  <si>
    <t>Funds Payable &amp; Amts Due to Customers</t>
  </si>
  <si>
    <t>Prepaid Expenses &amp; Other Current</t>
  </si>
  <si>
    <t>Transaction &amp; Credit Losses</t>
  </si>
  <si>
    <t>Customer Support &amp; Op. Expenses</t>
  </si>
  <si>
    <t>Sales &amp; Marketing Expenses</t>
  </si>
  <si>
    <t>Restructuring &amp; Other Expenses</t>
  </si>
  <si>
    <t>Cash &amp; CEs</t>
  </si>
  <si>
    <t>Loans &amp; Interest Receivable</t>
  </si>
  <si>
    <t>Loans &amp; Interest Receivable, net</t>
  </si>
  <si>
    <t>Funds Receivable &amp; Customer Accounts</t>
  </si>
  <si>
    <r>
      <t xml:space="preserve">PayPal account presents users with a gateway to </t>
    </r>
    <r>
      <rPr>
        <b/>
        <sz val="11"/>
        <color theme="1"/>
        <rFont val="Calibre"/>
      </rPr>
      <t>Buy-Now Pay-Later products</t>
    </r>
  </si>
  <si>
    <r>
      <t>Minimum beginning credit line of $250</t>
    </r>
    <r>
      <rPr>
        <sz val="11"/>
        <color theme="1"/>
        <rFont val="Calibre"/>
      </rPr>
      <t>, which increases or decreases based on periodic account reviews</t>
    </r>
  </si>
  <si>
    <t>Accrued Expenses &amp; Other Current Liab.</t>
  </si>
  <si>
    <t>Other LT Liabilities</t>
  </si>
  <si>
    <t>LT Investments</t>
  </si>
  <si>
    <t>Ttl L + SE</t>
  </si>
  <si>
    <t>SE</t>
  </si>
  <si>
    <t>Total Liabilities</t>
  </si>
  <si>
    <t>Quarterly</t>
  </si>
  <si>
    <t>Oct</t>
  </si>
  <si>
    <t>July</t>
  </si>
  <si>
    <t>Apr</t>
  </si>
  <si>
    <t>Jan</t>
  </si>
  <si>
    <t>U.S. % of Ttl Revenues</t>
  </si>
  <si>
    <t>International % of Ttl Revenues</t>
  </si>
  <si>
    <t>Transcation % of Ttl Revenues</t>
  </si>
  <si>
    <t>VASs % of Ttl Revenues</t>
  </si>
  <si>
    <t>Q1'21</t>
  </si>
  <si>
    <t>Q2'21</t>
  </si>
  <si>
    <t>Q3'21</t>
  </si>
  <si>
    <t>Q4'21</t>
  </si>
  <si>
    <t>Q4'20</t>
  </si>
  <si>
    <t>Q3'20</t>
  </si>
  <si>
    <t>Q2'20</t>
  </si>
  <si>
    <t>Q1'20</t>
  </si>
  <si>
    <t>Fees vary based on factors such as the transfer amount, destination country, payment method, and delivery method</t>
  </si>
  <si>
    <t>Xoom applies a markup (4-6%) on the mid-market exchange rate for currency conversion, which is common among money transfer services</t>
  </si>
  <si>
    <t>Transfers can be made to bank accounts, debit cards, mobile wallets, or for cash pickup at agent locations.</t>
  </si>
  <si>
    <t>Transaction fees: ~90.5% of total revenue</t>
  </si>
  <si>
    <t>VAS and other revenues: ~9.5% of total revenue</t>
  </si>
  <si>
    <t>Value Added Services and other revenue:</t>
  </si>
  <si>
    <r>
      <t xml:space="preserve">The Business </t>
    </r>
    <r>
      <rPr>
        <b/>
        <u/>
        <sz val="11"/>
        <color theme="1"/>
        <rFont val="Calibre"/>
      </rPr>
      <t>primarily</t>
    </r>
    <r>
      <rPr>
        <b/>
        <sz val="11"/>
        <color theme="1"/>
        <rFont val="Calibre"/>
      </rPr>
      <t xml:space="preserve"> earns revenues by charging fees for completing payment transactions</t>
    </r>
    <r>
      <rPr>
        <sz val="11"/>
        <color theme="1"/>
        <rFont val="Calibre"/>
      </rPr>
      <t xml:space="preserve"> for customers and other payment-related services, which are typically </t>
    </r>
    <r>
      <rPr>
        <b/>
        <sz val="11"/>
        <color theme="1"/>
        <rFont val="Calibre"/>
      </rPr>
      <t>based on the volume of activity processed</t>
    </r>
    <r>
      <rPr>
        <sz val="11"/>
        <color theme="1"/>
        <rFont val="Calibre"/>
      </rPr>
      <t xml:space="preserve"> on the payment platforms.</t>
    </r>
  </si>
  <si>
    <t>Operating Income</t>
  </si>
  <si>
    <t xml:space="preserve">Operating Margin </t>
  </si>
  <si>
    <t>Current CEO: James Alexander Chriss (Joined Sep 27, 2023)</t>
  </si>
  <si>
    <r>
      <t>The Business</t>
    </r>
    <r>
      <rPr>
        <b/>
        <sz val="11"/>
        <color theme="1"/>
        <rFont val="Calibre"/>
      </rPr>
      <t xml:space="preserve"> </t>
    </r>
    <r>
      <rPr>
        <sz val="11"/>
        <color theme="1"/>
        <rFont val="Calibre"/>
      </rPr>
      <t>also</t>
    </r>
    <r>
      <rPr>
        <b/>
        <sz val="11"/>
        <color theme="1"/>
        <rFont val="Calibre"/>
      </rPr>
      <t xml:space="preserve"> earns revenue by providing other</t>
    </r>
    <r>
      <rPr>
        <sz val="11"/>
        <color theme="1"/>
        <rFont val="Calibre"/>
      </rPr>
      <t xml:space="preserve"> </t>
    </r>
    <r>
      <rPr>
        <b/>
        <sz val="11"/>
        <color theme="1"/>
        <rFont val="Calibre"/>
      </rPr>
      <t>value added services</t>
    </r>
    <r>
      <rPr>
        <sz val="11"/>
        <color theme="1"/>
        <rFont val="Calibre"/>
      </rPr>
      <t xml:space="preserve">, primarily </t>
    </r>
    <r>
      <rPr>
        <b/>
        <sz val="11"/>
        <color theme="1"/>
        <rFont val="Calibre"/>
      </rPr>
      <t>comprised of partnerships deals/agreements, and interest and fees collected by The Business</t>
    </r>
    <r>
      <rPr>
        <sz val="11"/>
        <color theme="1"/>
        <rFont val="Calibre"/>
      </rPr>
      <t xml:space="preserve"> from consumer and merchant </t>
    </r>
    <r>
      <rPr>
        <b/>
        <sz val="11"/>
        <color theme="1"/>
        <rFont val="Calibre"/>
      </rPr>
      <t>credit products.</t>
    </r>
  </si>
  <si>
    <r>
      <rPr>
        <sz val="11"/>
        <color theme="1"/>
        <rFont val="Calibre"/>
      </rPr>
      <t>The Business</t>
    </r>
    <r>
      <rPr>
        <b/>
        <sz val="11"/>
        <color theme="1"/>
        <rFont val="Calibre"/>
      </rPr>
      <t xml:space="preserve"> </t>
    </r>
    <r>
      <rPr>
        <sz val="11"/>
        <color theme="1"/>
        <rFont val="Calibre"/>
      </rPr>
      <t>also</t>
    </r>
    <r>
      <rPr>
        <b/>
        <sz val="11"/>
        <color theme="1"/>
        <rFont val="Calibre"/>
      </rPr>
      <t xml:space="preserve"> generates revenues from currency conversion</t>
    </r>
    <r>
      <rPr>
        <sz val="11"/>
        <color theme="1"/>
        <rFont val="Calibre"/>
      </rPr>
      <t xml:space="preserve">, for </t>
    </r>
    <r>
      <rPr>
        <b/>
        <sz val="11"/>
        <color theme="1"/>
        <rFont val="Calibre"/>
      </rPr>
      <t>instant transfers from user PayPal or Venmo account</t>
    </r>
    <r>
      <rPr>
        <sz val="11"/>
        <color theme="1"/>
        <rFont val="Calibre"/>
      </rPr>
      <t xml:space="preserve"> </t>
    </r>
    <r>
      <rPr>
        <b/>
        <sz val="11"/>
        <color theme="1"/>
        <rFont val="Calibre"/>
      </rPr>
      <t>to their bank account</t>
    </r>
    <r>
      <rPr>
        <sz val="11"/>
        <color theme="1"/>
        <rFont val="Calibre"/>
      </rPr>
      <t xml:space="preserve"> or debit card, </t>
    </r>
    <r>
      <rPr>
        <b/>
        <sz val="11"/>
        <color theme="1"/>
        <rFont val="Calibre"/>
      </rPr>
      <t>and facilitating the purchase and sale of cryptocurrencies.</t>
    </r>
  </si>
  <si>
    <r>
      <t>The Business also</t>
    </r>
    <r>
      <rPr>
        <b/>
        <sz val="11"/>
        <color theme="1"/>
        <rFont val="Calibre"/>
      </rPr>
      <t xml:space="preserve"> earns interest</t>
    </r>
    <r>
      <rPr>
        <sz val="11"/>
        <color theme="1"/>
        <rFont val="Calibre"/>
      </rPr>
      <t xml:space="preserve"> revenues on certain </t>
    </r>
    <r>
      <rPr>
        <b/>
        <sz val="11"/>
        <color theme="1"/>
        <rFont val="Calibre"/>
      </rPr>
      <t>underlying customer balances</t>
    </r>
    <r>
      <rPr>
        <sz val="11"/>
        <color theme="1"/>
        <rFont val="Calibre"/>
      </rPr>
      <t>,</t>
    </r>
    <r>
      <rPr>
        <b/>
        <sz val="11"/>
        <color theme="1"/>
        <rFont val="Calibre"/>
      </rPr>
      <t xml:space="preserve"> referral fees</t>
    </r>
    <r>
      <rPr>
        <sz val="11"/>
        <color theme="1"/>
        <rFont val="Calibre"/>
      </rPr>
      <t xml:space="preserve">, </t>
    </r>
    <r>
      <rPr>
        <b/>
        <sz val="11"/>
        <color theme="1"/>
        <rFont val="Calibre"/>
      </rPr>
      <t>subscription fees</t>
    </r>
    <r>
      <rPr>
        <sz val="11"/>
        <color theme="1"/>
        <rFont val="Calibre"/>
      </rPr>
      <t xml:space="preserve">, and </t>
    </r>
    <r>
      <rPr>
        <b/>
        <sz val="11"/>
        <color theme="1"/>
        <rFont val="Calibre"/>
      </rPr>
      <t>gateway services</t>
    </r>
    <r>
      <rPr>
        <sz val="11"/>
        <color theme="1"/>
        <rFont val="Calibre"/>
      </rPr>
      <t>.</t>
    </r>
  </si>
  <si>
    <t>Financial Overview</t>
  </si>
  <si>
    <t>LT Debt</t>
  </si>
  <si>
    <t>Q3'25</t>
  </si>
  <si>
    <t>Q4'25</t>
  </si>
  <si>
    <t>Q1'26</t>
  </si>
  <si>
    <t>Q2'26</t>
  </si>
  <si>
    <t>Q3'26</t>
  </si>
  <si>
    <t>Q4'26</t>
  </si>
  <si>
    <t>Notes/observations while working on historicals</t>
  </si>
  <si>
    <t>Dep. and Am.</t>
  </si>
  <si>
    <t>SBC</t>
  </si>
  <si>
    <t>Deffered Income Taxes</t>
  </si>
  <si>
    <t>Net (Gain) Loss on Strategic Investments</t>
  </si>
  <si>
    <t>Accretion of Discounts on Investments</t>
  </si>
  <si>
    <t>Adjustments to Loans &amp; Int. Recieveable</t>
  </si>
  <si>
    <t>Other</t>
  </si>
  <si>
    <t>Originations of Loans Recieveable</t>
  </si>
  <si>
    <t>Proceeds from Repayments</t>
  </si>
  <si>
    <t>WC</t>
  </si>
  <si>
    <t>CFFO</t>
  </si>
  <si>
    <t>CapEx, Net</t>
  </si>
  <si>
    <t>FCF</t>
  </si>
  <si>
    <t>Share Count</t>
  </si>
  <si>
    <t>FCF Per Share</t>
  </si>
  <si>
    <t>Adding SBC Back in</t>
  </si>
  <si>
    <t>Gain on Divestiture</t>
  </si>
  <si>
    <t>Quarter Perspective (in billions)</t>
  </si>
  <si>
    <t>Discount</t>
  </si>
  <si>
    <t>Terminal</t>
  </si>
  <si>
    <t>NPV</t>
  </si>
  <si>
    <t>SC</t>
  </si>
  <si>
    <t>FV</t>
  </si>
  <si>
    <t>Hyperwallet is a global payout platform designed to facilitate mass payments for businesses of various sizes across multiple industries.</t>
  </si>
  <si>
    <t>Enables payouts to 200+ markets in 50+ currencies; supports funding in 28 currencies directly via bank transfer</t>
  </si>
  <si>
    <t>Offers diverse payout options including: Bank deposits, PayPal and Venmo transfers, Prepaid cards (physical and virtual), Checks, Cash pickup, eGift cards</t>
  </si>
  <si>
    <t>Enterprise product: primary target users include small, medium and, large enterprises</t>
  </si>
  <si>
    <t>PayPal Honey aims to simplify the online shopping experience by automatically finding deals, applying coupons, and offering cash back opportunities, all while integrating with PayPal's broader suite of financial services.</t>
  </si>
  <si>
    <t>Searches for and applies the best available coupon codes at checkout on over 30,000 popular websites</t>
  </si>
  <si>
    <t>Users can earn PayPal Rewards points on eligible purchases; Points can be redeemed for cash in your PayPal account or gift cards</t>
  </si>
  <si>
    <t>Compares prices across different Amazon sellers, factoring in shipping costs and Prime status</t>
  </si>
  <si>
    <t>Hyperwallet aims to streamline the global payout process, reduce cross-border payout costs, and provide businesses with a comprehensive solution for managing complex international payments while ensuring regulatory compliance.</t>
  </si>
  <si>
    <t>Allows Japanese shoppers to make online purchases and pay for them monthly in a consolidated bill. Offers payment options including paying the following month or using a 3-Pay (BNPL) installment plan.</t>
  </si>
  <si>
    <t>Paidy uses proprietary technology to score creditworthiness and underwrite transactions</t>
  </si>
  <si>
    <t>PayPal Honey is a free browser extension and mobile app designed to help users save money and earn rewards while shopping online. (17 million members). PayPal acquired Honey in January 2020 for approximately $4 billion.</t>
  </si>
  <si>
    <t>Japanese buy now, pay later platform. (Over 6 million registered users). PayPal acquired Paidy in September 2021 for approximately $2.7 billion.</t>
  </si>
  <si>
    <t>U.S. Revenue Growth Y/y</t>
  </si>
  <si>
    <t xml:space="preserve">International Revenue Growth Y/y </t>
  </si>
  <si>
    <t>Ttl Revenue Growth Y/y</t>
  </si>
  <si>
    <t>Total Revenue Growth Y/y</t>
  </si>
  <si>
    <t>VAS Revenue Growth Y/y</t>
  </si>
  <si>
    <t>Transaction Revenue Growth Y/y</t>
  </si>
  <si>
    <t>TPV</t>
  </si>
  <si>
    <t>$1.68 T</t>
  </si>
  <si>
    <t>$1.53 T</t>
  </si>
  <si>
    <t>Ttl Active Users</t>
  </si>
  <si>
    <t>TPV is the sole most important "macro" figure for PayPal. PayPal's revenues are directly correlated with TPV --&gt; a focus of management should be on network access/boosting conversion rates</t>
  </si>
  <si>
    <r>
      <rPr>
        <b/>
        <sz val="11"/>
        <color theme="1"/>
        <rFont val="Calibre"/>
      </rPr>
      <t>Total Payment Volume (TPV) is a KPI</t>
    </r>
    <r>
      <rPr>
        <sz val="11"/>
        <color theme="1"/>
        <rFont val="Calibre"/>
      </rPr>
      <t xml:space="preserve"> for The Business that provides insight into the businesses current operating scale and growth trajectory. Payment processing is the revenue driver</t>
    </r>
  </si>
  <si>
    <t>$1.36 T</t>
  </si>
  <si>
    <t>$1.25 T</t>
  </si>
  <si>
    <t>$936 B</t>
  </si>
  <si>
    <t>CP</t>
  </si>
  <si>
    <t>Debt Schedule</t>
  </si>
  <si>
    <t>Share Repurchase Program Analysis</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</si>
  <si>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</si>
  <si>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</si>
  <si>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</si>
  <si>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</si>
  <si>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</si>
  <si>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</si>
  <si>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</si>
  <si>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</si>
  <si>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</si>
  <si>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</si>
  <si>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</si>
  <si>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</si>
  <si>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</si>
  <si>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</si>
  <si>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</si>
  <si>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</si>
  <si>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</si>
  <si>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</si>
  <si>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</si>
  <si>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</si>
  <si>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</si>
  <si>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</si>
  <si>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</si>
  <si>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</si>
  <si>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</si>
  <si>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</si>
  <si>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</si>
  <si>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</si>
  <si>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</si>
  <si>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</si>
  <si>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</si>
  <si>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</si>
  <si>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</si>
  <si>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</si>
  <si>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</si>
  <si>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</si>
  <si>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</si>
  <si>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</si>
  <si>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</si>
  <si>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</si>
  <si>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</si>
  <si>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</si>
  <si>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</si>
  <si>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</si>
  <si>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</si>
  <si>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</si>
  <si>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</si>
  <si>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</si>
  <si>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</si>
  <si>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</si>
  <si>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</si>
  <si>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</si>
  <si>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</si>
  <si>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</si>
  <si>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</si>
  <si>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</si>
  <si>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</si>
  <si>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</si>
  <si>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</si>
  <si>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</si>
  <si>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</si>
  <si>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</si>
  <si>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</si>
  <si>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</si>
  <si>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</si>
  <si>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</si>
  <si>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</si>
  <si>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</si>
  <si>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</si>
  <si>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</si>
  <si>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</si>
  <si>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</si>
  <si>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</si>
  <si>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</si>
  <si>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</si>
  <si>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</si>
  <si>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</si>
  <si>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</si>
  <si>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</si>
  <si>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</si>
  <si>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</si>
  <si>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</si>
  <si>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</si>
  <si>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</si>
  <si>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</si>
  <si>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</si>
  <si>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</si>
  <si>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</si>
  <si>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</si>
  <si>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</si>
  <si>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</si>
  <si>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</si>
  <si>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</si>
  <si>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</si>
  <si>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</si>
  <si>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</si>
  <si>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</si>
  <si>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</si>
  <si>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</si>
  <si>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</si>
  <si>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</si>
  <si>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</si>
  <si>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</si>
  <si>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</si>
  <si>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</si>
  <si>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</si>
  <si>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</si>
  <si>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</si>
  <si>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</si>
  <si>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</si>
  <si>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</si>
  <si>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</si>
  <si>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</si>
  <si>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</si>
  <si>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</si>
  <si>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</si>
  <si>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</si>
  <si>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</si>
  <si>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</si>
  <si>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</si>
  <si>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</si>
  <si>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</si>
  <si>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</si>
  <si>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</si>
  <si>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</si>
  <si>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</si>
  <si>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</si>
  <si>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</si>
  <si>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</si>
  <si>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</si>
  <si>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</si>
  <si>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</si>
  <si>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</si>
  <si>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</si>
  <si>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</si>
  <si>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</si>
  <si>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</si>
  <si>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</si>
  <si>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</si>
  <si>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</si>
  <si>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</si>
  <si>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</si>
  <si>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</si>
  <si>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</si>
  <si>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</si>
  <si>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</si>
  <si>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</si>
  <si>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</si>
  <si>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</si>
  <si>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</si>
  <si>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</si>
  <si>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</si>
  <si>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</si>
  <si>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</si>
  <si>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</si>
  <si>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</si>
  <si>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</si>
  <si>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</si>
  <si>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</si>
  <si>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</si>
  <si>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</si>
  <si>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</si>
  <si>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</si>
  <si>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</si>
  <si>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</si>
  <si>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</si>
  <si>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</si>
  <si>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</si>
  <si>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</si>
  <si>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</si>
  <si>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</si>
  <si>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</si>
  <si>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</si>
  <si>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</si>
  <si>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</si>
  <si>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</si>
  <si>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</si>
  <si>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</si>
  <si>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</si>
  <si>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</si>
  <si>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</si>
  <si>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</si>
  <si>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</si>
  <si>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</si>
  <si>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</si>
  <si>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</si>
  <si>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</si>
  <si>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</si>
  <si>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</si>
  <si>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</si>
  <si>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</si>
  <si>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</si>
  <si>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</si>
  <si>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</si>
  <si>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</si>
  <si>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</si>
  <si>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</si>
  <si>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</si>
  <si>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</si>
  <si>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</si>
  <si>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</si>
  <si>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</si>
  <si>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</si>
  <si>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</si>
  <si>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</si>
  <si>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</si>
  <si>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</si>
  <si>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</si>
  <si>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</si>
  <si>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</si>
  <si>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</si>
  <si>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</si>
  <si>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</si>
  <si>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</si>
  <si>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</si>
  <si>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</si>
  <si>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</si>
  <si>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</si>
  <si>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</si>
  <si>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</si>
  <si>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</si>
  <si>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</si>
  <si>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</si>
  <si>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</si>
  <si>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</si>
  <si>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</si>
  <si>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</si>
  <si>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</si>
  <si>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</si>
  <si>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</si>
  <si>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</si>
  <si>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</si>
  <si>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</si>
  <si>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</si>
  <si>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</si>
  <si>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</si>
  <si>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</si>
  <si>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</si>
  <si>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</si>
  <si>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</si>
  <si>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</si>
  <si>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</si>
  <si>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</si>
  <si>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</si>
  <si>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</si>
  <si>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</si>
  <si>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</si>
  <si>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</si>
  <si>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</si>
  <si>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</si>
  <si>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Mean</t>
  </si>
  <si>
    <t>Min</t>
  </si>
  <si>
    <t>Max</t>
  </si>
  <si>
    <t>1D Change</t>
  </si>
  <si>
    <t>UTC Date</t>
  </si>
  <si>
    <t>Volume</t>
  </si>
  <si>
    <t>Open</t>
  </si>
  <si>
    <t>Low</t>
  </si>
  <si>
    <t>High</t>
  </si>
  <si>
    <t>Close</t>
  </si>
  <si>
    <t>PYPL 1 Year Historical Return Histogram (3/26/25)</t>
  </si>
  <si>
    <t xml:space="preserve">balance sheet scope </t>
  </si>
  <si>
    <t>debt schedule</t>
  </si>
  <si>
    <t>PayPal generates revenues through its Paidy platform through transaction fees, late fee charges, interest on installment plans, currency conversion fees and interest on customer funds</t>
  </si>
  <si>
    <t>SD σ</t>
  </si>
  <si>
    <t>&lt;-- Comparing this 3 sigma figure to the recorded Min/Max… we observe a "relatively normal" return distribution</t>
  </si>
  <si>
    <t>3 σ 1-Day Delta: ±</t>
  </si>
  <si>
    <t>A brief observation I had while scoping out the balance sheet was in regards to the refinancing of $1.5 billion in bonds terming out in 2025</t>
  </si>
  <si>
    <t>The notes terming out were issued before the FED hiking cycle beginning Mar. '22, having effective interest rates below 2%</t>
  </si>
  <si>
    <t xml:space="preserve">The newly issued notes have effective interest rates between 4.5-5%, a 2-3x increase in borrowing costs </t>
  </si>
  <si>
    <t>Operating income margin will be important to track very closely for short term modeling</t>
  </si>
  <si>
    <t>Operating margin better tracks the true operating performance on a Q/q basis ex 1 time cash inflows from other incomes and divestments</t>
  </si>
  <si>
    <t>From a macro perspective -&gt; watching credit spreads, default rates and credit revaluations will be important to monitor throughout the year</t>
  </si>
  <si>
    <t>Looking at the CME tool, 3 FED cuts are currently priced in for year end overnight lending rates between 3.5-3.75%</t>
  </si>
  <si>
    <t>Master</t>
  </si>
  <si>
    <t>PayPal operates in many high value markets including:</t>
  </si>
  <si>
    <t>Digital wallets (competing with AAPL, GOOG, XYZ, Zelle)</t>
  </si>
  <si>
    <t>BNPL (competing with AFRM, XYZ and Klarna)</t>
  </si>
  <si>
    <t xml:space="preserve">Operating a traditional payment network/CC offerings (competing with V, MA, and AXP) </t>
  </si>
  <si>
    <t xml:space="preserve">E-Commerce payment processing (competing with XYY, ADYEY, </t>
  </si>
  <si>
    <t>BNPL services allow for a greater sum of users to access "credit" and make transactions they otherwise may have held off on --&gt; increases TPV --&gt; must analyze consumer credit risks to ensure recollection of loaned funds</t>
  </si>
  <si>
    <t>60% of 2025 Coachella tickets were purchased using BNPL services… LMAOO</t>
  </si>
  <si>
    <t>https://www.usatoday.com/story/entertainment/music/2025/04/16/concert-ticket-prices-lead-to-payment-plans/83099353007/</t>
  </si>
  <si>
    <t>R&amp;D as % of Revenues</t>
  </si>
  <si>
    <t>Taxes</t>
  </si>
  <si>
    <t>EPS</t>
  </si>
  <si>
    <t xml:space="preserve">G&amp;A as % of Revenues </t>
  </si>
  <si>
    <t>Current Ratio</t>
  </si>
  <si>
    <t>Return on Assets</t>
  </si>
  <si>
    <t>Return on Equity</t>
  </si>
  <si>
    <t>Ttl Asset Turnover</t>
  </si>
  <si>
    <t>SO</t>
  </si>
  <si>
    <r>
      <t>PayPal Credit is a digital, reusable line of credit</t>
    </r>
    <r>
      <rPr>
        <sz val="11"/>
        <color theme="1"/>
        <rFont val="Calibre"/>
      </rPr>
      <t xml:space="preserve"> that </t>
    </r>
    <r>
      <rPr>
        <b/>
        <sz val="11"/>
        <color theme="1"/>
        <rFont val="Calibre"/>
      </rPr>
      <t>functions similarly to a credit card</t>
    </r>
    <r>
      <rPr>
        <sz val="11"/>
        <color theme="1"/>
        <rFont val="Calibre"/>
      </rPr>
      <t xml:space="preserve"> but without a physical card. </t>
    </r>
  </si>
  <si>
    <r>
      <t xml:space="preserve">Revolving credit line </t>
    </r>
    <r>
      <rPr>
        <sz val="11"/>
        <color theme="1"/>
        <rFont val="Calibre"/>
      </rPr>
      <t xml:space="preserve">that is automatically </t>
    </r>
    <r>
      <rPr>
        <b/>
        <sz val="11"/>
        <color theme="1"/>
        <rFont val="Calibre"/>
      </rPr>
      <t>integrated into the user's PayPal account</t>
    </r>
    <r>
      <rPr>
        <sz val="11"/>
        <color theme="1"/>
        <rFont val="Calibre"/>
      </rPr>
      <t xml:space="preserve"> upon approval</t>
    </r>
  </si>
  <si>
    <t>User growth has stagnated for the last couple of years; TPV is still growing faster than GDP… check against inflation/money supply growth</t>
  </si>
  <si>
    <t>Headquarters: San Jose, CA</t>
  </si>
  <si>
    <t xml:space="preserve">2025 is  expected to see a disproportionately large wave of corporate debt refinancing from the 2020-2021 low rate era. Refinancing will happen at a much higher rate across the board. </t>
  </si>
  <si>
    <t xml:space="preserve">My model is relatively conservative with most future projected figures, except for operating margin (which I believe will see some decent expansion over FY '25 due to Braintree contract renegotiations). I believe PayPal is a decent long around the ($55-65) range and have an initial price target of ~$85… could be an incredible value trap though as there are a few challenges I feel will be difficult for the firm to overcome.  </t>
  </si>
  <si>
    <t>The Company's valuation multiples is discounted in comparison to peers... the firm has anemic user growth, and is continuing to spend on expensive marketing campaigns, all while competing firms continue to seize market share in virtually every category PayPal operates in</t>
  </si>
  <si>
    <t>You could hypothetically lever up 20x on a PayPal position and remain in the clear/unliquidated from a 1-day 3 σ move… will PayPal's day-to-day EQ returns be more volatile going forward? Hahaha, lever up 20x… f around. find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</si>
</sst>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00"/>
    <numFmt numFmtId="166" formatCode="_(&quot;$&quot;* #,##0_);_(&quot;$&quot;* \(#,##0\);_(&quot;$&quot;* &quot;-&quot;??_);_(@_)"/>
  </numFmts>
  <fonts count="11">
    <font>
      <sz val="11"/>
      <color theme="1"/>
      <name val="Calibri"/>
      <family val="2"/>
      <scheme val="minor"/>
    </font>
    <font>
      <sz val="11"/>
      <color theme="1"/>
      <name val="Calibre"/>
    </font>
    <font>
      <b/>
      <sz val="11"/>
      <color theme="1"/>
      <name val="Calibre"/>
    </font>
    <font>
      <b/>
      <u/>
      <sz val="11"/>
      <color theme="1"/>
      <name val="Calibre"/>
    </font>
    <font>
      <sz val="11"/>
      <color theme="4"/>
      <name val="Calibre"/>
    </font>
    <font>
      <b/>
      <sz val="10"/>
      <name val="Calibre"/>
    </font>
    <font>
      <sz val="10"/>
      <name val="Calibre"/>
    </font>
    <font>
      <u/>
      <sz val="11"/>
      <color theme="10"/>
      <name val="Calibri"/>
      <family val="2"/>
      <scheme val="minor"/>
    </font>
    <font>
      <sz val="11"/>
      <color theme="5" tint="-0.749992370372631"/>
      <name val="Calibre"/>
    </font>
    <font>
      <b/>
      <sz val="11"/>
      <color theme="5" tint="-0.749992370372631"/>
      <name val="Calibre"/>
    </font>
    <font>
      <u/>
      <sz val="11"/>
      <color theme="7" tint="-0.499984740745262"/>
      <name val="Calibre"/>
    </font>
  </fonts>
  <fills count="4">
    <fill>
      <patternFill patternType="none"/>
    </fill>
    <fill>
      <patternFill patternType="gray125"/>
    </fill>
    <fill>
      <patternFill patternType="solid">
        <fgColor rgb="FFFF0000"/>
        <bgColor indexed="64"/>
      </patternFill>
    </fill>
    <fill>
      <patternFill patternType="solid">
        <fgColor rgb="FFF5F5F5"/>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14" fontId="1" fillId="0" borderId="0" xfId="0" applyNumberFormat="1" applyFont="1"/>
    <xf numFmtId="44" fontId="1" fillId="0" borderId="0" xfId="0" applyNumberFormat="1" applyFont="1"/>
    <xf numFmtId="10" fontId="1" fillId="0" borderId="0" xfId="0" applyNumberFormat="1" applyFont="1"/>
    <xf numFmtId="2" fontId="1" fillId="0" borderId="0" xfId="0" applyNumberFormat="1" applyFont="1"/>
    <xf numFmtId="164" fontId="1" fillId="0" borderId="0" xfId="0" applyNumberFormat="1" applyFont="1"/>
    <xf numFmtId="9" fontId="1" fillId="0" borderId="0" xfId="0" applyNumberFormat="1" applyFont="1"/>
    <xf numFmtId="1" fontId="1" fillId="0" borderId="0" xfId="0" applyNumberFormat="1" applyFont="1"/>
    <xf numFmtId="0" fontId="1" fillId="2" borderId="0" xfId="0" applyFont="1" applyFill="1"/>
    <xf numFmtId="0" fontId="1" fillId="0" borderId="0" xfId="0" applyFont="1" applyAlignment="1">
      <alignment horizontal="right"/>
    </xf>
    <xf numFmtId="0" fontId="4" fillId="0" borderId="0" xfId="0" applyFont="1"/>
    <xf numFmtId="0" fontId="5" fillId="3" borderId="0" xfId="0" applyFont="1" applyFill="1" applyAlignment="1">
      <alignment horizontal="center" vertical="center"/>
    </xf>
    <xf numFmtId="10" fontId="5" fillId="3" borderId="0" xfId="0" applyNumberFormat="1" applyFont="1" applyFill="1" applyAlignment="1">
      <alignment horizontal="center" vertical="center"/>
    </xf>
    <xf numFmtId="0" fontId="6" fillId="0" borderId="0" xfId="0" applyFont="1"/>
    <xf numFmtId="10" fontId="6" fillId="0" borderId="0" xfId="0" applyNumberFormat="1" applyFont="1"/>
    <xf numFmtId="166" fontId="1" fillId="0" borderId="0" xfId="0" applyNumberFormat="1" applyFont="1"/>
    <xf numFmtId="1" fontId="2" fillId="0" borderId="0" xfId="0" applyNumberFormat="1" applyFont="1"/>
    <xf numFmtId="0" fontId="8" fillId="0" borderId="0" xfId="0" applyFont="1"/>
    <xf numFmtId="0" fontId="9" fillId="0" borderId="0" xfId="0" applyFont="1"/>
    <xf numFmtId="9" fontId="8" fillId="0" borderId="0" xfId="0" applyNumberFormat="1" applyFont="1"/>
    <xf numFmtId="1" fontId="9" fillId="0" borderId="0" xfId="0" applyNumberFormat="1" applyFont="1"/>
    <xf numFmtId="1" fontId="8" fillId="0" borderId="0" xfId="0" applyNumberFormat="1" applyFont="1"/>
    <xf numFmtId="2" fontId="8" fillId="0" borderId="0" xfId="0" applyNumberFormat="1" applyFont="1"/>
    <xf numFmtId="164" fontId="8" fillId="0" borderId="0" xfId="0" applyNumberFormat="1" applyFont="1"/>
    <xf numFmtId="10" fontId="8" fillId="0" borderId="0" xfId="0" applyNumberFormat="1" applyFont="1"/>
    <xf numFmtId="165" fontId="8" fillId="0" borderId="0" xfId="0" applyNumberFormat="1" applyFont="1"/>
    <xf numFmtId="0" fontId="10" fillId="0" borderId="0" xfId="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a:t>
            </a:r>
            <a:r>
              <a:rPr lang="en-US" b="1" baseline="0"/>
              <a:t> </a:t>
            </a:r>
            <a:r>
              <a:rPr lang="en-US" b="1"/>
              <a:t>Revenues</a:t>
            </a:r>
            <a:r>
              <a:rPr lang="en-US" sz="1100" b="1" i="0" u="none" strike="noStrike" kern="1200" spc="0" baseline="0">
                <a:solidFill>
                  <a:sysClr val="windowText" lastClr="000000">
                    <a:lumMod val="65000"/>
                    <a:lumOff val="35000"/>
                  </a:sysClr>
                </a:solidFill>
              </a:rPr>
              <a:t>, </a:t>
            </a:r>
            <a:r>
              <a:rPr lang="en-US" sz="1400" b="1" i="0" u="none" strike="noStrike" kern="1200" spc="0" baseline="0">
                <a:solidFill>
                  <a:sysClr val="windowText" lastClr="000000">
                    <a:lumMod val="65000"/>
                    <a:lumOff val="35000"/>
                  </a:sysClr>
                </a:solidFill>
                <a:latin typeface="+mn-lt"/>
                <a:ea typeface="+mn-ea"/>
                <a:cs typeface="+mn-cs"/>
              </a:rPr>
              <a:t>Net Income, Free </a:t>
            </a:r>
            <a:r>
              <a:rPr lang="en-US" b="1"/>
              <a:t>Cash Flows</a:t>
            </a:r>
          </a:p>
        </c:rich>
      </c:tx>
      <c:layout>
        <c:manualLayout>
          <c:xMode val="edge"/>
          <c:yMode val="edge"/>
          <c:x val="0.30518009765783499"/>
          <c:y val="9.2071596419985666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9600525299547276E-2"/>
          <c:y val="0.14431195693465865"/>
          <c:w val="0.88298155587988192"/>
          <c:h val="0.83780956435206488"/>
        </c:manualLayout>
      </c:layout>
      <c:barChart>
        <c:barDir val="col"/>
        <c:grouping val="clustered"/>
        <c:varyColors val="0"/>
        <c:ser>
          <c:idx val="2"/>
          <c:order val="1"/>
          <c:tx>
            <c:strRef>
              <c:f>Model!$B$41</c:f>
              <c:strCache>
                <c:ptCount val="1"/>
                <c:pt idx="0">
                  <c:v>Net Income</c:v>
                </c:pt>
              </c:strCache>
            </c:strRef>
          </c:tx>
          <c:spPr>
            <a:solidFill>
              <a:schemeClr val="accent3"/>
            </a:solidFill>
            <a:ln>
              <a:noFill/>
            </a:ln>
            <a:effectLst/>
          </c:spPr>
          <c:invertIfNegative val="0"/>
          <c:val>
            <c:numRef>
              <c:f>Model!$C$41:$V$41</c:f>
              <c:numCache>
                <c:formatCode>General</c:formatCode>
                <c:ptCount val="20"/>
                <c:pt idx="0">
                  <c:v>84</c:v>
                </c:pt>
                <c:pt idx="1">
                  <c:v>1530</c:v>
                </c:pt>
                <c:pt idx="2">
                  <c:v>1021</c:v>
                </c:pt>
                <c:pt idx="3">
                  <c:v>1567</c:v>
                </c:pt>
                <c:pt idx="4">
                  <c:v>1097</c:v>
                </c:pt>
                <c:pt idx="5">
                  <c:v>1184</c:v>
                </c:pt>
                <c:pt idx="6">
                  <c:v>1087</c:v>
                </c:pt>
                <c:pt idx="7">
                  <c:v>801</c:v>
                </c:pt>
                <c:pt idx="8">
                  <c:v>509</c:v>
                </c:pt>
                <c:pt idx="9">
                  <c:v>-341</c:v>
                </c:pt>
                <c:pt idx="10">
                  <c:v>1330</c:v>
                </c:pt>
                <c:pt idx="11">
                  <c:v>921</c:v>
                </c:pt>
                <c:pt idx="12">
                  <c:v>795</c:v>
                </c:pt>
                <c:pt idx="13">
                  <c:v>1029</c:v>
                </c:pt>
                <c:pt idx="14">
                  <c:v>1020</c:v>
                </c:pt>
                <c:pt idx="15">
                  <c:v>1402</c:v>
                </c:pt>
                <c:pt idx="16">
                  <c:v>888</c:v>
                </c:pt>
                <c:pt idx="17">
                  <c:v>1128</c:v>
                </c:pt>
                <c:pt idx="18">
                  <c:v>1010</c:v>
                </c:pt>
                <c:pt idx="19">
                  <c:v>1121</c:v>
                </c:pt>
              </c:numCache>
            </c:numRef>
          </c:val>
          <c:extLst>
            <c:ext xmlns:c16="http://schemas.microsoft.com/office/drawing/2014/chart" uri="{C3380CC4-5D6E-409C-BE32-E72D297353CC}">
              <c16:uniqueId val="{00000000-FFED-47F1-B0BF-460E56D7442E}"/>
            </c:ext>
          </c:extLst>
        </c:ser>
        <c:ser>
          <c:idx val="3"/>
          <c:order val="2"/>
          <c:tx>
            <c:strRef>
              <c:f>Model!$B$95</c:f>
              <c:strCache>
                <c:ptCount val="1"/>
                <c:pt idx="0">
                  <c:v>FCF</c:v>
                </c:pt>
              </c:strCache>
            </c:strRef>
          </c:tx>
          <c:spPr>
            <a:solidFill>
              <a:schemeClr val="accent4"/>
            </a:solidFill>
            <a:ln>
              <a:noFill/>
            </a:ln>
            <a:effectLst/>
          </c:spPr>
          <c:invertIfNegative val="0"/>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Model!$C$95:$V$95</c:f>
              <c:numCache>
                <c:formatCode>General</c:formatCode>
                <c:ptCount val="20"/>
                <c:pt idx="0">
                  <c:v>1332</c:v>
                </c:pt>
                <c:pt idx="1">
                  <c:v>1582</c:v>
                </c:pt>
                <c:pt idx="2">
                  <c:v>4158</c:v>
                </c:pt>
                <c:pt idx="3">
                  <c:v>-1599</c:v>
                </c:pt>
                <c:pt idx="4">
                  <c:v>1537</c:v>
                </c:pt>
                <c:pt idx="5">
                  <c:v>2089</c:v>
                </c:pt>
                <c:pt idx="6">
                  <c:v>259</c:v>
                </c:pt>
                <c:pt idx="7">
                  <c:v>2451</c:v>
                </c:pt>
                <c:pt idx="8">
                  <c:v>1029</c:v>
                </c:pt>
                <c:pt idx="9">
                  <c:v>1077</c:v>
                </c:pt>
                <c:pt idx="10">
                  <c:v>1573</c:v>
                </c:pt>
                <c:pt idx="11">
                  <c:v>1433</c:v>
                </c:pt>
                <c:pt idx="12">
                  <c:v>1001</c:v>
                </c:pt>
                <c:pt idx="13">
                  <c:v>-311</c:v>
                </c:pt>
                <c:pt idx="14">
                  <c:v>1105</c:v>
                </c:pt>
                <c:pt idx="15">
                  <c:v>2470</c:v>
                </c:pt>
                <c:pt idx="16">
                  <c:v>1763</c:v>
                </c:pt>
                <c:pt idx="17">
                  <c:v>1368</c:v>
                </c:pt>
                <c:pt idx="18">
                  <c:v>1445</c:v>
                </c:pt>
                <c:pt idx="19">
                  <c:v>2192</c:v>
                </c:pt>
              </c:numCache>
            </c:numRef>
          </c:val>
          <c:extLst xmlns:c15="http://schemas.microsoft.com/office/drawing/2012/chart">
            <c:ext xmlns:c16="http://schemas.microsoft.com/office/drawing/2014/chart" uri="{C3380CC4-5D6E-409C-BE32-E72D297353CC}">
              <c16:uniqueId val="{00000001-E1D9-49A8-AD2E-99638944B629}"/>
            </c:ext>
          </c:extLst>
        </c:ser>
        <c:dLbls>
          <c:showLegendKey val="0"/>
          <c:showVal val="0"/>
          <c:showCatName val="0"/>
          <c:showSerName val="0"/>
          <c:showPercent val="0"/>
          <c:showBubbleSize val="0"/>
        </c:dLbls>
        <c:gapWidth val="219"/>
        <c:axId val="1856879087"/>
        <c:axId val="1856878127"/>
      </c:barChart>
      <c:lineChart>
        <c:grouping val="standard"/>
        <c:varyColors val="0"/>
        <c:ser>
          <c:idx val="0"/>
          <c:order val="0"/>
          <c:tx>
            <c:strRef>
              <c:f>Model!$B$29</c:f>
              <c:strCache>
                <c:ptCount val="1"/>
                <c:pt idx="0">
                  <c:v>Revenues</c:v>
                </c:pt>
              </c:strCache>
            </c:strRef>
          </c:tx>
          <c:spPr>
            <a:ln w="28575" cap="rnd">
              <a:solidFill>
                <a:schemeClr val="accent1"/>
              </a:solidFill>
              <a:round/>
            </a:ln>
            <a:effectLst/>
          </c:spPr>
          <c:marker>
            <c:symbol val="none"/>
          </c:marker>
          <c:cat>
            <c:strRef>
              <c:f>Model!$C$2:$V$2</c:f>
              <c:strCache>
                <c:ptCount val="20"/>
                <c:pt idx="0">
                  <c:v>Q1'20</c:v>
                </c:pt>
                <c:pt idx="1">
                  <c:v>Q2'20</c:v>
                </c:pt>
                <c:pt idx="2">
                  <c:v>Q3'20</c:v>
                </c:pt>
                <c:pt idx="3">
                  <c:v>Q4'20</c:v>
                </c:pt>
                <c:pt idx="4">
                  <c:v>Q1'21</c:v>
                </c:pt>
                <c:pt idx="5">
                  <c:v>Q2'21</c:v>
                </c:pt>
                <c:pt idx="6">
                  <c:v>Q3'21</c:v>
                </c:pt>
                <c:pt idx="7">
                  <c:v>Q4'21</c:v>
                </c:pt>
                <c:pt idx="8">
                  <c:v>Q1'22</c:v>
                </c:pt>
                <c:pt idx="9">
                  <c:v>Q2'22</c:v>
                </c:pt>
                <c:pt idx="10">
                  <c:v>Q3'22</c:v>
                </c:pt>
                <c:pt idx="11">
                  <c:v>Q4'22</c:v>
                </c:pt>
                <c:pt idx="12">
                  <c:v>Q1'23</c:v>
                </c:pt>
                <c:pt idx="13">
                  <c:v>Q2'23</c:v>
                </c:pt>
                <c:pt idx="14">
                  <c:v>Q3'23</c:v>
                </c:pt>
                <c:pt idx="15">
                  <c:v>Q4'23</c:v>
                </c:pt>
                <c:pt idx="16">
                  <c:v>Q1'24</c:v>
                </c:pt>
                <c:pt idx="17">
                  <c:v>Q2'24</c:v>
                </c:pt>
                <c:pt idx="18">
                  <c:v>Q3'24</c:v>
                </c:pt>
                <c:pt idx="19">
                  <c:v>Q4'24</c:v>
                </c:pt>
              </c:strCache>
            </c:strRef>
          </c:cat>
          <c:val>
            <c:numRef>
              <c:f>Model!$C$29:$V$29</c:f>
              <c:numCache>
                <c:formatCode>General</c:formatCode>
                <c:ptCount val="20"/>
                <c:pt idx="0">
                  <c:v>4618</c:v>
                </c:pt>
                <c:pt idx="1">
                  <c:v>5261</c:v>
                </c:pt>
                <c:pt idx="2">
                  <c:v>5459</c:v>
                </c:pt>
                <c:pt idx="3">
                  <c:v>6116</c:v>
                </c:pt>
                <c:pt idx="4">
                  <c:v>6033</c:v>
                </c:pt>
                <c:pt idx="5">
                  <c:v>6238</c:v>
                </c:pt>
                <c:pt idx="6">
                  <c:v>6182</c:v>
                </c:pt>
                <c:pt idx="7">
                  <c:v>6918</c:v>
                </c:pt>
                <c:pt idx="8">
                  <c:v>6483</c:v>
                </c:pt>
                <c:pt idx="9">
                  <c:v>6806</c:v>
                </c:pt>
                <c:pt idx="10">
                  <c:v>6846</c:v>
                </c:pt>
                <c:pt idx="11">
                  <c:v>7383</c:v>
                </c:pt>
                <c:pt idx="12">
                  <c:v>7040</c:v>
                </c:pt>
                <c:pt idx="13">
                  <c:v>7287</c:v>
                </c:pt>
                <c:pt idx="14">
                  <c:v>7418</c:v>
                </c:pt>
                <c:pt idx="15">
                  <c:v>8026</c:v>
                </c:pt>
                <c:pt idx="16">
                  <c:v>7699</c:v>
                </c:pt>
                <c:pt idx="17">
                  <c:v>7885</c:v>
                </c:pt>
                <c:pt idx="18">
                  <c:v>7847</c:v>
                </c:pt>
                <c:pt idx="19">
                  <c:v>8366</c:v>
                </c:pt>
              </c:numCache>
            </c:numRef>
          </c:val>
          <c:smooth val="0"/>
          <c:extLst>
            <c:ext xmlns:c16="http://schemas.microsoft.com/office/drawing/2014/chart" uri="{C3380CC4-5D6E-409C-BE32-E72D297353CC}">
              <c16:uniqueId val="{00000000-17CE-4284-9D2C-ECACB0B38A89}"/>
            </c:ext>
          </c:extLst>
        </c:ser>
        <c:dLbls>
          <c:showLegendKey val="0"/>
          <c:showVal val="0"/>
          <c:showCatName val="0"/>
          <c:showSerName val="0"/>
          <c:showPercent val="0"/>
          <c:showBubbleSize val="0"/>
        </c:dLbls>
        <c:marker val="1"/>
        <c:smooth val="0"/>
        <c:axId val="1856879087"/>
        <c:axId val="1856878127"/>
      </c:lineChart>
      <c:catAx>
        <c:axId val="185687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8127"/>
        <c:crosses val="autoZero"/>
        <c:auto val="1"/>
        <c:lblAlgn val="ctr"/>
        <c:lblOffset val="100"/>
        <c:noMultiLvlLbl val="0"/>
      </c:catAx>
      <c:valAx>
        <c:axId val="1856878127"/>
        <c:scaling>
          <c:orientation val="minMax"/>
          <c:max val="9000"/>
          <c:min val="-2000"/>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6879087"/>
        <c:crosses val="autoZero"/>
        <c:crossBetween val="between"/>
        <c:majorUnit val="1000"/>
      </c:valAx>
      <c:spPr>
        <a:noFill/>
        <a:ln>
          <a:noFill/>
        </a:ln>
        <a:effectLst/>
      </c:spPr>
    </c:plotArea>
    <c:legend>
      <c:legendPos val="r"/>
      <c:layout>
        <c:manualLayout>
          <c:xMode val="edge"/>
          <c:yMode val="edge"/>
          <c:x val="0.29940603967136831"/>
          <c:y val="2.8693714289028449E-2"/>
          <c:w val="0.42424907552211311"/>
          <c:h val="0.15537190641852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0</xdr:rowOff>
    </xdr:from>
    <xdr:to>
      <xdr:col>44</xdr:col>
      <xdr:colOff>0</xdr:colOff>
      <xdr:row>96</xdr:row>
      <xdr:rowOff>152400</xdr:rowOff>
    </xdr:to>
    <xdr:cxnSp macro="">
      <xdr:nvCxnSpPr>
        <xdr:cNvPr id="3" name="Straight Connector 2">
          <a:extLst>
            <a:ext uri="{FF2B5EF4-FFF2-40B4-BE49-F238E27FC236}">
              <a16:creationId xmlns:a16="http://schemas.microsoft.com/office/drawing/2014/main" id="{7BD0CD7F-0781-44F6-B311-F6746EBD6CC5}"/>
            </a:ext>
          </a:extLst>
        </xdr:cNvPr>
        <xdr:cNvCxnSpPr/>
      </xdr:nvCxnSpPr>
      <xdr:spPr>
        <a:xfrm>
          <a:off x="26117550" y="0"/>
          <a:ext cx="0" cy="161639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0</xdr:colOff>
      <xdr:row>0</xdr:row>
      <xdr:rowOff>0</xdr:rowOff>
    </xdr:from>
    <xdr:to>
      <xdr:col>23</xdr:col>
      <xdr:colOff>0</xdr:colOff>
      <xdr:row>98</xdr:row>
      <xdr:rowOff>127187</xdr:rowOff>
    </xdr:to>
    <xdr:cxnSp macro="">
      <xdr:nvCxnSpPr>
        <xdr:cNvPr id="4" name="Straight Connector 3">
          <a:extLst>
            <a:ext uri="{FF2B5EF4-FFF2-40B4-BE49-F238E27FC236}">
              <a16:creationId xmlns:a16="http://schemas.microsoft.com/office/drawing/2014/main" id="{E0A5F678-3BFC-4ED5-A892-E4779B125746}"/>
            </a:ext>
          </a:extLst>
        </xdr:cNvPr>
        <xdr:cNvCxnSpPr/>
      </xdr:nvCxnSpPr>
      <xdr:spPr>
        <a:xfrm>
          <a:off x="16097250" y="0"/>
          <a:ext cx="0" cy="167551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209548</xdr:colOff>
      <xdr:row>3</xdr:row>
      <xdr:rowOff>190498</xdr:rowOff>
    </xdr:from>
    <xdr:to>
      <xdr:col>15</xdr:col>
      <xdr:colOff>0</xdr:colOff>
      <xdr:row>31</xdr:row>
      <xdr:rowOff>0</xdr:rowOff>
    </xdr:to>
    <xdr:graphicFrame macro="">
      <xdr:nvGraphicFramePr>
        <xdr:cNvPr id="2" name="Chart 1">
          <a:extLst>
            <a:ext uri="{FF2B5EF4-FFF2-40B4-BE49-F238E27FC236}">
              <a16:creationId xmlns:a16="http://schemas.microsoft.com/office/drawing/2014/main" id="{570367DB-ECC6-4EBC-8EDA-4058FE15A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acob H" id="{FF96766A-CA98-4257-8D69-1771F2919E73}" userId="6fdd6cd1f6a5d55a" providerId="Windows Live"/>
</personList>
</file>

<file path=xl/theme/theme1.xml><?xml version="1.0" encoding="utf-8"?>
<a:theme xmlns:a="http://schemas.openxmlformats.org/drawingml/2006/main" name="Office Theme">
  <a:themeElements>
    <a:clrScheme name="Custom 1">
      <a:dk1>
        <a:sysClr val="windowText" lastClr="000000"/>
      </a:dk1>
      <a:lt1>
        <a:sysClr val="window" lastClr="FFFFFF"/>
      </a:lt1>
      <a:dk2>
        <a:srgbClr val="0E2841"/>
      </a:dk2>
      <a:lt2>
        <a:srgbClr val="E8E8E8"/>
      </a:lt2>
      <a:accent1>
        <a:srgbClr val="003760"/>
      </a:accent1>
      <a:accent2>
        <a:srgbClr val="D8EFFF"/>
      </a:accent2>
      <a:accent3>
        <a:srgbClr val="A8DBFF"/>
      </a:accent3>
      <a:accent4>
        <a:srgbClr val="40AFFF"/>
      </a:accent4>
      <a:accent5>
        <a:srgbClr val="00B050"/>
      </a:accent5>
      <a:accent6>
        <a:srgbClr val="0070C0"/>
      </a:accent6>
      <a:hlink>
        <a:srgbClr val="7030A0"/>
      </a:hlink>
      <a:folHlink>
        <a:srgbClr val="FFFF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S43" dT="2025-03-21T07:22:25.26" personId="{FF96766A-CA98-4257-8D69-1771F2919E73}" id="{6FA3413F-0950-48BD-8319-2A8DA9CE50E4}">
    <text xml:space="preserve">4/23/25 FY Estimates - Low: 4.74 High: 5.25 Avg: 5.00
</text>
  </threadedComment>
  <threadedComment ref="AT43" dT="2025-04-16T07:51:59.65" personId="{FF96766A-CA98-4257-8D69-1771F2919E73}" id="{38ADF2F8-1B4F-47C7-85FB-0FD1BE23E2EC}">
    <text>4/15/25 FY Estimates - Low: 4.70 High: 6.01 Avg: 5.56</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Desktop/Equity%20Research/Models/Model%20Price%20Target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92"/>
  <sheetViews>
    <sheetView topLeftCell="A62" zoomScale="88" workbookViewId="0">
      <selection activeCell="G80" sqref="G80"/>
    </sheetView>
  </sheetViews>
  <sheetFormatPr defaultColWidth="9.140625" defaultRowHeight="14.25"/>
  <cols>
    <col min="1" max="1" width="3.140625" style="1" customWidth="1"/>
    <col min="2" max="2" width="9.140625" style="1" customWidth="1"/>
    <col min="3" max="3" width="11" style="1" customWidth="1"/>
    <col min="4" max="5" width="9.140625" style="1"/>
    <col min="6" max="7" width="9" style="1" customWidth="1"/>
    <col min="8" max="16384" width="9.140625" style="1"/>
  </cols>
  <sheetData>
    <row r="1" spans="1:78">
      <c r="A1" s="28" t="s">
        <v>474</v>
      </c>
      <c r="BZ1" s="1">
        <v>0</v>
      </c>
    </row>
    <row r="2" spans="1:78" ht="15">
      <c r="B2" s="2" t="s">
        <v>0</v>
      </c>
      <c r="F2" s="2"/>
    </row>
    <row r="3" spans="1:78">
      <c r="B3" s="1" t="s">
        <v>1</v>
      </c>
      <c r="C3" s="4">
        <v>69.81</v>
      </c>
      <c r="D3" s="3">
        <v>45725</v>
      </c>
      <c r="G3" s="4"/>
      <c r="H3" s="3"/>
    </row>
    <row r="4" spans="1:78">
      <c r="B4" s="1" t="s">
        <v>491</v>
      </c>
      <c r="C4" s="1">
        <v>989</v>
      </c>
      <c r="D4" s="1" t="s">
        <v>6</v>
      </c>
    </row>
    <row r="5" spans="1:78">
      <c r="B5" s="1" t="s">
        <v>2</v>
      </c>
      <c r="C5" s="17">
        <f>C3*C4</f>
        <v>69042.09</v>
      </c>
      <c r="G5" s="4"/>
    </row>
    <row r="6" spans="1:78">
      <c r="B6" s="1" t="s">
        <v>3</v>
      </c>
      <c r="C6" s="17">
        <f>6561+4262+4583+1500</f>
        <v>16906</v>
      </c>
      <c r="D6" s="1" t="s">
        <v>6</v>
      </c>
      <c r="G6" s="4"/>
    </row>
    <row r="7" spans="1:78">
      <c r="B7" s="1" t="s">
        <v>4</v>
      </c>
      <c r="C7" s="17">
        <f>9879+1191+1500</f>
        <v>12570</v>
      </c>
      <c r="D7" s="1" t="s">
        <v>6</v>
      </c>
      <c r="G7" s="4"/>
    </row>
    <row r="8" spans="1:78">
      <c r="B8" s="1" t="s">
        <v>5</v>
      </c>
      <c r="C8" s="17">
        <f>C5-C6+C7</f>
        <v>64706.09</v>
      </c>
      <c r="G8" s="4"/>
    </row>
    <row r="10" spans="1:78" ht="15">
      <c r="B10" s="2" t="s">
        <v>18</v>
      </c>
    </row>
    <row r="12" spans="1:78" ht="15">
      <c r="B12" s="2" t="s">
        <v>21</v>
      </c>
    </row>
    <row r="14" spans="1:78">
      <c r="B14" s="1" t="s">
        <v>19</v>
      </c>
    </row>
    <row r="15" spans="1:78">
      <c r="B15" s="1" t="s">
        <v>495</v>
      </c>
    </row>
    <row r="16" spans="1:78">
      <c r="B16" s="1" t="s">
        <v>133</v>
      </c>
    </row>
    <row r="17" spans="1:5">
      <c r="B17" s="1" t="s">
        <v>20</v>
      </c>
    </row>
    <row r="18" spans="1:5" ht="15">
      <c r="B18" s="2" t="s">
        <v>23</v>
      </c>
      <c r="D18" s="2" t="s">
        <v>24</v>
      </c>
    </row>
    <row r="20" spans="1:5" ht="15">
      <c r="B20" s="1" t="s">
        <v>39</v>
      </c>
    </row>
    <row r="21" spans="1:5" ht="15">
      <c r="B21" s="1" t="s">
        <v>29</v>
      </c>
    </row>
    <row r="22" spans="1:5" ht="15">
      <c r="C22" s="1" t="s">
        <v>30</v>
      </c>
    </row>
    <row r="24" spans="1:5" ht="15">
      <c r="A24" s="2" t="s">
        <v>22</v>
      </c>
    </row>
    <row r="25" spans="1:5">
      <c r="B25" s="1" t="s">
        <v>32</v>
      </c>
    </row>
    <row r="27" spans="1:5" ht="15">
      <c r="C27" s="1" t="s">
        <v>40</v>
      </c>
      <c r="D27" s="1" t="s">
        <v>49</v>
      </c>
    </row>
    <row r="28" spans="1:5" ht="15">
      <c r="E28" s="1" t="s">
        <v>64</v>
      </c>
    </row>
    <row r="29" spans="1:5" ht="15">
      <c r="E29" s="1" t="s">
        <v>48</v>
      </c>
    </row>
    <row r="30" spans="1:5" ht="15">
      <c r="E30" s="1" t="s">
        <v>99</v>
      </c>
    </row>
    <row r="32" spans="1:5" ht="15">
      <c r="C32" s="1" t="s">
        <v>41</v>
      </c>
      <c r="D32" s="2" t="s">
        <v>492</v>
      </c>
      <c r="E32" s="2"/>
    </row>
    <row r="33" spans="3:5" ht="15">
      <c r="D33" s="2"/>
      <c r="E33" s="2" t="s">
        <v>493</v>
      </c>
    </row>
    <row r="34" spans="3:5" ht="15">
      <c r="D34" s="2"/>
      <c r="E34" s="2" t="s">
        <v>100</v>
      </c>
    </row>
    <row r="35" spans="3:5" ht="15" customHeight="1">
      <c r="D35" s="2"/>
      <c r="E35" s="2" t="s">
        <v>50</v>
      </c>
    </row>
    <row r="36" spans="3:5" ht="15" customHeight="1">
      <c r="D36" s="2"/>
      <c r="E36" s="2"/>
    </row>
    <row r="37" spans="3:5" ht="15">
      <c r="C37" s="1" t="s">
        <v>42</v>
      </c>
      <c r="D37" s="1" t="s">
        <v>51</v>
      </c>
    </row>
    <row r="38" spans="3:5" ht="15">
      <c r="E38" s="1" t="s">
        <v>53</v>
      </c>
    </row>
    <row r="39" spans="3:5" ht="15">
      <c r="E39" s="1" t="s">
        <v>54</v>
      </c>
    </row>
    <row r="40" spans="3:5" ht="15">
      <c r="E40" s="1" t="s">
        <v>55</v>
      </c>
    </row>
    <row r="41" spans="3:5" ht="15">
      <c r="E41" s="1" t="s">
        <v>56</v>
      </c>
    </row>
    <row r="42" spans="3:5" ht="15">
      <c r="E42" s="1" t="s">
        <v>52</v>
      </c>
    </row>
    <row r="44" spans="3:5" ht="15">
      <c r="C44" s="1" t="s">
        <v>43</v>
      </c>
      <c r="D44" s="1" t="s">
        <v>57</v>
      </c>
    </row>
    <row r="45" spans="3:5" ht="15">
      <c r="E45" s="1" t="s">
        <v>58</v>
      </c>
    </row>
    <row r="46" spans="3:5" ht="15">
      <c r="E46" s="1" t="s">
        <v>59</v>
      </c>
    </row>
    <row r="47" spans="3:5" ht="15">
      <c r="E47" s="1" t="s">
        <v>60</v>
      </c>
    </row>
    <row r="48" spans="3:5" ht="15">
      <c r="E48" s="1" t="s">
        <v>61</v>
      </c>
    </row>
    <row r="50" spans="3:5">
      <c r="C50" s="1" t="s">
        <v>44</v>
      </c>
      <c r="D50" s="1" t="s">
        <v>62</v>
      </c>
    </row>
    <row r="51" spans="3:5">
      <c r="E51" s="1" t="s">
        <v>63</v>
      </c>
    </row>
    <row r="52" spans="3:5">
      <c r="E52" s="1" t="s">
        <v>126</v>
      </c>
    </row>
    <row r="53" spans="3:5">
      <c r="E53" s="1" t="s">
        <v>124</v>
      </c>
    </row>
    <row r="54" spans="3:5">
      <c r="E54" s="1" t="s">
        <v>125</v>
      </c>
    </row>
    <row r="56" spans="3:5">
      <c r="C56" s="1" t="s">
        <v>45</v>
      </c>
      <c r="D56" s="1" t="s">
        <v>169</v>
      </c>
    </row>
    <row r="57" spans="3:5" ht="15" customHeight="1">
      <c r="E57" s="1" t="s">
        <v>170</v>
      </c>
    </row>
    <row r="58" spans="3:5">
      <c r="E58" s="1" t="s">
        <v>171</v>
      </c>
    </row>
    <row r="59" spans="3:5">
      <c r="E59" s="1" t="s">
        <v>172</v>
      </c>
    </row>
    <row r="60" spans="3:5">
      <c r="D60" s="1" t="s">
        <v>177</v>
      </c>
    </row>
    <row r="62" spans="3:5">
      <c r="C62" s="1" t="s">
        <v>46</v>
      </c>
      <c r="D62" s="1" t="s">
        <v>180</v>
      </c>
    </row>
    <row r="63" spans="3:5">
      <c r="E63" s="1" t="s">
        <v>174</v>
      </c>
    </row>
    <row r="64" spans="3:5">
      <c r="E64" s="1" t="s">
        <v>175</v>
      </c>
    </row>
    <row r="65" spans="1:7">
      <c r="E65" s="1" t="s">
        <v>176</v>
      </c>
    </row>
    <row r="66" spans="1:7">
      <c r="D66" s="1" t="s">
        <v>173</v>
      </c>
    </row>
    <row r="68" spans="1:7">
      <c r="C68" s="1" t="s">
        <v>47</v>
      </c>
      <c r="D68" s="1" t="s">
        <v>181</v>
      </c>
    </row>
    <row r="69" spans="1:7">
      <c r="E69" s="1" t="s">
        <v>178</v>
      </c>
    </row>
    <row r="70" spans="1:7">
      <c r="E70" s="1" t="s">
        <v>179</v>
      </c>
    </row>
    <row r="71" spans="1:7">
      <c r="E71" s="1" t="s">
        <v>463</v>
      </c>
    </row>
    <row r="73" spans="1:7" ht="15">
      <c r="B73" s="1" t="s">
        <v>25</v>
      </c>
    </row>
    <row r="75" spans="1:7" ht="15">
      <c r="A75" s="2" t="s">
        <v>26</v>
      </c>
    </row>
    <row r="76" spans="1:7" ht="15">
      <c r="B76" s="2" t="s">
        <v>35</v>
      </c>
      <c r="F76" s="2" t="s">
        <v>127</v>
      </c>
    </row>
    <row r="77" spans="1:7" ht="15">
      <c r="B77" s="1" t="s">
        <v>130</v>
      </c>
    </row>
    <row r="78" spans="1:7" ht="15">
      <c r="B78" s="1" t="s">
        <v>193</v>
      </c>
    </row>
    <row r="79" spans="1:7">
      <c r="C79" s="1" t="s">
        <v>36</v>
      </c>
    </row>
    <row r="80" spans="1:7" ht="15">
      <c r="B80" s="2" t="s">
        <v>129</v>
      </c>
      <c r="G80" s="2" t="s">
        <v>128</v>
      </c>
    </row>
    <row r="81" spans="2:7" ht="15">
      <c r="C81" s="1" t="s">
        <v>134</v>
      </c>
    </row>
    <row r="82" spans="2:7" ht="15">
      <c r="D82" s="1" t="s">
        <v>33</v>
      </c>
    </row>
    <row r="83" spans="2:7">
      <c r="D83" s="1" t="s">
        <v>34</v>
      </c>
    </row>
    <row r="84" spans="2:7" ht="15">
      <c r="C84" s="2" t="s">
        <v>135</v>
      </c>
      <c r="F84" s="2"/>
      <c r="G84" s="2"/>
    </row>
    <row r="85" spans="2:7" ht="15">
      <c r="D85" s="1" t="s">
        <v>38</v>
      </c>
    </row>
    <row r="86" spans="2:7" ht="15">
      <c r="D86" s="1" t="s">
        <v>27</v>
      </c>
    </row>
    <row r="87" spans="2:7" ht="15">
      <c r="C87" s="1" t="s">
        <v>136</v>
      </c>
    </row>
    <row r="88" spans="2:7" ht="15">
      <c r="C88" s="2"/>
      <c r="D88" s="1" t="s">
        <v>28</v>
      </c>
      <c r="F88" s="2"/>
      <c r="G88" s="2"/>
    </row>
    <row r="89" spans="2:7" ht="15">
      <c r="D89" s="1" t="s">
        <v>31</v>
      </c>
    </row>
    <row r="90" spans="2:7" ht="15">
      <c r="D90" s="1" t="s">
        <v>37</v>
      </c>
    </row>
    <row r="92" spans="2:7" ht="15">
      <c r="B92" s="2"/>
      <c r="F92" s="2"/>
      <c r="G92" s="2"/>
    </row>
  </sheetData>
  <hyperlinks>
    <hyperlink ref="A1" r:id="rId1" xr:uid="{0E466347-E60A-449A-926D-369EC6AC1DD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4E178-967C-4B1A-948A-E231F8AB251E}">
  <dimension ref="A1"/>
  <sheetViews>
    <sheetView workbookViewId="0">
      <selection sqref="A1:XFD1048576"/>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C04A5-8FC6-41EB-ACF0-899372ACA905}">
  <dimension ref="A1"/>
  <sheetViews>
    <sheetView workbookViewId="0">
      <selection sqref="A1:XFD1048576"/>
    </sheetView>
  </sheetViews>
  <sheetFormatPr defaultRowHeight="1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B2C5-186C-45F3-9486-5D999CF6BCA2}">
  <dimension ref="A1"/>
  <sheetViews>
    <sheetView workbookViewId="0"/>
  </sheetViews>
  <sheetFormatPr defaultRowHeight="1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98B6F-A762-418B-8B10-D4942BE0F214}">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B43A2-E51B-468E-8B2C-40F5D1CFF37E}">
  <dimension ref="A1:CT101"/>
  <sheetViews>
    <sheetView tabSelected="1" zoomScale="70" zoomScaleNormal="70" workbookViewId="0">
      <pane xSplit="2" ySplit="2" topLeftCell="C47" activePane="bottomRight" state="frozen"/>
      <selection pane="topRight" activeCell="C1" sqref="C1"/>
      <selection pane="bottomLeft" activeCell="A3" sqref="A3"/>
      <selection pane="bottomRight" activeCell="AE43" sqref="AE43"/>
    </sheetView>
  </sheetViews>
  <sheetFormatPr defaultColWidth="9.140625" defaultRowHeight="14.25"/>
  <cols>
    <col min="1" max="1" width="3" style="1" customWidth="1"/>
    <col min="2" max="2" width="42" style="1" customWidth="1"/>
    <col min="3" max="21" width="9.42578125" style="1" bestFit="1" customWidth="1"/>
    <col min="22" max="22" width="8.85546875" style="1" customWidth="1"/>
    <col min="23" max="23" width="9.140625" style="19"/>
    <col min="24" max="24" width="9" style="19" customWidth="1"/>
    <col min="25" max="34" width="9.140625" style="19"/>
    <col min="35" max="36" width="9.140625" style="1"/>
    <col min="37" max="37" width="9" style="1" customWidth="1"/>
    <col min="38" max="39" width="9.140625" style="1"/>
    <col min="40" max="44" width="9" style="1" customWidth="1"/>
    <col min="45" max="95" width="9" style="19" customWidth="1"/>
    <col min="96" max="98" width="9" style="1" customWidth="1"/>
    <col min="99" max="16384" width="9.140625" style="1"/>
  </cols>
  <sheetData>
    <row r="1" spans="1:98">
      <c r="B1" s="1" t="s">
        <v>107</v>
      </c>
      <c r="C1" s="1" t="s">
        <v>110</v>
      </c>
      <c r="D1" s="1" t="s">
        <v>109</v>
      </c>
      <c r="E1" s="1" t="s">
        <v>108</v>
      </c>
      <c r="F1" s="1" t="s">
        <v>111</v>
      </c>
      <c r="G1" s="1" t="s">
        <v>110</v>
      </c>
      <c r="H1" s="1" t="s">
        <v>109</v>
      </c>
      <c r="I1" s="1" t="s">
        <v>108</v>
      </c>
      <c r="J1" s="1" t="s">
        <v>111</v>
      </c>
      <c r="K1" s="1" t="s">
        <v>110</v>
      </c>
      <c r="L1" s="1" t="s">
        <v>109</v>
      </c>
      <c r="M1" s="1" t="s">
        <v>108</v>
      </c>
      <c r="N1" s="1" t="s">
        <v>111</v>
      </c>
      <c r="O1" s="1" t="s">
        <v>110</v>
      </c>
      <c r="P1" s="1" t="s">
        <v>109</v>
      </c>
      <c r="Q1" s="1" t="s">
        <v>108</v>
      </c>
      <c r="R1" s="1" t="s">
        <v>111</v>
      </c>
      <c r="S1" s="1" t="s">
        <v>110</v>
      </c>
      <c r="T1" s="1" t="s">
        <v>109</v>
      </c>
      <c r="U1" s="1" t="s">
        <v>108</v>
      </c>
      <c r="V1" s="1" t="s">
        <v>111</v>
      </c>
      <c r="W1" s="1" t="s">
        <v>110</v>
      </c>
      <c r="X1" s="19" t="s">
        <v>109</v>
      </c>
      <c r="Y1" s="19" t="s">
        <v>108</v>
      </c>
      <c r="Z1" s="19" t="s">
        <v>111</v>
      </c>
      <c r="AA1" s="19" t="s">
        <v>110</v>
      </c>
      <c r="AB1" s="19" t="s">
        <v>109</v>
      </c>
      <c r="AC1" s="19" t="s">
        <v>108</v>
      </c>
      <c r="AD1" s="19" t="s">
        <v>111</v>
      </c>
      <c r="AE1" s="19" t="s">
        <v>110</v>
      </c>
      <c r="AF1" s="19" t="s">
        <v>109</v>
      </c>
      <c r="AG1" s="19" t="s">
        <v>108</v>
      </c>
      <c r="AH1" s="19" t="s">
        <v>111</v>
      </c>
    </row>
    <row r="2" spans="1:98" ht="15">
      <c r="B2" s="2" t="s">
        <v>7</v>
      </c>
      <c r="C2" s="2" t="s">
        <v>123</v>
      </c>
      <c r="D2" s="2" t="s">
        <v>122</v>
      </c>
      <c r="E2" s="2" t="s">
        <v>121</v>
      </c>
      <c r="F2" s="2" t="s">
        <v>120</v>
      </c>
      <c r="G2" s="2" t="s">
        <v>116</v>
      </c>
      <c r="H2" s="2" t="s">
        <v>117</v>
      </c>
      <c r="I2" s="2" t="s">
        <v>118</v>
      </c>
      <c r="J2" s="2" t="s">
        <v>119</v>
      </c>
      <c r="K2" s="2" t="s">
        <v>74</v>
      </c>
      <c r="L2" s="2" t="s">
        <v>75</v>
      </c>
      <c r="M2" s="2" t="s">
        <v>76</v>
      </c>
      <c r="N2" s="2" t="s">
        <v>77</v>
      </c>
      <c r="O2" s="2" t="s">
        <v>78</v>
      </c>
      <c r="P2" s="2" t="s">
        <v>79</v>
      </c>
      <c r="Q2" s="2" t="s">
        <v>80</v>
      </c>
      <c r="R2" s="2" t="s">
        <v>81</v>
      </c>
      <c r="S2" s="2" t="s">
        <v>82</v>
      </c>
      <c r="T2" s="2" t="s">
        <v>83</v>
      </c>
      <c r="U2" s="2" t="s">
        <v>84</v>
      </c>
      <c r="V2" s="2" t="s">
        <v>24</v>
      </c>
      <c r="W2" s="2" t="s">
        <v>85</v>
      </c>
      <c r="X2" s="20" t="s">
        <v>86</v>
      </c>
      <c r="Y2" s="20" t="s">
        <v>139</v>
      </c>
      <c r="Z2" s="20" t="s">
        <v>140</v>
      </c>
      <c r="AA2" s="20" t="s">
        <v>141</v>
      </c>
      <c r="AB2" s="20" t="s">
        <v>142</v>
      </c>
      <c r="AC2" s="20" t="s">
        <v>143</v>
      </c>
      <c r="AD2" s="20" t="s">
        <v>144</v>
      </c>
      <c r="AE2" s="20" t="s">
        <v>141</v>
      </c>
      <c r="AF2" s="20" t="s">
        <v>142</v>
      </c>
      <c r="AG2" s="20" t="s">
        <v>143</v>
      </c>
      <c r="AH2" s="20" t="s">
        <v>144</v>
      </c>
      <c r="AN2" s="2">
        <v>2020</v>
      </c>
      <c r="AO2" s="2">
        <v>2021</v>
      </c>
      <c r="AP2" s="2">
        <v>2022</v>
      </c>
      <c r="AQ2" s="2">
        <f t="shared" ref="AQ2:BC2" si="0">AP2+1</f>
        <v>2023</v>
      </c>
      <c r="AR2" s="2">
        <f t="shared" si="0"/>
        <v>2024</v>
      </c>
      <c r="AS2" s="20">
        <f t="shared" si="0"/>
        <v>2025</v>
      </c>
      <c r="AT2" s="20">
        <f t="shared" si="0"/>
        <v>2026</v>
      </c>
      <c r="AU2" s="20">
        <f t="shared" si="0"/>
        <v>2027</v>
      </c>
      <c r="AV2" s="20">
        <f t="shared" si="0"/>
        <v>2028</v>
      </c>
      <c r="AW2" s="20">
        <f t="shared" si="0"/>
        <v>2029</v>
      </c>
      <c r="AX2" s="20">
        <f t="shared" si="0"/>
        <v>2030</v>
      </c>
      <c r="AY2" s="20">
        <f t="shared" si="0"/>
        <v>2031</v>
      </c>
      <c r="AZ2" s="20">
        <f t="shared" si="0"/>
        <v>2032</v>
      </c>
      <c r="BA2" s="20">
        <f t="shared" si="0"/>
        <v>2033</v>
      </c>
      <c r="BB2" s="20">
        <f t="shared" si="0"/>
        <v>2034</v>
      </c>
      <c r="BC2" s="20">
        <f t="shared" si="0"/>
        <v>2035</v>
      </c>
      <c r="BD2" s="20">
        <f t="shared" ref="BD2" si="1">BC2+1</f>
        <v>2036</v>
      </c>
      <c r="BE2" s="20">
        <f t="shared" ref="BE2" si="2">BD2+1</f>
        <v>2037</v>
      </c>
      <c r="BF2" s="20">
        <f t="shared" ref="BF2" si="3">BE2+1</f>
        <v>2038</v>
      </c>
      <c r="BG2" s="20">
        <f t="shared" ref="BG2" si="4">BF2+1</f>
        <v>2039</v>
      </c>
      <c r="BH2" s="20">
        <f t="shared" ref="BH2" si="5">BG2+1</f>
        <v>2040</v>
      </c>
      <c r="BI2" s="20">
        <f t="shared" ref="BI2" si="6">BH2+1</f>
        <v>2041</v>
      </c>
      <c r="BJ2" s="20">
        <f t="shared" ref="BJ2" si="7">BI2+1</f>
        <v>2042</v>
      </c>
      <c r="BK2" s="20">
        <f t="shared" ref="BK2" si="8">BJ2+1</f>
        <v>2043</v>
      </c>
      <c r="BL2" s="20">
        <f t="shared" ref="BL2" si="9">BK2+1</f>
        <v>2044</v>
      </c>
      <c r="BM2" s="20">
        <f t="shared" ref="BM2" si="10">BL2+1</f>
        <v>2045</v>
      </c>
      <c r="BN2" s="20">
        <f t="shared" ref="BN2" si="11">BM2+1</f>
        <v>2046</v>
      </c>
      <c r="BO2" s="20">
        <f t="shared" ref="BO2" si="12">BN2+1</f>
        <v>2047</v>
      </c>
      <c r="BP2" s="20">
        <f t="shared" ref="BP2" si="13">BO2+1</f>
        <v>2048</v>
      </c>
      <c r="BQ2" s="20">
        <f t="shared" ref="BQ2" si="14">BP2+1</f>
        <v>2049</v>
      </c>
      <c r="BR2" s="20">
        <f t="shared" ref="BR2" si="15">BQ2+1</f>
        <v>2050</v>
      </c>
      <c r="BS2" s="20">
        <f t="shared" ref="BS2" si="16">BR2+1</f>
        <v>2051</v>
      </c>
      <c r="BT2" s="20">
        <f t="shared" ref="BT2" si="17">BS2+1</f>
        <v>2052</v>
      </c>
      <c r="BU2" s="20">
        <f t="shared" ref="BU2" si="18">BT2+1</f>
        <v>2053</v>
      </c>
      <c r="BV2" s="20">
        <f t="shared" ref="BV2" si="19">BU2+1</f>
        <v>2054</v>
      </c>
      <c r="BW2" s="20">
        <f t="shared" ref="BW2" si="20">BV2+1</f>
        <v>2055</v>
      </c>
      <c r="BX2" s="20">
        <f t="shared" ref="BX2" si="21">BW2+1</f>
        <v>2056</v>
      </c>
      <c r="BY2" s="20">
        <f t="shared" ref="BY2" si="22">BX2+1</f>
        <v>2057</v>
      </c>
      <c r="BZ2" s="20">
        <f t="shared" ref="BZ2" si="23">BY2+1</f>
        <v>2058</v>
      </c>
      <c r="CA2" s="20">
        <f t="shared" ref="CA2" si="24">BZ2+1</f>
        <v>2059</v>
      </c>
      <c r="CB2" s="20">
        <f t="shared" ref="CB2" si="25">CA2+1</f>
        <v>2060</v>
      </c>
      <c r="CC2" s="20">
        <f t="shared" ref="CC2" si="26">CB2+1</f>
        <v>2061</v>
      </c>
      <c r="CD2" s="20">
        <f t="shared" ref="CD2" si="27">CC2+1</f>
        <v>2062</v>
      </c>
      <c r="CE2" s="20">
        <f t="shared" ref="CE2" si="28">CD2+1</f>
        <v>2063</v>
      </c>
      <c r="CF2" s="20">
        <f t="shared" ref="CF2" si="29">CE2+1</f>
        <v>2064</v>
      </c>
      <c r="CG2" s="20">
        <f t="shared" ref="CG2" si="30">CF2+1</f>
        <v>2065</v>
      </c>
      <c r="CH2" s="20">
        <f t="shared" ref="CH2" si="31">CG2+1</f>
        <v>2066</v>
      </c>
      <c r="CI2" s="20">
        <f t="shared" ref="CI2" si="32">CH2+1</f>
        <v>2067</v>
      </c>
      <c r="CJ2" s="20">
        <f t="shared" ref="CJ2" si="33">CI2+1</f>
        <v>2068</v>
      </c>
      <c r="CK2" s="20">
        <f t="shared" ref="CK2" si="34">CJ2+1</f>
        <v>2069</v>
      </c>
      <c r="CL2" s="20">
        <f t="shared" ref="CL2" si="35">CK2+1</f>
        <v>2070</v>
      </c>
      <c r="CM2" s="20">
        <f t="shared" ref="CM2" si="36">CL2+1</f>
        <v>2071</v>
      </c>
      <c r="CN2" s="20">
        <f t="shared" ref="CN2" si="37">CM2+1</f>
        <v>2072</v>
      </c>
      <c r="CO2" s="20">
        <f t="shared" ref="CO2" si="38">CN2+1</f>
        <v>2073</v>
      </c>
      <c r="CP2" s="20">
        <f t="shared" ref="CP2" si="39">CO2+1</f>
        <v>2074</v>
      </c>
      <c r="CQ2" s="20">
        <f t="shared" ref="CQ2" si="40">CP2+1</f>
        <v>2075</v>
      </c>
      <c r="CR2" s="2"/>
      <c r="CS2" s="2"/>
      <c r="CT2" s="2"/>
    </row>
    <row r="3" spans="1:98">
      <c r="B3" s="1" t="s">
        <v>8</v>
      </c>
      <c r="C3" s="1">
        <v>4215</v>
      </c>
      <c r="D3" s="1">
        <v>4945</v>
      </c>
      <c r="E3" s="1">
        <v>5076</v>
      </c>
      <c r="F3" s="1">
        <f>19918-SUM(C3:E3)</f>
        <v>5682</v>
      </c>
      <c r="G3" s="1">
        <v>5621</v>
      </c>
      <c r="H3" s="1">
        <v>5797</v>
      </c>
      <c r="I3" s="1">
        <v>5607</v>
      </c>
      <c r="J3" s="1">
        <f>23402-SUM(G3:I3)</f>
        <v>6377</v>
      </c>
      <c r="K3" s="1">
        <v>5998</v>
      </c>
      <c r="L3" s="1">
        <v>6272</v>
      </c>
      <c r="M3" s="1">
        <v>6234</v>
      </c>
      <c r="N3" s="1">
        <f>25206-SUM(K3:M3)</f>
        <v>6702</v>
      </c>
      <c r="O3" s="1">
        <v>6364</v>
      </c>
      <c r="P3" s="1">
        <v>6556</v>
      </c>
      <c r="Q3" s="1">
        <v>6654</v>
      </c>
      <c r="R3" s="1">
        <f>26857-SUM(O3:Q3)</f>
        <v>7283</v>
      </c>
      <c r="S3" s="1">
        <v>7034</v>
      </c>
      <c r="T3" s="1">
        <v>7153</v>
      </c>
      <c r="U3" s="1">
        <v>7067</v>
      </c>
      <c r="V3" s="1">
        <f>28842-SUM(S3:U3)</f>
        <v>7588</v>
      </c>
      <c r="W3" s="1">
        <v>7016</v>
      </c>
      <c r="AN3" s="1">
        <f>SUM(C3:F3)</f>
        <v>19918</v>
      </c>
      <c r="AO3" s="1">
        <f>SUM(G3:J3)</f>
        <v>23402</v>
      </c>
      <c r="AP3" s="1">
        <f>SUM(K3:N3)</f>
        <v>25206</v>
      </c>
      <c r="AQ3" s="1">
        <f>SUM(O3:R3)</f>
        <v>26857</v>
      </c>
      <c r="AR3" s="1">
        <f>SUM(S3:V3)</f>
        <v>28842</v>
      </c>
      <c r="AS3" s="19">
        <f>AR3*(1+AS10)</f>
        <v>29707.260000000002</v>
      </c>
      <c r="AT3" s="19">
        <f t="shared" ref="AT3:AX3" si="41">AS3*(1+AT10)</f>
        <v>30598.477800000004</v>
      </c>
      <c r="AU3" s="19">
        <f t="shared" si="41"/>
        <v>31516.432134000006</v>
      </c>
      <c r="AV3" s="19">
        <f t="shared" si="41"/>
        <v>32461.925098020009</v>
      </c>
      <c r="AW3" s="19">
        <f t="shared" si="41"/>
        <v>33111.163599980406</v>
      </c>
      <c r="AX3" s="19">
        <f t="shared" si="41"/>
        <v>33773.386871980016</v>
      </c>
    </row>
    <row r="4" spans="1:98">
      <c r="B4" s="1" t="s">
        <v>9</v>
      </c>
      <c r="C4" s="1">
        <v>403</v>
      </c>
      <c r="D4" s="1">
        <v>316</v>
      </c>
      <c r="E4" s="1">
        <v>383</v>
      </c>
      <c r="F4" s="1">
        <f>1536-SUM(C4:E4)</f>
        <v>434</v>
      </c>
      <c r="G4" s="1">
        <v>412</v>
      </c>
      <c r="H4" s="1">
        <v>441</v>
      </c>
      <c r="I4" s="1">
        <v>575</v>
      </c>
      <c r="J4" s="1">
        <f>1969-SUM(G4:I4)</f>
        <v>541</v>
      </c>
      <c r="K4" s="1">
        <v>485</v>
      </c>
      <c r="L4" s="1">
        <v>534</v>
      </c>
      <c r="M4" s="1">
        <v>612</v>
      </c>
      <c r="N4" s="1">
        <f>2312-SUM(K4:M4)</f>
        <v>681</v>
      </c>
      <c r="O4" s="1">
        <v>676</v>
      </c>
      <c r="P4" s="1">
        <v>731</v>
      </c>
      <c r="Q4" s="1">
        <v>764</v>
      </c>
      <c r="R4" s="1">
        <f>2914-SUM(O4:Q4)</f>
        <v>743</v>
      </c>
      <c r="S4" s="1">
        <v>665</v>
      </c>
      <c r="T4" s="1">
        <v>732</v>
      </c>
      <c r="U4" s="1">
        <v>780</v>
      </c>
      <c r="V4" s="1">
        <f>2955-SUM(S4:U4)</f>
        <v>778</v>
      </c>
      <c r="W4" s="1">
        <v>775</v>
      </c>
      <c r="AN4" s="1">
        <f>SUM(C4:F4)</f>
        <v>1536</v>
      </c>
      <c r="AO4" s="1">
        <f>SUM(G4:J4)</f>
        <v>1969</v>
      </c>
      <c r="AP4" s="1">
        <f>SUM(K4:N4)</f>
        <v>2312</v>
      </c>
      <c r="AQ4" s="1">
        <f>SUM(O4:R4)</f>
        <v>2914</v>
      </c>
      <c r="AR4" s="1">
        <f>SUM(S4:V4)</f>
        <v>2955</v>
      </c>
      <c r="AS4" s="19">
        <f>AR4*(1+AS11)</f>
        <v>3132.3</v>
      </c>
      <c r="AT4" s="19">
        <f t="shared" ref="AT4:AX4" si="42">AS4*(1+AT11)</f>
        <v>3382.8840000000005</v>
      </c>
      <c r="AU4" s="19">
        <f t="shared" si="42"/>
        <v>3788.8300800000011</v>
      </c>
      <c r="AV4" s="19">
        <f t="shared" si="42"/>
        <v>4281.3779904000012</v>
      </c>
      <c r="AW4" s="19">
        <f t="shared" si="42"/>
        <v>4795.1433492480019</v>
      </c>
      <c r="AX4" s="19">
        <f t="shared" si="42"/>
        <v>5274.6576841728029</v>
      </c>
    </row>
    <row r="5" spans="1:98" ht="15">
      <c r="B5" s="2" t="s">
        <v>10</v>
      </c>
      <c r="C5" s="2">
        <f t="shared" ref="C5" si="43">SUM(C3:C4)</f>
        <v>4618</v>
      </c>
      <c r="D5" s="2">
        <f t="shared" ref="D5" si="44">SUM(D3:D4)</f>
        <v>5261</v>
      </c>
      <c r="E5" s="2">
        <f t="shared" ref="E5" si="45">SUM(E3:E4)</f>
        <v>5459</v>
      </c>
      <c r="F5" s="2">
        <f t="shared" ref="F5" si="46">SUM(F3:F4)</f>
        <v>6116</v>
      </c>
      <c r="G5" s="2">
        <f t="shared" ref="G5" si="47">SUM(G3:G4)</f>
        <v>6033</v>
      </c>
      <c r="H5" s="2">
        <f t="shared" ref="H5" si="48">SUM(H3:H4)</f>
        <v>6238</v>
      </c>
      <c r="I5" s="2">
        <f t="shared" ref="I5" si="49">SUM(I3:I4)</f>
        <v>6182</v>
      </c>
      <c r="J5" s="2">
        <f t="shared" ref="J5" si="50">SUM(J3:J4)</f>
        <v>6918</v>
      </c>
      <c r="K5" s="2">
        <f t="shared" ref="K5:T5" si="51">SUM(K3:K4)</f>
        <v>6483</v>
      </c>
      <c r="L5" s="2">
        <f t="shared" si="51"/>
        <v>6806</v>
      </c>
      <c r="M5" s="2">
        <f t="shared" si="51"/>
        <v>6846</v>
      </c>
      <c r="N5" s="2">
        <f t="shared" si="51"/>
        <v>7383</v>
      </c>
      <c r="O5" s="2">
        <f t="shared" si="51"/>
        <v>7040</v>
      </c>
      <c r="P5" s="2">
        <f t="shared" si="51"/>
        <v>7287</v>
      </c>
      <c r="Q5" s="2">
        <f t="shared" si="51"/>
        <v>7418</v>
      </c>
      <c r="R5" s="2">
        <f t="shared" si="51"/>
        <v>8026</v>
      </c>
      <c r="S5" s="2">
        <f t="shared" si="51"/>
        <v>7699</v>
      </c>
      <c r="T5" s="2">
        <f t="shared" si="51"/>
        <v>7885</v>
      </c>
      <c r="U5" s="2">
        <f t="shared" ref="U5:W5" si="52">SUM(U3:U4)</f>
        <v>7847</v>
      </c>
      <c r="V5" s="2">
        <f t="shared" ref="V5" si="53">SUM(V3:V4)</f>
        <v>8366</v>
      </c>
      <c r="W5" s="2">
        <f t="shared" si="52"/>
        <v>7791</v>
      </c>
      <c r="X5" s="20"/>
      <c r="AN5" s="1">
        <f>SUM(C5:F5)</f>
        <v>21454</v>
      </c>
      <c r="AO5" s="1">
        <f>SUM(G5:J5)</f>
        <v>25371</v>
      </c>
      <c r="AP5" s="1">
        <f>SUM(K5:N5)</f>
        <v>27518</v>
      </c>
      <c r="AQ5" s="1">
        <f>SUM(O5:R5)</f>
        <v>29771</v>
      </c>
      <c r="AR5" s="1">
        <f>SUM(S5:V5)</f>
        <v>31797</v>
      </c>
      <c r="AS5" s="19">
        <f>SUM(AS3:AS4)</f>
        <v>32839.560000000005</v>
      </c>
      <c r="AT5" s="19">
        <f t="shared" ref="AT5:AX5" si="54">SUM(AT3:AT4)</f>
        <v>33981.361800000006</v>
      </c>
      <c r="AU5" s="19">
        <f t="shared" si="54"/>
        <v>35305.262214000009</v>
      </c>
      <c r="AV5" s="19">
        <f t="shared" si="54"/>
        <v>36743.303088420013</v>
      </c>
      <c r="AW5" s="19">
        <f t="shared" si="54"/>
        <v>37906.306949228405</v>
      </c>
      <c r="AX5" s="19">
        <f t="shared" si="54"/>
        <v>39048.044556152818</v>
      </c>
    </row>
    <row r="6" spans="1:98" ht="15">
      <c r="B6" s="2"/>
      <c r="C6" s="2"/>
      <c r="D6" s="2"/>
      <c r="E6" s="2"/>
      <c r="F6" s="2"/>
      <c r="G6" s="2"/>
      <c r="H6" s="2"/>
      <c r="I6" s="2"/>
      <c r="J6" s="2"/>
      <c r="K6" s="2"/>
      <c r="L6" s="2"/>
      <c r="M6" s="2"/>
      <c r="N6" s="2"/>
      <c r="O6" s="2"/>
      <c r="P6" s="2"/>
      <c r="Q6" s="2"/>
      <c r="R6" s="2"/>
      <c r="S6" s="2"/>
      <c r="T6" s="2"/>
      <c r="U6" s="2"/>
      <c r="V6" s="2"/>
      <c r="W6" s="2"/>
      <c r="X6" s="20"/>
    </row>
    <row r="7" spans="1:98" s="8" customFormat="1">
      <c r="A7" s="1"/>
      <c r="B7" s="1" t="s">
        <v>114</v>
      </c>
      <c r="C7" s="8">
        <f t="shared" ref="C7:U7" si="55">C3/C5</f>
        <v>0.91273278475530528</v>
      </c>
      <c r="D7" s="8">
        <f t="shared" si="55"/>
        <v>0.93993537350313627</v>
      </c>
      <c r="E7" s="8">
        <f t="shared" si="55"/>
        <v>0.92984063015204255</v>
      </c>
      <c r="F7" s="8">
        <f t="shared" si="55"/>
        <v>0.92903858731196864</v>
      </c>
      <c r="G7" s="8">
        <f t="shared" si="55"/>
        <v>0.93170893419525935</v>
      </c>
      <c r="H7" s="8">
        <f t="shared" si="55"/>
        <v>0.92930426418723955</v>
      </c>
      <c r="I7" s="8">
        <f t="shared" si="55"/>
        <v>0.90698802976383053</v>
      </c>
      <c r="J7" s="8">
        <f t="shared" si="55"/>
        <v>0.92179820757444353</v>
      </c>
      <c r="K7" s="8">
        <f t="shared" si="55"/>
        <v>0.92518895573037174</v>
      </c>
      <c r="L7" s="8">
        <f t="shared" si="55"/>
        <v>0.92153981780781669</v>
      </c>
      <c r="M7" s="8">
        <f t="shared" si="55"/>
        <v>0.91060473269062225</v>
      </c>
      <c r="N7" s="8">
        <f t="shared" si="55"/>
        <v>0.90776107273466067</v>
      </c>
      <c r="O7" s="8">
        <f t="shared" si="55"/>
        <v>0.90397727272727268</v>
      </c>
      <c r="P7" s="8">
        <f t="shared" si="55"/>
        <v>0.89968436942500341</v>
      </c>
      <c r="Q7" s="8">
        <f t="shared" si="55"/>
        <v>0.897007279590186</v>
      </c>
      <c r="R7" s="8">
        <f t="shared" si="55"/>
        <v>0.90742586593570895</v>
      </c>
      <c r="S7" s="8">
        <f t="shared" si="55"/>
        <v>0.91362514612287316</v>
      </c>
      <c r="T7" s="8">
        <f t="shared" si="55"/>
        <v>0.90716550412175012</v>
      </c>
      <c r="U7" s="8">
        <f t="shared" si="55"/>
        <v>0.90059895501465526</v>
      </c>
      <c r="V7" s="8">
        <f>V3/V5</f>
        <v>0.90700454219459714</v>
      </c>
      <c r="W7" s="8">
        <f t="shared" ref="W7" si="56">W3/W5</f>
        <v>0.90052624823514316</v>
      </c>
      <c r="X7" s="19"/>
      <c r="Y7" s="19"/>
      <c r="Z7" s="19"/>
      <c r="AA7" s="19"/>
      <c r="AB7" s="19"/>
      <c r="AC7" s="19"/>
      <c r="AD7" s="19"/>
      <c r="AE7" s="19"/>
      <c r="AF7" s="19"/>
      <c r="AG7" s="19"/>
      <c r="AH7" s="19"/>
      <c r="AI7" s="1"/>
      <c r="AJ7" s="1"/>
      <c r="AK7" s="1"/>
      <c r="AL7" s="1"/>
      <c r="AM7" s="1"/>
      <c r="AN7" s="8">
        <f t="shared" ref="AN7:AQ7" si="57">AN3/AN5</f>
        <v>0.92840495944812151</v>
      </c>
      <c r="AO7" s="8">
        <f t="shared" si="57"/>
        <v>0.92239170706712392</v>
      </c>
      <c r="AP7" s="8">
        <f t="shared" si="57"/>
        <v>0.91598226615306344</v>
      </c>
      <c r="AQ7" s="8">
        <f t="shared" si="57"/>
        <v>0.90211951227704812</v>
      </c>
      <c r="AR7" s="8">
        <f>AR3/AR5</f>
        <v>0.90706670440607606</v>
      </c>
      <c r="AS7" s="21">
        <f>AS3/AS5</f>
        <v>0.90461808867110272</v>
      </c>
      <c r="AT7" s="21">
        <f t="shared" ref="AT7:AX7" si="58">AT3/AT5</f>
        <v>0.90044883957534627</v>
      </c>
      <c r="AU7" s="21">
        <f t="shared" si="58"/>
        <v>0.8926837008875812</v>
      </c>
      <c r="AV7" s="21">
        <f t="shared" si="58"/>
        <v>0.88347868507909622</v>
      </c>
      <c r="AW7" s="21">
        <f t="shared" si="58"/>
        <v>0.87350011818163664</v>
      </c>
      <c r="AX7" s="21">
        <f t="shared" si="58"/>
        <v>0.86491877521324756</v>
      </c>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row>
    <row r="8" spans="1:98" s="8" customFormat="1">
      <c r="A8" s="1"/>
      <c r="B8" s="1" t="s">
        <v>115</v>
      </c>
      <c r="C8" s="8">
        <f t="shared" ref="C8:U8" si="59">C4/C5</f>
        <v>8.7267215244694676E-2</v>
      </c>
      <c r="D8" s="8">
        <f t="shared" si="59"/>
        <v>6.0064626496863713E-2</v>
      </c>
      <c r="E8" s="8">
        <f t="shared" si="59"/>
        <v>7.0159369847957495E-2</v>
      </c>
      <c r="F8" s="8">
        <f t="shared" si="59"/>
        <v>7.0961412688031397E-2</v>
      </c>
      <c r="G8" s="8">
        <f t="shared" si="59"/>
        <v>6.8291065804740592E-2</v>
      </c>
      <c r="H8" s="8">
        <f t="shared" si="59"/>
        <v>7.0695735812760493E-2</v>
      </c>
      <c r="I8" s="8">
        <f t="shared" si="59"/>
        <v>9.3011970236169528E-2</v>
      </c>
      <c r="J8" s="8">
        <f t="shared" si="59"/>
        <v>7.8201792425556513E-2</v>
      </c>
      <c r="K8" s="8">
        <f t="shared" si="59"/>
        <v>7.4811044269628257E-2</v>
      </c>
      <c r="L8" s="8">
        <f t="shared" si="59"/>
        <v>7.846018219218337E-2</v>
      </c>
      <c r="M8" s="8">
        <f t="shared" si="59"/>
        <v>8.9395267309377732E-2</v>
      </c>
      <c r="N8" s="8">
        <f t="shared" si="59"/>
        <v>9.2238927265339291E-2</v>
      </c>
      <c r="O8" s="8">
        <f t="shared" si="59"/>
        <v>9.6022727272727273E-2</v>
      </c>
      <c r="P8" s="8">
        <f t="shared" si="59"/>
        <v>0.10031563057499657</v>
      </c>
      <c r="Q8" s="8">
        <f t="shared" si="59"/>
        <v>0.10299272040981397</v>
      </c>
      <c r="R8" s="8">
        <f t="shared" si="59"/>
        <v>9.2574134064291061E-2</v>
      </c>
      <c r="S8" s="8">
        <f t="shared" si="59"/>
        <v>8.63748538771269E-2</v>
      </c>
      <c r="T8" s="8">
        <f t="shared" si="59"/>
        <v>9.2834495878249837E-2</v>
      </c>
      <c r="U8" s="8">
        <f t="shared" si="59"/>
        <v>9.9401044985344716E-2</v>
      </c>
      <c r="V8" s="8">
        <f>V4/V5</f>
        <v>9.2995457805402817E-2</v>
      </c>
      <c r="W8" s="8">
        <f t="shared" ref="W8" si="60">W4/W5</f>
        <v>9.9473751764856885E-2</v>
      </c>
      <c r="X8" s="19"/>
      <c r="Y8" s="19"/>
      <c r="Z8" s="19"/>
      <c r="AA8" s="19"/>
      <c r="AB8" s="19"/>
      <c r="AC8" s="19"/>
      <c r="AD8" s="19"/>
      <c r="AE8" s="19"/>
      <c r="AF8" s="19"/>
      <c r="AG8" s="19"/>
      <c r="AH8" s="19"/>
      <c r="AI8" s="1"/>
      <c r="AJ8" s="1"/>
      <c r="AK8" s="1"/>
      <c r="AL8" s="1"/>
      <c r="AM8" s="1"/>
      <c r="AN8" s="8">
        <f t="shared" ref="AN8:AQ8" si="61">AN4/AN5</f>
        <v>7.1595040551878444E-2</v>
      </c>
      <c r="AO8" s="8">
        <f t="shared" si="61"/>
        <v>7.7608292932876119E-2</v>
      </c>
      <c r="AP8" s="8">
        <f t="shared" si="61"/>
        <v>8.4017733846936546E-2</v>
      </c>
      <c r="AQ8" s="8">
        <f t="shared" si="61"/>
        <v>9.7880487722951867E-2</v>
      </c>
      <c r="AR8" s="8">
        <f>AR4/AR5</f>
        <v>9.2933295593923951E-2</v>
      </c>
      <c r="AS8" s="21">
        <f>AS4/AS5</f>
        <v>9.5381911328897215E-2</v>
      </c>
      <c r="AT8" s="21">
        <f t="shared" ref="AT8:AX8" si="62">AT4/AT5</f>
        <v>9.9551160424653728E-2</v>
      </c>
      <c r="AU8" s="21">
        <f t="shared" si="62"/>
        <v>0.10731629911241877</v>
      </c>
      <c r="AV8" s="21">
        <f t="shared" si="62"/>
        <v>0.11652131492090369</v>
      </c>
      <c r="AW8" s="21">
        <f t="shared" si="62"/>
        <v>0.12649988181836344</v>
      </c>
      <c r="AX8" s="21">
        <f t="shared" si="62"/>
        <v>0.13508122478675241</v>
      </c>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row>
    <row r="9" spans="1:98" s="8" customFormat="1">
      <c r="A9" s="1"/>
      <c r="B9" s="1"/>
      <c r="X9" s="19"/>
      <c r="Y9" s="19"/>
      <c r="Z9" s="19"/>
      <c r="AA9" s="19"/>
      <c r="AB9" s="19"/>
      <c r="AC9" s="19"/>
      <c r="AD9" s="19"/>
      <c r="AE9" s="19"/>
      <c r="AF9" s="19"/>
      <c r="AG9" s="19"/>
      <c r="AH9" s="19"/>
      <c r="AI9" s="1"/>
      <c r="AJ9" s="1"/>
      <c r="AK9" s="1"/>
      <c r="AL9" s="1"/>
      <c r="AM9" s="1"/>
      <c r="AN9" s="1"/>
      <c r="AO9" s="1"/>
      <c r="AP9" s="1"/>
      <c r="AQ9" s="1"/>
      <c r="AR9" s="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row>
    <row r="10" spans="1:98" s="8" customFormat="1">
      <c r="A10" s="1"/>
      <c r="B10" s="1" t="s">
        <v>187</v>
      </c>
      <c r="G10" s="8">
        <f>G3/C3-1</f>
        <v>0.3335705812574139</v>
      </c>
      <c r="H10" s="8">
        <f t="shared" ref="H10:W10" si="63">H3/D3-1</f>
        <v>0.17229524772497462</v>
      </c>
      <c r="I10" s="8">
        <f t="shared" si="63"/>
        <v>0.10460992907801425</v>
      </c>
      <c r="J10" s="8">
        <f t="shared" si="63"/>
        <v>0.12231608588525167</v>
      </c>
      <c r="K10" s="8">
        <f t="shared" si="63"/>
        <v>6.7069916384984829E-2</v>
      </c>
      <c r="L10" s="8">
        <f t="shared" si="63"/>
        <v>8.1938933931343882E-2</v>
      </c>
      <c r="M10" s="8">
        <f t="shared" si="63"/>
        <v>0.11182450508293207</v>
      </c>
      <c r="N10" s="8">
        <f t="shared" si="63"/>
        <v>5.0964403324447183E-2</v>
      </c>
      <c r="O10" s="8">
        <f t="shared" si="63"/>
        <v>6.1020340113371097E-2</v>
      </c>
      <c r="P10" s="8">
        <f t="shared" si="63"/>
        <v>4.5280612244897878E-2</v>
      </c>
      <c r="Q10" s="8">
        <f t="shared" si="63"/>
        <v>6.7372473532242516E-2</v>
      </c>
      <c r="R10" s="8">
        <f t="shared" si="63"/>
        <v>8.6690540137272398E-2</v>
      </c>
      <c r="S10" s="8">
        <f t="shared" si="63"/>
        <v>0.10527969830295403</v>
      </c>
      <c r="T10" s="8">
        <f t="shared" si="63"/>
        <v>9.1061622940817655E-2</v>
      </c>
      <c r="U10" s="8">
        <f t="shared" si="63"/>
        <v>6.2067929065223959E-2</v>
      </c>
      <c r="V10" s="8">
        <f>V3/R3-1</f>
        <v>4.1878346835095392E-2</v>
      </c>
      <c r="W10" s="8">
        <f t="shared" si="63"/>
        <v>-2.5589991470003071E-3</v>
      </c>
      <c r="X10" s="19"/>
      <c r="Y10" s="19"/>
      <c r="Z10" s="19"/>
      <c r="AA10" s="19"/>
      <c r="AB10" s="19"/>
      <c r="AC10" s="19"/>
      <c r="AD10" s="19"/>
      <c r="AE10" s="19"/>
      <c r="AF10" s="19"/>
      <c r="AG10" s="19"/>
      <c r="AH10" s="19"/>
      <c r="AI10" s="1"/>
      <c r="AJ10" s="1"/>
      <c r="AK10" s="1"/>
      <c r="AL10" s="1"/>
      <c r="AM10" s="1"/>
      <c r="AO10" s="8">
        <f t="shared" ref="AO10:AQ10" si="64">AO3/AN3-1</f>
        <v>0.17491716035746552</v>
      </c>
      <c r="AP10" s="8">
        <f t="shared" si="64"/>
        <v>7.7087428424921001E-2</v>
      </c>
      <c r="AQ10" s="8">
        <f t="shared" si="64"/>
        <v>6.5500277711656008E-2</v>
      </c>
      <c r="AR10" s="8">
        <f>AR3/AQ3-1</f>
        <v>7.3909967606210714E-2</v>
      </c>
      <c r="AS10" s="21">
        <v>0.03</v>
      </c>
      <c r="AT10" s="21">
        <v>0.03</v>
      </c>
      <c r="AU10" s="21">
        <v>0.03</v>
      </c>
      <c r="AV10" s="21">
        <v>0.03</v>
      </c>
      <c r="AW10" s="21">
        <v>0.02</v>
      </c>
      <c r="AX10" s="21">
        <v>0.02</v>
      </c>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row>
    <row r="11" spans="1:98" s="8" customFormat="1">
      <c r="A11" s="1"/>
      <c r="B11" s="1" t="s">
        <v>186</v>
      </c>
      <c r="G11" s="8">
        <f t="shared" ref="G11:W11" si="65">G4/C4-1</f>
        <v>2.2332506203474045E-2</v>
      </c>
      <c r="H11" s="8">
        <f t="shared" si="65"/>
        <v>0.39556962025316467</v>
      </c>
      <c r="I11" s="8">
        <f t="shared" si="65"/>
        <v>0.50130548302872069</v>
      </c>
      <c r="J11" s="8">
        <f t="shared" si="65"/>
        <v>0.24654377880184342</v>
      </c>
      <c r="K11" s="8">
        <f t="shared" si="65"/>
        <v>0.17718446601941751</v>
      </c>
      <c r="L11" s="8">
        <f t="shared" si="65"/>
        <v>0.21088435374149661</v>
      </c>
      <c r="M11" s="8">
        <f t="shared" si="65"/>
        <v>6.434782608695655E-2</v>
      </c>
      <c r="N11" s="8">
        <f t="shared" si="65"/>
        <v>0.25878003696857665</v>
      </c>
      <c r="O11" s="8">
        <f t="shared" si="65"/>
        <v>0.39381443298969065</v>
      </c>
      <c r="P11" s="8">
        <f t="shared" si="65"/>
        <v>0.36891385767790252</v>
      </c>
      <c r="Q11" s="8">
        <f t="shared" si="65"/>
        <v>0.24836601307189543</v>
      </c>
      <c r="R11" s="8">
        <f t="shared" si="65"/>
        <v>9.1042584434654961E-2</v>
      </c>
      <c r="S11" s="8">
        <f t="shared" si="65"/>
        <v>-1.6272189349112454E-2</v>
      </c>
      <c r="T11" s="8">
        <f t="shared" si="65"/>
        <v>1.3679890560875929E-3</v>
      </c>
      <c r="U11" s="8">
        <f t="shared" si="65"/>
        <v>2.0942408376963373E-2</v>
      </c>
      <c r="V11" s="8">
        <f t="shared" si="65"/>
        <v>4.7106325706594898E-2</v>
      </c>
      <c r="W11" s="8">
        <f t="shared" si="65"/>
        <v>0.16541353383458657</v>
      </c>
      <c r="X11" s="19"/>
      <c r="Y11" s="19"/>
      <c r="Z11" s="19"/>
      <c r="AA11" s="19"/>
      <c r="AB11" s="19"/>
      <c r="AC11" s="19"/>
      <c r="AD11" s="19"/>
      <c r="AE11" s="19"/>
      <c r="AF11" s="19"/>
      <c r="AG11" s="19"/>
      <c r="AH11" s="19"/>
      <c r="AI11" s="1"/>
      <c r="AJ11" s="1"/>
      <c r="AK11" s="1"/>
      <c r="AL11" s="1"/>
      <c r="AM11" s="1"/>
      <c r="AO11" s="8">
        <f t="shared" ref="AO11:AQ11" si="66">AO4/AN4-1</f>
        <v>0.28190104166666674</v>
      </c>
      <c r="AP11" s="8">
        <f t="shared" si="66"/>
        <v>0.17420010157440324</v>
      </c>
      <c r="AQ11" s="8">
        <f t="shared" si="66"/>
        <v>0.26038062283737018</v>
      </c>
      <c r="AR11" s="8">
        <f>AR4/AQ4-1</f>
        <v>1.4070006863418083E-2</v>
      </c>
      <c r="AS11" s="21">
        <v>0.06</v>
      </c>
      <c r="AT11" s="21">
        <v>0.08</v>
      </c>
      <c r="AU11" s="21">
        <v>0.12</v>
      </c>
      <c r="AV11" s="21">
        <v>0.13</v>
      </c>
      <c r="AW11" s="21">
        <v>0.12</v>
      </c>
      <c r="AX11" s="21">
        <v>0.1</v>
      </c>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row>
    <row r="12" spans="1:98" s="8" customFormat="1">
      <c r="A12" s="1"/>
      <c r="B12" s="1" t="s">
        <v>185</v>
      </c>
      <c r="G12" s="8">
        <f t="shared" ref="G12:W12" si="67">G5/C5-1</f>
        <v>0.30640970116933741</v>
      </c>
      <c r="H12" s="8">
        <f t="shared" si="67"/>
        <v>0.18570613951720216</v>
      </c>
      <c r="I12" s="8">
        <f t="shared" si="67"/>
        <v>0.13244183916468222</v>
      </c>
      <c r="J12" s="8">
        <f t="shared" si="67"/>
        <v>0.13113145846958796</v>
      </c>
      <c r="K12" s="8">
        <f t="shared" si="67"/>
        <v>7.458975634012921E-2</v>
      </c>
      <c r="L12" s="8">
        <f t="shared" si="67"/>
        <v>9.105482526450781E-2</v>
      </c>
      <c r="M12" s="8">
        <f t="shared" si="67"/>
        <v>0.10740860562924626</v>
      </c>
      <c r="N12" s="8">
        <f t="shared" si="67"/>
        <v>6.7215958369470918E-2</v>
      </c>
      <c r="O12" s="8">
        <f t="shared" si="67"/>
        <v>8.5917013728212144E-2</v>
      </c>
      <c r="P12" s="8">
        <f t="shared" si="67"/>
        <v>7.0672935645019086E-2</v>
      </c>
      <c r="Q12" s="8">
        <f t="shared" si="67"/>
        <v>8.3552439380660148E-2</v>
      </c>
      <c r="R12" s="8">
        <f t="shared" si="67"/>
        <v>8.7091968034674228E-2</v>
      </c>
      <c r="S12" s="8">
        <f t="shared" si="67"/>
        <v>9.3607954545454453E-2</v>
      </c>
      <c r="T12" s="8">
        <f t="shared" si="67"/>
        <v>8.2063949499108002E-2</v>
      </c>
      <c r="U12" s="8">
        <f t="shared" si="67"/>
        <v>5.7832299811269916E-2</v>
      </c>
      <c r="V12" s="8">
        <f>V5/R5-1</f>
        <v>4.2362322452030865E-2</v>
      </c>
      <c r="W12" s="8">
        <f t="shared" si="67"/>
        <v>1.1949603844655154E-2</v>
      </c>
      <c r="X12" s="19"/>
      <c r="Y12" s="19"/>
      <c r="Z12" s="19"/>
      <c r="AA12" s="19"/>
      <c r="AB12" s="19"/>
      <c r="AC12" s="19"/>
      <c r="AD12" s="19"/>
      <c r="AE12" s="19"/>
      <c r="AF12" s="19"/>
      <c r="AG12" s="19"/>
      <c r="AH12" s="19"/>
      <c r="AI12" s="1"/>
      <c r="AJ12" s="1"/>
      <c r="AK12" s="1"/>
      <c r="AL12" s="1"/>
      <c r="AM12" s="1"/>
      <c r="AO12" s="8">
        <f t="shared" ref="AO12:AQ12" si="68">AO5/AN5-1</f>
        <v>0.18257667567819524</v>
      </c>
      <c r="AP12" s="8">
        <f t="shared" si="68"/>
        <v>8.4624177210200546E-2</v>
      </c>
      <c r="AQ12" s="8">
        <f t="shared" si="68"/>
        <v>8.1873682680427384E-2</v>
      </c>
      <c r="AR12" s="8">
        <f>AR5/AQ5-1</f>
        <v>6.8052803063383793E-2</v>
      </c>
      <c r="AS12" s="21">
        <f>AS5/AR5-1</f>
        <v>3.2787998867817914E-2</v>
      </c>
      <c r="AT12" s="21">
        <f t="shared" ref="AT12:AX12" si="69">AT5/AS5-1</f>
        <v>3.4769095566444808E-2</v>
      </c>
      <c r="AU12" s="21">
        <f t="shared" si="69"/>
        <v>3.8959604438218998E-2</v>
      </c>
      <c r="AV12" s="21">
        <f t="shared" si="69"/>
        <v>4.0731629911241907E-2</v>
      </c>
      <c r="AW12" s="21">
        <f t="shared" si="69"/>
        <v>3.1652131492090119E-2</v>
      </c>
      <c r="AX12" s="21">
        <f t="shared" si="69"/>
        <v>3.0119990545469211E-2</v>
      </c>
      <c r="AY12" s="21">
        <f>AU51</f>
        <v>1.4999999999999999E-2</v>
      </c>
      <c r="AZ12" s="21">
        <f>AY12</f>
        <v>1.4999999999999999E-2</v>
      </c>
      <c r="BA12" s="21">
        <f t="shared" ref="BA12:BM12" si="70">AZ12</f>
        <v>1.4999999999999999E-2</v>
      </c>
      <c r="BB12" s="21">
        <f t="shared" si="70"/>
        <v>1.4999999999999999E-2</v>
      </c>
      <c r="BC12" s="21">
        <f t="shared" si="70"/>
        <v>1.4999999999999999E-2</v>
      </c>
      <c r="BD12" s="21">
        <f t="shared" si="70"/>
        <v>1.4999999999999999E-2</v>
      </c>
      <c r="BE12" s="21">
        <f t="shared" si="70"/>
        <v>1.4999999999999999E-2</v>
      </c>
      <c r="BF12" s="21">
        <f t="shared" si="70"/>
        <v>1.4999999999999999E-2</v>
      </c>
      <c r="BG12" s="21">
        <f t="shared" si="70"/>
        <v>1.4999999999999999E-2</v>
      </c>
      <c r="BH12" s="21">
        <f t="shared" si="70"/>
        <v>1.4999999999999999E-2</v>
      </c>
      <c r="BI12" s="21">
        <f t="shared" si="70"/>
        <v>1.4999999999999999E-2</v>
      </c>
      <c r="BJ12" s="21">
        <f t="shared" si="70"/>
        <v>1.4999999999999999E-2</v>
      </c>
      <c r="BK12" s="21">
        <f t="shared" si="70"/>
        <v>1.4999999999999999E-2</v>
      </c>
      <c r="BL12" s="21">
        <f t="shared" si="70"/>
        <v>1.4999999999999999E-2</v>
      </c>
      <c r="BM12" s="21">
        <f t="shared" si="70"/>
        <v>1.4999999999999999E-2</v>
      </c>
      <c r="BN12" s="21">
        <f t="shared" ref="BN12:BT12" si="71">BM12</f>
        <v>1.4999999999999999E-2</v>
      </c>
      <c r="BO12" s="21">
        <f t="shared" si="71"/>
        <v>1.4999999999999999E-2</v>
      </c>
      <c r="BP12" s="21">
        <f t="shared" si="71"/>
        <v>1.4999999999999999E-2</v>
      </c>
      <c r="BQ12" s="21">
        <f t="shared" si="71"/>
        <v>1.4999999999999999E-2</v>
      </c>
      <c r="BR12" s="21">
        <f t="shared" si="71"/>
        <v>1.4999999999999999E-2</v>
      </c>
      <c r="BS12" s="21">
        <f t="shared" si="71"/>
        <v>1.4999999999999999E-2</v>
      </c>
      <c r="BT12" s="21">
        <f t="shared" si="71"/>
        <v>1.4999999999999999E-2</v>
      </c>
      <c r="BU12" s="21">
        <f t="shared" ref="BU12:CB12" si="72">BT12</f>
        <v>1.4999999999999999E-2</v>
      </c>
      <c r="BV12" s="21">
        <f t="shared" si="72"/>
        <v>1.4999999999999999E-2</v>
      </c>
      <c r="BW12" s="21">
        <f t="shared" si="72"/>
        <v>1.4999999999999999E-2</v>
      </c>
      <c r="BX12" s="21">
        <f t="shared" si="72"/>
        <v>1.4999999999999999E-2</v>
      </c>
      <c r="BY12" s="21">
        <f t="shared" si="72"/>
        <v>1.4999999999999999E-2</v>
      </c>
      <c r="BZ12" s="21">
        <f t="shared" si="72"/>
        <v>1.4999999999999999E-2</v>
      </c>
      <c r="CA12" s="21">
        <f t="shared" si="72"/>
        <v>1.4999999999999999E-2</v>
      </c>
      <c r="CB12" s="21">
        <f t="shared" si="72"/>
        <v>1.4999999999999999E-2</v>
      </c>
      <c r="CC12" s="21">
        <f t="shared" ref="CC12:CG12" si="73">CB12</f>
        <v>1.4999999999999999E-2</v>
      </c>
      <c r="CD12" s="21">
        <f t="shared" si="73"/>
        <v>1.4999999999999999E-2</v>
      </c>
      <c r="CE12" s="21">
        <f t="shared" si="73"/>
        <v>1.4999999999999999E-2</v>
      </c>
      <c r="CF12" s="21">
        <f t="shared" si="73"/>
        <v>1.4999999999999999E-2</v>
      </c>
      <c r="CG12" s="21">
        <f t="shared" si="73"/>
        <v>1.4999999999999999E-2</v>
      </c>
      <c r="CH12" s="21">
        <f t="shared" ref="CH12:CQ12" si="74">CG12</f>
        <v>1.4999999999999999E-2</v>
      </c>
      <c r="CI12" s="21">
        <f t="shared" si="74"/>
        <v>1.4999999999999999E-2</v>
      </c>
      <c r="CJ12" s="21">
        <f t="shared" si="74"/>
        <v>1.4999999999999999E-2</v>
      </c>
      <c r="CK12" s="21">
        <f t="shared" si="74"/>
        <v>1.4999999999999999E-2</v>
      </c>
      <c r="CL12" s="21">
        <f t="shared" si="74"/>
        <v>1.4999999999999999E-2</v>
      </c>
      <c r="CM12" s="21">
        <f t="shared" si="74"/>
        <v>1.4999999999999999E-2</v>
      </c>
      <c r="CN12" s="21">
        <f t="shared" si="74"/>
        <v>1.4999999999999999E-2</v>
      </c>
      <c r="CO12" s="21">
        <f t="shared" si="74"/>
        <v>1.4999999999999999E-2</v>
      </c>
      <c r="CP12" s="21">
        <f t="shared" si="74"/>
        <v>1.4999999999999999E-2</v>
      </c>
      <c r="CQ12" s="21">
        <f t="shared" si="74"/>
        <v>1.4999999999999999E-2</v>
      </c>
    </row>
    <row r="13" spans="1:98">
      <c r="W13" s="1"/>
    </row>
    <row r="14" spans="1:98" ht="15">
      <c r="B14" s="2" t="s">
        <v>12</v>
      </c>
      <c r="W14" s="1"/>
    </row>
    <row r="15" spans="1:98">
      <c r="B15" s="1" t="s">
        <v>11</v>
      </c>
      <c r="C15" s="1">
        <v>2469</v>
      </c>
      <c r="D15" s="1">
        <v>2651</v>
      </c>
      <c r="E15" s="1">
        <v>2820</v>
      </c>
      <c r="F15" s="1">
        <f>11013-SUM(C15:E15)</f>
        <v>3073</v>
      </c>
      <c r="G15" s="1">
        <v>3063</v>
      </c>
      <c r="H15" s="1">
        <v>3272</v>
      </c>
      <c r="I15" s="1">
        <v>3476</v>
      </c>
      <c r="J15" s="1">
        <f>13712-SUM(G15:I15)</f>
        <v>3901</v>
      </c>
      <c r="K15" s="1">
        <v>3671</v>
      </c>
      <c r="L15" s="1">
        <v>3863</v>
      </c>
      <c r="M15" s="1">
        <v>3978</v>
      </c>
      <c r="N15" s="1">
        <f>15807-SUM(K15:M15)</f>
        <v>4295</v>
      </c>
      <c r="O15" s="1">
        <v>4147</v>
      </c>
      <c r="P15" s="1">
        <v>4210</v>
      </c>
      <c r="Q15" s="1">
        <v>4257</v>
      </c>
      <c r="R15" s="1">
        <f>17253-SUM(O15:Q15)</f>
        <v>4639</v>
      </c>
      <c r="S15" s="1">
        <v>4467</v>
      </c>
      <c r="T15" s="1">
        <v>4550</v>
      </c>
      <c r="U15" s="1">
        <v>4518</v>
      </c>
      <c r="V15" s="1">
        <f>18267-SUM(S15:U15)</f>
        <v>4732</v>
      </c>
      <c r="W15" s="1">
        <v>4463</v>
      </c>
      <c r="AN15" s="1">
        <f>SUM(C15:F15)</f>
        <v>11013</v>
      </c>
      <c r="AO15" s="1">
        <f>SUM(G15:J15)</f>
        <v>13712</v>
      </c>
      <c r="AP15" s="1">
        <f>SUM(K15:N15)</f>
        <v>15807</v>
      </c>
      <c r="AQ15" s="1">
        <f>SUM(O15:R15)</f>
        <v>17253</v>
      </c>
      <c r="AR15" s="1">
        <f>SUM(S15:V15)</f>
        <v>18267</v>
      </c>
    </row>
    <row r="16" spans="1:98">
      <c r="B16" s="1" t="s">
        <v>13</v>
      </c>
      <c r="C16" s="1">
        <f>478+1671</f>
        <v>2149</v>
      </c>
      <c r="D16" s="1">
        <f>586+2024</f>
        <v>2610</v>
      </c>
      <c r="E16" s="1">
        <f>606+2033</f>
        <v>2639</v>
      </c>
      <c r="F16" s="1">
        <f>2340+8101-SUM(C16:E16)</f>
        <v>3043</v>
      </c>
      <c r="G16" s="1">
        <f>625+2345</f>
        <v>2970</v>
      </c>
      <c r="H16" s="1">
        <f>587+2379</f>
        <v>2966</v>
      </c>
      <c r="I16" s="1">
        <f>529+2177</f>
        <v>2706</v>
      </c>
      <c r="J16" s="1">
        <f>2340+9319-SUM(G16:I16)</f>
        <v>3017</v>
      </c>
      <c r="K16" s="1">
        <v>2812</v>
      </c>
      <c r="L16" s="1">
        <v>2943</v>
      </c>
      <c r="M16" s="1">
        <v>2868</v>
      </c>
      <c r="N16" s="1">
        <f>2071+9640-SUM(K16:M16)</f>
        <v>3088</v>
      </c>
      <c r="O16" s="1">
        <v>2893</v>
      </c>
      <c r="P16" s="1">
        <v>3077</v>
      </c>
      <c r="Q16" s="1">
        <v>3161</v>
      </c>
      <c r="R16" s="1">
        <f>12518-SUM(O16:Q16)</f>
        <v>3387</v>
      </c>
      <c r="S16" s="1">
        <v>3232</v>
      </c>
      <c r="T16" s="1">
        <v>3335</v>
      </c>
      <c r="U16" s="1">
        <v>3329</v>
      </c>
      <c r="V16" s="1">
        <f>13530-SUM(S16:U16)</f>
        <v>3634</v>
      </c>
      <c r="W16" s="1">
        <v>3328</v>
      </c>
      <c r="AN16" s="1">
        <f>SUM(C16:F16)</f>
        <v>10441</v>
      </c>
      <c r="AO16" s="1">
        <f>SUM(G16:J16)</f>
        <v>11659</v>
      </c>
      <c r="AP16" s="1">
        <f>SUM(K16:N16)</f>
        <v>11711</v>
      </c>
      <c r="AQ16" s="1">
        <f>SUM(O16:R16)</f>
        <v>12518</v>
      </c>
      <c r="AR16" s="1">
        <f>SUM(S16:V16)</f>
        <v>13530</v>
      </c>
    </row>
    <row r="17" spans="2:98" ht="15">
      <c r="B17" s="2" t="s">
        <v>10</v>
      </c>
      <c r="C17" s="2">
        <f t="shared" ref="C17" si="75">C16+C15</f>
        <v>4618</v>
      </c>
      <c r="D17" s="2">
        <f t="shared" ref="D17" si="76">D16+D15</f>
        <v>5261</v>
      </c>
      <c r="E17" s="2">
        <f t="shared" ref="E17" si="77">E16+E15</f>
        <v>5459</v>
      </c>
      <c r="F17" s="2">
        <f t="shared" ref="F17" si="78">F16+F15</f>
        <v>6116</v>
      </c>
      <c r="G17" s="2">
        <f t="shared" ref="G17" si="79">G16+G15</f>
        <v>6033</v>
      </c>
      <c r="H17" s="2">
        <f t="shared" ref="H17" si="80">H16+H15</f>
        <v>6238</v>
      </c>
      <c r="I17" s="2">
        <f t="shared" ref="I17" si="81">I16+I15</f>
        <v>6182</v>
      </c>
      <c r="J17" s="2">
        <f t="shared" ref="J17" si="82">J16+J15</f>
        <v>6918</v>
      </c>
      <c r="K17" s="2">
        <f t="shared" ref="K17:T17" si="83">K16+K15</f>
        <v>6483</v>
      </c>
      <c r="L17" s="2">
        <f t="shared" si="83"/>
        <v>6806</v>
      </c>
      <c r="M17" s="2">
        <f t="shared" si="83"/>
        <v>6846</v>
      </c>
      <c r="N17" s="2">
        <f t="shared" si="83"/>
        <v>7383</v>
      </c>
      <c r="O17" s="2">
        <f t="shared" si="83"/>
        <v>7040</v>
      </c>
      <c r="P17" s="2">
        <f t="shared" si="83"/>
        <v>7287</v>
      </c>
      <c r="Q17" s="2">
        <f t="shared" si="83"/>
        <v>7418</v>
      </c>
      <c r="R17" s="2">
        <f t="shared" si="83"/>
        <v>8026</v>
      </c>
      <c r="S17" s="2">
        <f t="shared" si="83"/>
        <v>7699</v>
      </c>
      <c r="T17" s="2">
        <f t="shared" si="83"/>
        <v>7885</v>
      </c>
      <c r="U17" s="2">
        <f>U16+U15</f>
        <v>7847</v>
      </c>
      <c r="V17" s="2">
        <f>V16+V15</f>
        <v>8366</v>
      </c>
      <c r="W17" s="2">
        <f>W16+W15</f>
        <v>7791</v>
      </c>
      <c r="X17" s="20"/>
      <c r="AN17" s="1">
        <f>SUM(C17:F17)</f>
        <v>21454</v>
      </c>
      <c r="AO17" s="1">
        <f>SUM(G17:J17)</f>
        <v>25371</v>
      </c>
      <c r="AP17" s="1">
        <f>SUM(K17:N17)</f>
        <v>27518</v>
      </c>
      <c r="AQ17" s="1">
        <f>SUM(O17:R17)</f>
        <v>29771</v>
      </c>
      <c r="AR17" s="1">
        <f>SUM(S17:V17)</f>
        <v>31797</v>
      </c>
    </row>
    <row r="18" spans="2:98" ht="15">
      <c r="B18" s="2"/>
      <c r="C18" s="2"/>
      <c r="D18" s="2"/>
      <c r="E18" s="2"/>
      <c r="F18" s="2"/>
      <c r="G18" s="2"/>
      <c r="H18" s="2"/>
      <c r="I18" s="2"/>
      <c r="J18" s="2"/>
      <c r="K18" s="2"/>
      <c r="L18" s="2"/>
      <c r="M18" s="2"/>
      <c r="N18" s="2"/>
      <c r="O18" s="2"/>
      <c r="P18" s="2"/>
      <c r="Q18" s="2"/>
      <c r="R18" s="2"/>
      <c r="S18" s="2"/>
      <c r="T18" s="2"/>
      <c r="U18" s="2"/>
      <c r="V18" s="2"/>
      <c r="W18" s="2"/>
      <c r="X18" s="20"/>
    </row>
    <row r="19" spans="2:98">
      <c r="B19" s="1" t="s">
        <v>112</v>
      </c>
      <c r="C19" s="8">
        <f t="shared" ref="C19:U19" si="84">C15/C17</f>
        <v>0.53464703334776964</v>
      </c>
      <c r="D19" s="8">
        <f t="shared" si="84"/>
        <v>0.50389659760501804</v>
      </c>
      <c r="E19" s="8">
        <f t="shared" si="84"/>
        <v>0.51657812786224588</v>
      </c>
      <c r="F19" s="8">
        <f t="shared" si="84"/>
        <v>0.50245258338783516</v>
      </c>
      <c r="G19" s="8">
        <f t="shared" si="84"/>
        <v>0.50770760815514671</v>
      </c>
      <c r="H19" s="8">
        <f t="shared" si="84"/>
        <v>0.52452709201667203</v>
      </c>
      <c r="I19" s="8">
        <f t="shared" si="84"/>
        <v>0.56227758007117434</v>
      </c>
      <c r="J19" s="8">
        <f t="shared" si="84"/>
        <v>0.56389129806302396</v>
      </c>
      <c r="K19" s="8">
        <f t="shared" si="84"/>
        <v>0.56625019281196975</v>
      </c>
      <c r="L19" s="8">
        <f t="shared" si="84"/>
        <v>0.56758742286218045</v>
      </c>
      <c r="M19" s="8">
        <f t="shared" si="84"/>
        <v>0.58106923751095529</v>
      </c>
      <c r="N19" s="8">
        <f t="shared" si="84"/>
        <v>0.58174183936069346</v>
      </c>
      <c r="O19" s="8">
        <f t="shared" si="84"/>
        <v>0.58906250000000004</v>
      </c>
      <c r="P19" s="8">
        <f t="shared" si="84"/>
        <v>0.57774118292850285</v>
      </c>
      <c r="Q19" s="8">
        <f t="shared" si="84"/>
        <v>0.57387435966567812</v>
      </c>
      <c r="R19" s="8">
        <f t="shared" si="84"/>
        <v>0.577996511338151</v>
      </c>
      <c r="S19" s="8">
        <f t="shared" si="84"/>
        <v>0.58020522145733211</v>
      </c>
      <c r="T19" s="8">
        <f t="shared" si="84"/>
        <v>0.5770450221940393</v>
      </c>
      <c r="U19" s="8">
        <f t="shared" si="84"/>
        <v>0.57576143749203512</v>
      </c>
      <c r="V19" s="8">
        <f>V15/V17</f>
        <v>0.56562275878556056</v>
      </c>
      <c r="W19" s="8">
        <f t="shared" ref="W19" si="85">W15/W17</f>
        <v>0.57284045693749197</v>
      </c>
      <c r="AN19" s="8">
        <f t="shared" ref="AN19:AQ19" si="86">AN15/AN17</f>
        <v>0.51333084739442525</v>
      </c>
      <c r="AO19" s="8">
        <f t="shared" si="86"/>
        <v>0.54045957983524495</v>
      </c>
      <c r="AP19" s="8">
        <f t="shared" si="86"/>
        <v>0.57442401337306492</v>
      </c>
      <c r="AQ19" s="8">
        <f t="shared" si="86"/>
        <v>0.57952369755802624</v>
      </c>
      <c r="AR19" s="8">
        <f>AR15/AR17</f>
        <v>0.57448815926030761</v>
      </c>
    </row>
    <row r="20" spans="2:98">
      <c r="B20" s="1" t="s">
        <v>113</v>
      </c>
      <c r="C20" s="8">
        <f t="shared" ref="C20:U20" si="87">C16/C17</f>
        <v>0.46535296665223042</v>
      </c>
      <c r="D20" s="8">
        <f t="shared" si="87"/>
        <v>0.49610340239498196</v>
      </c>
      <c r="E20" s="8">
        <f t="shared" si="87"/>
        <v>0.48342187213775417</v>
      </c>
      <c r="F20" s="8">
        <f t="shared" si="87"/>
        <v>0.49754741661216484</v>
      </c>
      <c r="G20" s="8">
        <f t="shared" si="87"/>
        <v>0.49229239184485329</v>
      </c>
      <c r="H20" s="8">
        <f t="shared" si="87"/>
        <v>0.47547290798332797</v>
      </c>
      <c r="I20" s="8">
        <f t="shared" si="87"/>
        <v>0.4377224199288256</v>
      </c>
      <c r="J20" s="8">
        <f t="shared" si="87"/>
        <v>0.43610870193697598</v>
      </c>
      <c r="K20" s="8">
        <f t="shared" si="87"/>
        <v>0.43374980718803025</v>
      </c>
      <c r="L20" s="8">
        <f t="shared" si="87"/>
        <v>0.43241257713781955</v>
      </c>
      <c r="M20" s="8">
        <f t="shared" si="87"/>
        <v>0.41893076248904471</v>
      </c>
      <c r="N20" s="8">
        <f t="shared" si="87"/>
        <v>0.41825816063930654</v>
      </c>
      <c r="O20" s="8">
        <f t="shared" si="87"/>
        <v>0.41093750000000001</v>
      </c>
      <c r="P20" s="8">
        <f t="shared" si="87"/>
        <v>0.42225881707149721</v>
      </c>
      <c r="Q20" s="8">
        <f t="shared" si="87"/>
        <v>0.42612564033432193</v>
      </c>
      <c r="R20" s="8">
        <f t="shared" si="87"/>
        <v>0.422003488661849</v>
      </c>
      <c r="S20" s="8">
        <f t="shared" si="87"/>
        <v>0.41979477854266789</v>
      </c>
      <c r="T20" s="8">
        <f t="shared" si="87"/>
        <v>0.4229549778059607</v>
      </c>
      <c r="U20" s="8">
        <f t="shared" si="87"/>
        <v>0.42423856250796482</v>
      </c>
      <c r="V20" s="8">
        <f>V16/V17</f>
        <v>0.43437724121443938</v>
      </c>
      <c r="W20" s="8">
        <f t="shared" ref="W20" si="88">W16/W17</f>
        <v>0.42715954306250803</v>
      </c>
      <c r="AN20" s="8">
        <f t="shared" ref="AN20:AQ20" si="89">AN16/AN17</f>
        <v>0.4866691526055747</v>
      </c>
      <c r="AO20" s="8">
        <f t="shared" si="89"/>
        <v>0.45954042016475505</v>
      </c>
      <c r="AP20" s="8">
        <f t="shared" si="89"/>
        <v>0.42557598662693508</v>
      </c>
      <c r="AQ20" s="8">
        <f t="shared" si="89"/>
        <v>0.42047630244197376</v>
      </c>
      <c r="AR20" s="8">
        <f>AR16/AR17</f>
        <v>0.42551184073969245</v>
      </c>
    </row>
    <row r="21" spans="2:98">
      <c r="C21" s="8"/>
      <c r="D21" s="8"/>
      <c r="E21" s="8"/>
      <c r="F21" s="8"/>
      <c r="G21" s="8"/>
      <c r="H21" s="8"/>
      <c r="I21" s="8"/>
      <c r="J21" s="8"/>
      <c r="K21" s="8"/>
      <c r="L21" s="8"/>
      <c r="M21" s="8"/>
      <c r="N21" s="8"/>
      <c r="O21" s="8"/>
      <c r="P21" s="8"/>
      <c r="Q21" s="8"/>
      <c r="R21" s="8"/>
      <c r="S21" s="8"/>
      <c r="T21" s="8"/>
      <c r="U21" s="8"/>
      <c r="V21" s="8"/>
      <c r="W21" s="8"/>
    </row>
    <row r="22" spans="2:98">
      <c r="B22" s="1" t="s">
        <v>182</v>
      </c>
      <c r="C22" s="8"/>
      <c r="D22" s="8"/>
      <c r="E22" s="8"/>
      <c r="F22" s="8"/>
      <c r="G22" s="8">
        <f>G15/C15-1</f>
        <v>0.24058323207776433</v>
      </c>
      <c r="H22" s="8">
        <f t="shared" ref="H22:W22" si="90">H15/D15-1</f>
        <v>0.23425122595247072</v>
      </c>
      <c r="I22" s="8">
        <f t="shared" si="90"/>
        <v>0.2326241134751772</v>
      </c>
      <c r="J22" s="8">
        <f t="shared" si="90"/>
        <v>0.26944354051415553</v>
      </c>
      <c r="K22" s="8">
        <f t="shared" si="90"/>
        <v>0.19849820437479604</v>
      </c>
      <c r="L22" s="8">
        <f t="shared" si="90"/>
        <v>0.1806234718826405</v>
      </c>
      <c r="M22" s="8">
        <f t="shared" si="90"/>
        <v>0.14441887226697347</v>
      </c>
      <c r="N22" s="8">
        <f t="shared" si="90"/>
        <v>0.10099974365547304</v>
      </c>
      <c r="O22" s="8">
        <f t="shared" si="90"/>
        <v>0.12966494143285212</v>
      </c>
      <c r="P22" s="8">
        <f t="shared" si="90"/>
        <v>8.9826559668651385E-2</v>
      </c>
      <c r="Q22" s="8">
        <f t="shared" si="90"/>
        <v>7.0135746606334815E-2</v>
      </c>
      <c r="R22" s="8">
        <f t="shared" si="90"/>
        <v>8.0093131548311991E-2</v>
      </c>
      <c r="S22" s="8">
        <f t="shared" si="90"/>
        <v>7.7164215095249622E-2</v>
      </c>
      <c r="T22" s="8">
        <f t="shared" si="90"/>
        <v>8.0760095011876532E-2</v>
      </c>
      <c r="U22" s="8">
        <f t="shared" si="90"/>
        <v>6.1310782241014827E-2</v>
      </c>
      <c r="V22" s="8">
        <f>V15/R15-1</f>
        <v>2.0047424013796E-2</v>
      </c>
      <c r="W22" s="8">
        <f t="shared" si="90"/>
        <v>-8.9545556301773299E-4</v>
      </c>
      <c r="AO22" s="8">
        <f t="shared" ref="AO22:AR23" si="91">AO15/AN15-1</f>
        <v>0.2450740034504677</v>
      </c>
      <c r="AP22" s="8">
        <f t="shared" si="91"/>
        <v>0.15278588098016344</v>
      </c>
      <c r="AQ22" s="8">
        <f t="shared" si="91"/>
        <v>9.1478458910609239E-2</v>
      </c>
      <c r="AR22" s="8">
        <f t="shared" si="91"/>
        <v>5.8772387410884974E-2</v>
      </c>
    </row>
    <row r="23" spans="2:98">
      <c r="B23" s="1" t="s">
        <v>183</v>
      </c>
      <c r="C23" s="8"/>
      <c r="D23" s="8"/>
      <c r="E23" s="8"/>
      <c r="F23" s="8"/>
      <c r="G23" s="8">
        <f t="shared" ref="G23:W23" si="92">G16/C16-1</f>
        <v>0.38203815728245694</v>
      </c>
      <c r="H23" s="8">
        <f t="shared" si="92"/>
        <v>0.13639846743295014</v>
      </c>
      <c r="I23" s="8">
        <f t="shared" si="92"/>
        <v>2.5388404698749589E-2</v>
      </c>
      <c r="J23" s="8">
        <f t="shared" si="92"/>
        <v>-8.544199802826169E-3</v>
      </c>
      <c r="K23" s="8">
        <f t="shared" si="92"/>
        <v>-5.3198653198653245E-2</v>
      </c>
      <c r="L23" s="8">
        <f t="shared" si="92"/>
        <v>-7.7545515846257906E-3</v>
      </c>
      <c r="M23" s="8">
        <f t="shared" si="92"/>
        <v>5.9866962305986648E-2</v>
      </c>
      <c r="N23" s="8">
        <f t="shared" si="92"/>
        <v>2.3533311236327403E-2</v>
      </c>
      <c r="O23" s="8">
        <f t="shared" si="92"/>
        <v>2.8805120910384119E-2</v>
      </c>
      <c r="P23" s="8">
        <f t="shared" si="92"/>
        <v>4.5531770302412511E-2</v>
      </c>
      <c r="Q23" s="8">
        <f t="shared" si="92"/>
        <v>0.10216178521617847</v>
      </c>
      <c r="R23" s="8">
        <f t="shared" si="92"/>
        <v>9.6826424870466221E-2</v>
      </c>
      <c r="S23" s="8">
        <f t="shared" si="92"/>
        <v>0.1171793985482199</v>
      </c>
      <c r="T23" s="8">
        <f t="shared" si="92"/>
        <v>8.3847903802404922E-2</v>
      </c>
      <c r="U23" s="8">
        <f t="shared" si="92"/>
        <v>5.3147738057576666E-2</v>
      </c>
      <c r="V23" s="8">
        <f t="shared" si="92"/>
        <v>7.2925893120755925E-2</v>
      </c>
      <c r="W23" s="8">
        <f t="shared" si="92"/>
        <v>2.9702970297029729E-2</v>
      </c>
      <c r="AO23" s="8">
        <f t="shared" si="91"/>
        <v>0.11665549276889187</v>
      </c>
      <c r="AP23" s="8">
        <f t="shared" si="91"/>
        <v>4.4600737627584763E-3</v>
      </c>
      <c r="AQ23" s="8">
        <f t="shared" si="91"/>
        <v>6.8909572197079605E-2</v>
      </c>
      <c r="AR23" s="8">
        <f t="shared" si="91"/>
        <v>8.0843585237258431E-2</v>
      </c>
    </row>
    <row r="24" spans="2:98">
      <c r="B24" s="1" t="s">
        <v>184</v>
      </c>
      <c r="C24" s="8"/>
      <c r="D24" s="8"/>
      <c r="E24" s="8"/>
      <c r="F24" s="8"/>
      <c r="G24" s="8">
        <f t="shared" ref="G24:W24" si="93">G17/C17-1</f>
        <v>0.30640970116933741</v>
      </c>
      <c r="H24" s="8">
        <f t="shared" si="93"/>
        <v>0.18570613951720216</v>
      </c>
      <c r="I24" s="8">
        <f t="shared" si="93"/>
        <v>0.13244183916468222</v>
      </c>
      <c r="J24" s="8">
        <f t="shared" si="93"/>
        <v>0.13113145846958796</v>
      </c>
      <c r="K24" s="8">
        <f t="shared" si="93"/>
        <v>7.458975634012921E-2</v>
      </c>
      <c r="L24" s="8">
        <f t="shared" si="93"/>
        <v>9.105482526450781E-2</v>
      </c>
      <c r="M24" s="8">
        <f t="shared" si="93"/>
        <v>0.10740860562924626</v>
      </c>
      <c r="N24" s="8">
        <f t="shared" si="93"/>
        <v>6.7215958369470918E-2</v>
      </c>
      <c r="O24" s="8">
        <f t="shared" si="93"/>
        <v>8.5917013728212144E-2</v>
      </c>
      <c r="P24" s="8">
        <f t="shared" si="93"/>
        <v>7.0672935645019086E-2</v>
      </c>
      <c r="Q24" s="8">
        <f t="shared" si="93"/>
        <v>8.3552439380660148E-2</v>
      </c>
      <c r="R24" s="8">
        <f t="shared" si="93"/>
        <v>8.7091968034674228E-2</v>
      </c>
      <c r="S24" s="8">
        <f t="shared" si="93"/>
        <v>9.3607954545454453E-2</v>
      </c>
      <c r="T24" s="8">
        <f t="shared" si="93"/>
        <v>8.2063949499108002E-2</v>
      </c>
      <c r="U24" s="8">
        <f t="shared" si="93"/>
        <v>5.7832299811269916E-2</v>
      </c>
      <c r="V24" s="8">
        <f t="shared" si="93"/>
        <v>4.2362322452030865E-2</v>
      </c>
      <c r="W24" s="8">
        <f t="shared" si="93"/>
        <v>1.1949603844655154E-2</v>
      </c>
      <c r="AO24" s="8">
        <f t="shared" ref="AO24:AQ24" si="94">AO17/AN17-1</f>
        <v>0.18257667567819524</v>
      </c>
      <c r="AP24" s="8">
        <f t="shared" si="94"/>
        <v>8.4624177210200546E-2</v>
      </c>
      <c r="AQ24" s="8">
        <f t="shared" si="94"/>
        <v>8.1873682680427384E-2</v>
      </c>
      <c r="AR24" s="8">
        <f>AR17/AQ17-1</f>
        <v>6.8052803063383793E-2</v>
      </c>
      <c r="CR24" s="5"/>
      <c r="CS24" s="5"/>
      <c r="CT24" s="5"/>
    </row>
    <row r="25" spans="2:98">
      <c r="W25" s="1"/>
    </row>
    <row r="26" spans="2:98">
      <c r="B26" s="1" t="s">
        <v>191</v>
      </c>
      <c r="J26" s="1">
        <v>428</v>
      </c>
      <c r="K26" s="1">
        <v>429</v>
      </c>
      <c r="L26" s="1">
        <v>429</v>
      </c>
      <c r="M26" s="1">
        <v>432</v>
      </c>
      <c r="N26" s="1">
        <v>435</v>
      </c>
      <c r="O26" s="1">
        <v>433</v>
      </c>
      <c r="P26" s="1">
        <v>431</v>
      </c>
      <c r="Q26" s="1">
        <v>428</v>
      </c>
      <c r="R26" s="1">
        <v>426</v>
      </c>
      <c r="S26" s="1">
        <v>427</v>
      </c>
      <c r="T26" s="1">
        <v>429</v>
      </c>
      <c r="U26" s="1">
        <v>432</v>
      </c>
      <c r="V26" s="1">
        <v>434</v>
      </c>
      <c r="W26" s="1">
        <v>432</v>
      </c>
      <c r="AN26" s="1">
        <f>AVERAGE(O26:R26)</f>
        <v>429.5</v>
      </c>
      <c r="AO26" s="1">
        <f t="shared" ref="AO26:AP26" si="95">AVERAGE(P26:S26)</f>
        <v>428</v>
      </c>
      <c r="AP26" s="1">
        <f t="shared" si="95"/>
        <v>427.5</v>
      </c>
      <c r="AQ26" s="1">
        <f>R26</f>
        <v>426</v>
      </c>
      <c r="AR26" s="1">
        <v>434</v>
      </c>
    </row>
    <row r="27" spans="2:98">
      <c r="B27" s="1" t="s">
        <v>188</v>
      </c>
      <c r="W27" s="1"/>
      <c r="AN27" s="11" t="s">
        <v>196</v>
      </c>
      <c r="AO27" s="11" t="s">
        <v>195</v>
      </c>
      <c r="AP27" s="11" t="s">
        <v>194</v>
      </c>
      <c r="AQ27" s="11" t="s">
        <v>190</v>
      </c>
      <c r="AR27" s="11" t="s">
        <v>189</v>
      </c>
    </row>
    <row r="28" spans="2:98">
      <c r="W28" s="1"/>
    </row>
    <row r="29" spans="2:98" s="2" customFormat="1" ht="15">
      <c r="B29" s="2" t="s">
        <v>7</v>
      </c>
      <c r="C29" s="2">
        <f t="shared" ref="C29:V29" si="96">C5</f>
        <v>4618</v>
      </c>
      <c r="D29" s="2">
        <f t="shared" si="96"/>
        <v>5261</v>
      </c>
      <c r="E29" s="2">
        <f t="shared" si="96"/>
        <v>5459</v>
      </c>
      <c r="F29" s="2">
        <f t="shared" si="96"/>
        <v>6116</v>
      </c>
      <c r="G29" s="2">
        <f t="shared" si="96"/>
        <v>6033</v>
      </c>
      <c r="H29" s="2">
        <f t="shared" si="96"/>
        <v>6238</v>
      </c>
      <c r="I29" s="2">
        <f t="shared" si="96"/>
        <v>6182</v>
      </c>
      <c r="J29" s="2">
        <f t="shared" si="96"/>
        <v>6918</v>
      </c>
      <c r="K29" s="2">
        <f t="shared" si="96"/>
        <v>6483</v>
      </c>
      <c r="L29" s="2">
        <f t="shared" si="96"/>
        <v>6806</v>
      </c>
      <c r="M29" s="2">
        <f t="shared" si="96"/>
        <v>6846</v>
      </c>
      <c r="N29" s="2">
        <f t="shared" si="96"/>
        <v>7383</v>
      </c>
      <c r="O29" s="2">
        <f t="shared" si="96"/>
        <v>7040</v>
      </c>
      <c r="P29" s="2">
        <f t="shared" si="96"/>
        <v>7287</v>
      </c>
      <c r="Q29" s="2">
        <f t="shared" si="96"/>
        <v>7418</v>
      </c>
      <c r="R29" s="2">
        <f t="shared" si="96"/>
        <v>8026</v>
      </c>
      <c r="S29" s="2">
        <f t="shared" si="96"/>
        <v>7699</v>
      </c>
      <c r="T29" s="2">
        <f t="shared" si="96"/>
        <v>7885</v>
      </c>
      <c r="U29" s="2">
        <f t="shared" si="96"/>
        <v>7847</v>
      </c>
      <c r="V29" s="2">
        <f t="shared" si="96"/>
        <v>8366</v>
      </c>
      <c r="W29" s="2">
        <f t="shared" ref="W29" si="97">W5</f>
        <v>7791</v>
      </c>
      <c r="X29" s="20">
        <v>8.09</v>
      </c>
      <c r="Y29" s="20">
        <v>8.16</v>
      </c>
      <c r="Z29" s="20">
        <v>8.73</v>
      </c>
      <c r="AA29" s="20">
        <v>8.2799999999999994</v>
      </c>
      <c r="AB29" s="20">
        <v>8.5299999999999994</v>
      </c>
      <c r="AC29" s="20">
        <v>8.6300000000000008</v>
      </c>
      <c r="AD29" s="20">
        <v>9.2100000000000009</v>
      </c>
      <c r="AE29" s="20">
        <v>8.94</v>
      </c>
      <c r="AF29" s="20"/>
      <c r="AG29" s="20"/>
      <c r="AH29" s="20"/>
      <c r="AN29" s="2">
        <f t="shared" ref="AN29:AQ40" si="98">SUM(O29:R29)</f>
        <v>29771</v>
      </c>
      <c r="AO29" s="2">
        <f t="shared" si="98"/>
        <v>30430</v>
      </c>
      <c r="AP29" s="2">
        <f t="shared" si="98"/>
        <v>31028</v>
      </c>
      <c r="AQ29" s="2">
        <f t="shared" si="98"/>
        <v>31457</v>
      </c>
      <c r="AR29" s="2">
        <f>SUM(S29:V29)</f>
        <v>31797</v>
      </c>
      <c r="AS29" s="22">
        <f>AS5</f>
        <v>32839.560000000005</v>
      </c>
      <c r="AT29" s="22">
        <f t="shared" ref="AT29:AW29" si="99">AT5</f>
        <v>33981.361800000006</v>
      </c>
      <c r="AU29" s="22">
        <f t="shared" si="99"/>
        <v>35305.262214000009</v>
      </c>
      <c r="AV29" s="22">
        <f t="shared" si="99"/>
        <v>36743.303088420013</v>
      </c>
      <c r="AW29" s="22">
        <f t="shared" si="99"/>
        <v>37906.306949228405</v>
      </c>
      <c r="AX29" s="22">
        <f>AX5</f>
        <v>39048.044556152818</v>
      </c>
      <c r="AY29" s="22">
        <f t="shared" ref="AY29:CQ29" si="100">AX29*(1+$AU$51)</f>
        <v>39633.76522449511</v>
      </c>
      <c r="AZ29" s="22">
        <f t="shared" si="100"/>
        <v>40228.271702862534</v>
      </c>
      <c r="BA29" s="22">
        <f t="shared" si="100"/>
        <v>40831.695778405468</v>
      </c>
      <c r="BB29" s="22">
        <f t="shared" si="100"/>
        <v>41444.171215081544</v>
      </c>
      <c r="BC29" s="22">
        <f t="shared" si="100"/>
        <v>42065.83378330776</v>
      </c>
      <c r="BD29" s="22">
        <f t="shared" si="100"/>
        <v>42696.821290057371</v>
      </c>
      <c r="BE29" s="22">
        <f t="shared" si="100"/>
        <v>43337.273609408228</v>
      </c>
      <c r="BF29" s="22">
        <f t="shared" si="100"/>
        <v>43987.332713549345</v>
      </c>
      <c r="BG29" s="22">
        <f t="shared" si="100"/>
        <v>44647.142704252583</v>
      </c>
      <c r="BH29" s="22">
        <f t="shared" si="100"/>
        <v>45316.849844816366</v>
      </c>
      <c r="BI29" s="22">
        <f t="shared" si="100"/>
        <v>45996.602592488605</v>
      </c>
      <c r="BJ29" s="22">
        <f t="shared" si="100"/>
        <v>46686.551631375929</v>
      </c>
      <c r="BK29" s="22">
        <f t="shared" si="100"/>
        <v>47386.84990584656</v>
      </c>
      <c r="BL29" s="22">
        <f t="shared" si="100"/>
        <v>48097.652654434256</v>
      </c>
      <c r="BM29" s="22">
        <f t="shared" si="100"/>
        <v>48819.117444250762</v>
      </c>
      <c r="BN29" s="22">
        <f t="shared" si="100"/>
        <v>49551.404205914521</v>
      </c>
      <c r="BO29" s="22">
        <f t="shared" si="100"/>
        <v>50294.675269003237</v>
      </c>
      <c r="BP29" s="22">
        <f t="shared" si="100"/>
        <v>51049.095398038284</v>
      </c>
      <c r="BQ29" s="22">
        <f t="shared" si="100"/>
        <v>51814.83182900885</v>
      </c>
      <c r="BR29" s="22">
        <f t="shared" si="100"/>
        <v>52592.054306443977</v>
      </c>
      <c r="BS29" s="22">
        <f t="shared" si="100"/>
        <v>53380.935121040631</v>
      </c>
      <c r="BT29" s="22">
        <f t="shared" si="100"/>
        <v>54181.649147856238</v>
      </c>
      <c r="BU29" s="22">
        <f t="shared" si="100"/>
        <v>54994.373885074077</v>
      </c>
      <c r="BV29" s="22">
        <f t="shared" si="100"/>
        <v>55819.289493350181</v>
      </c>
      <c r="BW29" s="22">
        <f t="shared" si="100"/>
        <v>56656.578835750428</v>
      </c>
      <c r="BX29" s="22">
        <f t="shared" si="100"/>
        <v>57506.427518286677</v>
      </c>
      <c r="BY29" s="22">
        <f t="shared" si="100"/>
        <v>58369.023931060969</v>
      </c>
      <c r="BZ29" s="22">
        <f t="shared" si="100"/>
        <v>59244.559290026875</v>
      </c>
      <c r="CA29" s="22">
        <f t="shared" si="100"/>
        <v>60133.227679377269</v>
      </c>
      <c r="CB29" s="22">
        <f t="shared" si="100"/>
        <v>61035.226094567923</v>
      </c>
      <c r="CC29" s="22">
        <f t="shared" si="100"/>
        <v>61950.754485986436</v>
      </c>
      <c r="CD29" s="22">
        <f t="shared" si="100"/>
        <v>62880.015803276227</v>
      </c>
      <c r="CE29" s="22">
        <f t="shared" si="100"/>
        <v>63823.216040325366</v>
      </c>
      <c r="CF29" s="22">
        <f t="shared" si="100"/>
        <v>64780.564280930237</v>
      </c>
      <c r="CG29" s="22">
        <f t="shared" si="100"/>
        <v>65752.27274514419</v>
      </c>
      <c r="CH29" s="22">
        <f t="shared" si="100"/>
        <v>66738.556836321353</v>
      </c>
      <c r="CI29" s="22">
        <f t="shared" si="100"/>
        <v>67739.635188866174</v>
      </c>
      <c r="CJ29" s="22">
        <f t="shared" si="100"/>
        <v>68755.729716699163</v>
      </c>
      <c r="CK29" s="22">
        <f t="shared" si="100"/>
        <v>69787.065662449648</v>
      </c>
      <c r="CL29" s="22">
        <f t="shared" si="100"/>
        <v>70833.87164738639</v>
      </c>
      <c r="CM29" s="22">
        <f t="shared" si="100"/>
        <v>71896.379722097176</v>
      </c>
      <c r="CN29" s="22">
        <f t="shared" si="100"/>
        <v>72974.82541792863</v>
      </c>
      <c r="CO29" s="22">
        <f t="shared" si="100"/>
        <v>74069.447799197558</v>
      </c>
      <c r="CP29" s="22">
        <f t="shared" si="100"/>
        <v>75180.489516185509</v>
      </c>
      <c r="CQ29" s="22">
        <f t="shared" si="100"/>
        <v>76308.196858928291</v>
      </c>
      <c r="CR29" s="18"/>
      <c r="CS29" s="18"/>
      <c r="CT29" s="18"/>
    </row>
    <row r="30" spans="2:98">
      <c r="B30" s="1" t="s">
        <v>14</v>
      </c>
      <c r="C30" s="1">
        <v>1739</v>
      </c>
      <c r="D30" s="1">
        <v>1843</v>
      </c>
      <c r="E30" s="1">
        <v>2022</v>
      </c>
      <c r="F30" s="1">
        <f>7934-SUM(C30:E30)</f>
        <v>2330</v>
      </c>
      <c r="G30" s="1">
        <v>2275</v>
      </c>
      <c r="H30" s="1">
        <v>2524</v>
      </c>
      <c r="I30" s="1">
        <v>2564</v>
      </c>
      <c r="J30" s="1">
        <f>10315-SUM(G30:I30)</f>
        <v>2952</v>
      </c>
      <c r="K30" s="1">
        <v>2817</v>
      </c>
      <c r="L30" s="1">
        <v>3044</v>
      </c>
      <c r="M30" s="1">
        <v>2988</v>
      </c>
      <c r="N30" s="1">
        <f>12173-SUM(K30:M30)</f>
        <v>3324</v>
      </c>
      <c r="O30" s="1">
        <v>3283</v>
      </c>
      <c r="P30" s="1">
        <v>3541</v>
      </c>
      <c r="Q30" s="1">
        <v>3603</v>
      </c>
      <c r="R30" s="1">
        <f>14385-SUM(O30:Q30)</f>
        <v>3958</v>
      </c>
      <c r="S30" s="1">
        <v>3917</v>
      </c>
      <c r="T30" s="1">
        <v>3942</v>
      </c>
      <c r="U30" s="1">
        <v>3841</v>
      </c>
      <c r="V30" s="1">
        <f>15697-SUM(S30:U30)</f>
        <v>3997</v>
      </c>
      <c r="W30" s="1">
        <v>3704</v>
      </c>
      <c r="AN30" s="1">
        <f t="shared" si="98"/>
        <v>14385</v>
      </c>
      <c r="AO30" s="1">
        <f t="shared" si="98"/>
        <v>15019</v>
      </c>
      <c r="AP30" s="1">
        <f t="shared" si="98"/>
        <v>15420</v>
      </c>
      <c r="AQ30" s="1">
        <f t="shared" si="98"/>
        <v>15658</v>
      </c>
      <c r="AR30" s="1">
        <f t="shared" ref="AR30" si="101">SUM(S30:V30)</f>
        <v>15697</v>
      </c>
    </row>
    <row r="31" spans="2:98">
      <c r="B31" s="1" t="s">
        <v>91</v>
      </c>
      <c r="C31" s="1">
        <v>591</v>
      </c>
      <c r="D31" s="1">
        <v>440</v>
      </c>
      <c r="E31" s="1">
        <v>344</v>
      </c>
      <c r="F31" s="1">
        <f>1741-SUM(C31:E31)</f>
        <v>366</v>
      </c>
      <c r="G31" s="1">
        <v>273</v>
      </c>
      <c r="H31" s="1">
        <v>169</v>
      </c>
      <c r="I31" s="1">
        <v>268</v>
      </c>
      <c r="J31" s="1">
        <f>1060-SUM(G31:I31)</f>
        <v>350</v>
      </c>
      <c r="K31" s="1">
        <v>369</v>
      </c>
      <c r="L31" s="1">
        <v>448</v>
      </c>
      <c r="M31" s="1">
        <v>367</v>
      </c>
      <c r="N31" s="1">
        <f>1572-SUM(K31:M31)</f>
        <v>388</v>
      </c>
      <c r="O31" s="1">
        <v>442</v>
      </c>
      <c r="P31" s="1">
        <v>398</v>
      </c>
      <c r="Q31" s="1">
        <v>446</v>
      </c>
      <c r="R31" s="1">
        <f>1682-SUM(O31:Q31)</f>
        <v>396</v>
      </c>
      <c r="S31" s="1">
        <v>321</v>
      </c>
      <c r="T31" s="1">
        <v>335</v>
      </c>
      <c r="U31" s="1">
        <v>352</v>
      </c>
      <c r="V31" s="1">
        <f>1442-SUM(S31:U31)</f>
        <v>434</v>
      </c>
      <c r="W31" s="1">
        <v>371</v>
      </c>
      <c r="AN31" s="1">
        <f t="shared" si="98"/>
        <v>1682</v>
      </c>
      <c r="AO31" s="1">
        <f t="shared" si="98"/>
        <v>1561</v>
      </c>
      <c r="AP31" s="1">
        <f t="shared" si="98"/>
        <v>1498</v>
      </c>
      <c r="AQ31" s="1">
        <f t="shared" si="98"/>
        <v>1404</v>
      </c>
      <c r="AR31" s="1">
        <f t="shared" ref="AR31:AR41" si="102">SUM(S31:V31)</f>
        <v>1442</v>
      </c>
    </row>
    <row r="32" spans="2:98">
      <c r="B32" s="1" t="s">
        <v>92</v>
      </c>
      <c r="C32" s="1">
        <v>399</v>
      </c>
      <c r="D32" s="1">
        <v>423</v>
      </c>
      <c r="E32" s="1">
        <v>449</v>
      </c>
      <c r="F32" s="1">
        <f>1778-SUM(C32:E32)</f>
        <v>507</v>
      </c>
      <c r="G32" s="1">
        <v>518</v>
      </c>
      <c r="H32" s="1">
        <v>521</v>
      </c>
      <c r="I32" s="1">
        <v>504</v>
      </c>
      <c r="J32" s="1">
        <f>2075-SUM(G32:I32)</f>
        <v>532</v>
      </c>
      <c r="K32" s="1">
        <v>534</v>
      </c>
      <c r="L32" s="1">
        <v>536</v>
      </c>
      <c r="M32" s="1">
        <v>509</v>
      </c>
      <c r="N32" s="1">
        <f>2120-SUM(K32:M32)</f>
        <v>541</v>
      </c>
      <c r="O32" s="1">
        <v>488</v>
      </c>
      <c r="P32" s="1">
        <v>492</v>
      </c>
      <c r="Q32" s="1">
        <v>474</v>
      </c>
      <c r="R32" s="1">
        <f>1919-SUM(O32:Q32)</f>
        <v>465</v>
      </c>
      <c r="S32" s="1">
        <v>454</v>
      </c>
      <c r="T32" s="1">
        <v>436</v>
      </c>
      <c r="U32" s="1">
        <v>427</v>
      </c>
      <c r="V32" s="1">
        <f>1768-SUM(S32:U32)</f>
        <v>451</v>
      </c>
      <c r="W32" s="1">
        <v>398</v>
      </c>
      <c r="AN32" s="1">
        <f t="shared" si="98"/>
        <v>1919</v>
      </c>
      <c r="AO32" s="1">
        <f t="shared" si="98"/>
        <v>1885</v>
      </c>
      <c r="AP32" s="1">
        <f t="shared" si="98"/>
        <v>1829</v>
      </c>
      <c r="AQ32" s="1">
        <f t="shared" si="98"/>
        <v>1782</v>
      </c>
      <c r="AR32" s="1">
        <f t="shared" si="102"/>
        <v>1768</v>
      </c>
    </row>
    <row r="33" spans="2:98">
      <c r="B33" s="1" t="s">
        <v>93</v>
      </c>
      <c r="C33" s="1">
        <v>371</v>
      </c>
      <c r="D33" s="1">
        <v>414</v>
      </c>
      <c r="E33" s="1">
        <v>471</v>
      </c>
      <c r="F33" s="1">
        <f>1861-SUM(C33:E33)</f>
        <v>605</v>
      </c>
      <c r="G33" s="1">
        <v>602</v>
      </c>
      <c r="H33" s="1">
        <v>628</v>
      </c>
      <c r="I33" s="1">
        <v>549</v>
      </c>
      <c r="J33" s="1">
        <f>2445-SUM(G33:I33)</f>
        <v>666</v>
      </c>
      <c r="K33" s="1">
        <v>594</v>
      </c>
      <c r="L33" s="1">
        <v>595</v>
      </c>
      <c r="M33" s="1">
        <v>544</v>
      </c>
      <c r="N33" s="1">
        <f>2257-SUM(K33:M33)</f>
        <v>524</v>
      </c>
      <c r="O33" s="1">
        <v>436</v>
      </c>
      <c r="P33" s="1">
        <v>465</v>
      </c>
      <c r="Q33" s="1">
        <v>442</v>
      </c>
      <c r="R33" s="1">
        <f>1809-SUM(O33:Q33)</f>
        <v>466</v>
      </c>
      <c r="S33" s="1">
        <v>421</v>
      </c>
      <c r="T33" s="1">
        <v>446</v>
      </c>
      <c r="U33" s="1">
        <v>508</v>
      </c>
      <c r="V33" s="1">
        <f>2001-SUM(S33:U33)</f>
        <v>626</v>
      </c>
      <c r="W33" s="1">
        <v>488</v>
      </c>
      <c r="AN33" s="1">
        <f t="shared" si="98"/>
        <v>1809</v>
      </c>
      <c r="AO33" s="1">
        <f t="shared" si="98"/>
        <v>1794</v>
      </c>
      <c r="AP33" s="1">
        <f t="shared" si="98"/>
        <v>1775</v>
      </c>
      <c r="AQ33" s="1">
        <f t="shared" si="98"/>
        <v>1841</v>
      </c>
      <c r="AR33" s="1">
        <f t="shared" si="102"/>
        <v>2001</v>
      </c>
    </row>
    <row r="34" spans="2:98">
      <c r="B34" s="1" t="s">
        <v>68</v>
      </c>
      <c r="C34" s="1">
        <v>605</v>
      </c>
      <c r="D34" s="1">
        <v>631</v>
      </c>
      <c r="E34" s="1">
        <v>674</v>
      </c>
      <c r="F34" s="1">
        <f>2642-SUM(C34:E34)</f>
        <v>732</v>
      </c>
      <c r="G34" s="1">
        <v>741</v>
      </c>
      <c r="H34" s="1">
        <v>746</v>
      </c>
      <c r="I34" s="1">
        <v>755</v>
      </c>
      <c r="J34" s="1">
        <f>3038-SUM(G34:I34)</f>
        <v>796</v>
      </c>
      <c r="K34" s="1">
        <v>815</v>
      </c>
      <c r="L34" s="1">
        <v>815</v>
      </c>
      <c r="M34" s="1">
        <v>801</v>
      </c>
      <c r="N34" s="1">
        <f>3253-SUM(K34:M34)</f>
        <v>822</v>
      </c>
      <c r="O34" s="1">
        <v>721</v>
      </c>
      <c r="P34" s="1">
        <v>743</v>
      </c>
      <c r="Q34" s="1">
        <v>739</v>
      </c>
      <c r="R34" s="1">
        <f>2973-SUM(O34:Q34)</f>
        <v>770</v>
      </c>
      <c r="S34" s="1">
        <v>742</v>
      </c>
      <c r="T34" s="1">
        <v>718</v>
      </c>
      <c r="U34" s="1">
        <v>746</v>
      </c>
      <c r="V34" s="1">
        <f>2979-SUM(S34:U34)</f>
        <v>773</v>
      </c>
      <c r="W34" s="1">
        <v>731</v>
      </c>
      <c r="AN34" s="1">
        <f t="shared" si="98"/>
        <v>2973</v>
      </c>
      <c r="AO34" s="1">
        <f t="shared" si="98"/>
        <v>2994</v>
      </c>
      <c r="AP34" s="1">
        <f t="shared" si="98"/>
        <v>2969</v>
      </c>
      <c r="AQ34" s="1">
        <f t="shared" si="98"/>
        <v>2976</v>
      </c>
      <c r="AR34" s="1">
        <f t="shared" si="102"/>
        <v>2979</v>
      </c>
    </row>
    <row r="35" spans="2:98">
      <c r="B35" s="1" t="s">
        <v>67</v>
      </c>
      <c r="C35" s="1">
        <v>486</v>
      </c>
      <c r="D35" s="1">
        <v>512</v>
      </c>
      <c r="E35" s="1">
        <v>503</v>
      </c>
      <c r="F35" s="1">
        <f>2070-SUM(C35:E35)</f>
        <v>569</v>
      </c>
      <c r="G35" s="1">
        <v>524</v>
      </c>
      <c r="H35" s="1">
        <v>522</v>
      </c>
      <c r="I35" s="1">
        <v>498</v>
      </c>
      <c r="J35" s="1">
        <f>2114-SUM(G35:I35)</f>
        <v>570</v>
      </c>
      <c r="K35" s="1">
        <v>607</v>
      </c>
      <c r="L35" s="1">
        <v>514</v>
      </c>
      <c r="M35" s="1">
        <v>463</v>
      </c>
      <c r="N35" s="1">
        <f>2099-SUM(K35:M35)</f>
        <v>515</v>
      </c>
      <c r="O35" s="1">
        <v>507</v>
      </c>
      <c r="P35" s="1">
        <v>491</v>
      </c>
      <c r="Q35" s="1">
        <v>507</v>
      </c>
      <c r="R35" s="1">
        <f>2059-SUM(O35:Q35)</f>
        <v>554</v>
      </c>
      <c r="S35" s="1">
        <v>464</v>
      </c>
      <c r="T35" s="1">
        <v>570</v>
      </c>
      <c r="U35" s="1">
        <v>519</v>
      </c>
      <c r="V35" s="1">
        <f>2147-SUM(S35:U35)</f>
        <v>594</v>
      </c>
      <c r="W35" s="1">
        <v>503</v>
      </c>
      <c r="AN35" s="1">
        <f t="shared" si="98"/>
        <v>2059</v>
      </c>
      <c r="AO35" s="1">
        <f t="shared" si="98"/>
        <v>2016</v>
      </c>
      <c r="AP35" s="1">
        <f t="shared" si="98"/>
        <v>2095</v>
      </c>
      <c r="AQ35" s="1">
        <f t="shared" si="98"/>
        <v>2107</v>
      </c>
      <c r="AR35" s="1">
        <f t="shared" si="102"/>
        <v>2147</v>
      </c>
    </row>
    <row r="36" spans="2:98">
      <c r="B36" s="1" t="s">
        <v>94</v>
      </c>
      <c r="C36" s="1">
        <v>29</v>
      </c>
      <c r="D36" s="1">
        <v>47</v>
      </c>
      <c r="E36" s="1">
        <v>19</v>
      </c>
      <c r="F36" s="1">
        <f>139-SUM(C36:E36)</f>
        <v>44</v>
      </c>
      <c r="G36" s="1">
        <v>58</v>
      </c>
      <c r="H36" s="1">
        <v>1</v>
      </c>
      <c r="I36" s="1">
        <v>1</v>
      </c>
      <c r="J36" s="1">
        <f>62-SUM(G36:I36)</f>
        <v>2</v>
      </c>
      <c r="K36" s="1">
        <v>36</v>
      </c>
      <c r="L36" s="1">
        <v>90</v>
      </c>
      <c r="M36" s="1">
        <v>56</v>
      </c>
      <c r="N36" s="1">
        <f>207-SUM(K36:M36)</f>
        <v>25</v>
      </c>
      <c r="O36" s="1">
        <v>164</v>
      </c>
      <c r="P36" s="1">
        <v>24</v>
      </c>
      <c r="Q36" s="1">
        <v>39</v>
      </c>
      <c r="R36" s="1">
        <f>-84-SUM(O36:Q36)</f>
        <v>-311</v>
      </c>
      <c r="S36" s="1">
        <v>212</v>
      </c>
      <c r="T36" s="1">
        <v>113</v>
      </c>
      <c r="U36" s="1">
        <v>63</v>
      </c>
      <c r="V36" s="1">
        <f>438-SUM(S36:U36)</f>
        <v>50</v>
      </c>
      <c r="W36" s="1">
        <v>66</v>
      </c>
      <c r="AN36" s="1">
        <f t="shared" si="98"/>
        <v>-84</v>
      </c>
      <c r="AO36" s="1">
        <f t="shared" si="98"/>
        <v>-36</v>
      </c>
      <c r="AP36" s="1">
        <f t="shared" si="98"/>
        <v>53</v>
      </c>
      <c r="AQ36" s="1">
        <f t="shared" si="98"/>
        <v>77</v>
      </c>
      <c r="AR36" s="1">
        <f t="shared" si="102"/>
        <v>438</v>
      </c>
    </row>
    <row r="37" spans="2:98">
      <c r="B37" s="1" t="s">
        <v>131</v>
      </c>
      <c r="C37" s="1">
        <f t="shared" ref="C37:T37" si="103">C29-SUM(C30:C36)</f>
        <v>398</v>
      </c>
      <c r="D37" s="1">
        <f t="shared" si="103"/>
        <v>951</v>
      </c>
      <c r="E37" s="1">
        <f>E29-SUM(E30:E36)</f>
        <v>977</v>
      </c>
      <c r="F37" s="1">
        <f>F29-SUM(F30:F36)</f>
        <v>963</v>
      </c>
      <c r="G37" s="1">
        <f t="shared" si="103"/>
        <v>1042</v>
      </c>
      <c r="H37" s="1">
        <f t="shared" si="103"/>
        <v>1127</v>
      </c>
      <c r="I37" s="1">
        <f t="shared" si="103"/>
        <v>1043</v>
      </c>
      <c r="J37" s="1">
        <f>J29-SUM(J30:J36)</f>
        <v>1050</v>
      </c>
      <c r="K37" s="1">
        <f t="shared" si="103"/>
        <v>711</v>
      </c>
      <c r="L37" s="1">
        <f t="shared" si="103"/>
        <v>764</v>
      </c>
      <c r="M37" s="1">
        <f t="shared" si="103"/>
        <v>1118</v>
      </c>
      <c r="N37" s="1">
        <f>N29-SUM(N30:N36)</f>
        <v>1244</v>
      </c>
      <c r="O37" s="1">
        <f t="shared" si="103"/>
        <v>999</v>
      </c>
      <c r="P37" s="1">
        <f t="shared" si="103"/>
        <v>1133</v>
      </c>
      <c r="Q37" s="1">
        <f t="shared" si="103"/>
        <v>1168</v>
      </c>
      <c r="R37" s="1">
        <f t="shared" si="103"/>
        <v>1728</v>
      </c>
      <c r="S37" s="1">
        <f t="shared" si="103"/>
        <v>1168</v>
      </c>
      <c r="T37" s="1">
        <f t="shared" si="103"/>
        <v>1325</v>
      </c>
      <c r="U37" s="1">
        <f>U29-SUM(U30:U36)</f>
        <v>1391</v>
      </c>
      <c r="V37" s="1">
        <f t="shared" ref="V37" si="104">V29-SUM(V30:V36)</f>
        <v>1441</v>
      </c>
      <c r="W37" s="1">
        <f>W29-SUM(W30:W36)</f>
        <v>1530</v>
      </c>
      <c r="AN37" s="1">
        <f>AN29-SUM(AN30:AN36)</f>
        <v>5028</v>
      </c>
      <c r="AO37" s="1">
        <f>AO29-SUM(AO30:AO36)</f>
        <v>5197</v>
      </c>
      <c r="AP37" s="1">
        <f>AP29-SUM(AP30:AP36)</f>
        <v>5389</v>
      </c>
      <c r="AQ37" s="1">
        <f>AQ29-SUM(AQ30:AQ36)</f>
        <v>5612</v>
      </c>
      <c r="AR37" s="1">
        <f>AR29-SUM(AR30:AR36)</f>
        <v>5325</v>
      </c>
      <c r="AS37" s="23">
        <f>AS29*AS47</f>
        <v>6469.393320000001</v>
      </c>
      <c r="AT37" s="23">
        <f t="shared" ref="AT37:BH37" si="105">AT29*AT47</f>
        <v>6966.1791690000009</v>
      </c>
      <c r="AU37" s="23">
        <f t="shared" si="105"/>
        <v>7308.1892782980012</v>
      </c>
      <c r="AV37" s="23">
        <f t="shared" si="105"/>
        <v>7679.3503454797819</v>
      </c>
      <c r="AW37" s="23">
        <f t="shared" si="105"/>
        <v>7960.324459337965</v>
      </c>
      <c r="AX37" s="23">
        <f t="shared" si="105"/>
        <v>8239.1374013482437</v>
      </c>
      <c r="AY37" s="23">
        <f t="shared" si="105"/>
        <v>8362.7244623684674</v>
      </c>
      <c r="AZ37" s="23">
        <f t="shared" si="105"/>
        <v>8488.1653293039944</v>
      </c>
      <c r="BA37" s="23">
        <f t="shared" si="105"/>
        <v>8615.4878092435538</v>
      </c>
      <c r="BB37" s="23">
        <f t="shared" si="105"/>
        <v>8744.7201263822062</v>
      </c>
      <c r="BC37" s="23">
        <f t="shared" si="105"/>
        <v>8875.8909282779368</v>
      </c>
      <c r="BD37" s="23">
        <f t="shared" si="105"/>
        <v>9009.0292922021054</v>
      </c>
      <c r="BE37" s="23">
        <f t="shared" si="105"/>
        <v>9144.1647315851351</v>
      </c>
      <c r="BF37" s="23">
        <f t="shared" si="105"/>
        <v>9281.3272025589122</v>
      </c>
      <c r="BG37" s="23">
        <f t="shared" si="105"/>
        <v>9420.5471105972938</v>
      </c>
      <c r="BH37" s="23">
        <f t="shared" si="105"/>
        <v>9561.8553172562533</v>
      </c>
      <c r="BI37" s="23">
        <f t="shared" ref="BI37:CP37" si="106">BI29*BI47</f>
        <v>9705.2831470150959</v>
      </c>
      <c r="BJ37" s="23">
        <f t="shared" si="106"/>
        <v>9850.8623942203212</v>
      </c>
      <c r="BK37" s="23">
        <f t="shared" si="106"/>
        <v>9998.6253301336237</v>
      </c>
      <c r="BL37" s="23">
        <f t="shared" si="106"/>
        <v>10148.604710085629</v>
      </c>
      <c r="BM37" s="23">
        <f t="shared" si="106"/>
        <v>10300.83378073691</v>
      </c>
      <c r="BN37" s="23">
        <f t="shared" si="106"/>
        <v>10455.346287447963</v>
      </c>
      <c r="BO37" s="23">
        <f t="shared" si="106"/>
        <v>10612.176481759683</v>
      </c>
      <c r="BP37" s="23">
        <f t="shared" si="106"/>
        <v>10771.359128986078</v>
      </c>
      <c r="BQ37" s="23">
        <f t="shared" si="106"/>
        <v>10932.929515920867</v>
      </c>
      <c r="BR37" s="23">
        <f t="shared" si="106"/>
        <v>11096.923458659679</v>
      </c>
      <c r="BS37" s="23">
        <f t="shared" si="106"/>
        <v>11263.377310539572</v>
      </c>
      <c r="BT37" s="23">
        <f t="shared" si="106"/>
        <v>11432.327970197666</v>
      </c>
      <c r="BU37" s="23">
        <f t="shared" si="106"/>
        <v>11603.81288975063</v>
      </c>
      <c r="BV37" s="23">
        <f t="shared" si="106"/>
        <v>11777.870083096888</v>
      </c>
      <c r="BW37" s="23">
        <f t="shared" si="106"/>
        <v>11954.53813434334</v>
      </c>
      <c r="BX37" s="23">
        <f t="shared" si="106"/>
        <v>12133.856206358489</v>
      </c>
      <c r="BY37" s="23">
        <f t="shared" si="106"/>
        <v>12315.864049453863</v>
      </c>
      <c r="BZ37" s="23">
        <f t="shared" si="106"/>
        <v>12500.602010195671</v>
      </c>
      <c r="CA37" s="23">
        <f t="shared" si="106"/>
        <v>12688.111040348604</v>
      </c>
      <c r="CB37" s="23">
        <f t="shared" si="106"/>
        <v>12878.432705953832</v>
      </c>
      <c r="CC37" s="23">
        <f t="shared" si="106"/>
        <v>13071.609196543137</v>
      </c>
      <c r="CD37" s="23">
        <f t="shared" si="106"/>
        <v>13267.683334491283</v>
      </c>
      <c r="CE37" s="23">
        <f t="shared" si="106"/>
        <v>13466.698584508651</v>
      </c>
      <c r="CF37" s="23">
        <f t="shared" si="106"/>
        <v>13668.699063276279</v>
      </c>
      <c r="CG37" s="23">
        <f t="shared" si="106"/>
        <v>13873.729549225423</v>
      </c>
      <c r="CH37" s="23">
        <f t="shared" si="106"/>
        <v>14081.835492463804</v>
      </c>
      <c r="CI37" s="23">
        <f t="shared" si="106"/>
        <v>14293.063024850762</v>
      </c>
      <c r="CJ37" s="23">
        <f t="shared" si="106"/>
        <v>14507.458970223523</v>
      </c>
      <c r="CK37" s="23">
        <f t="shared" si="106"/>
        <v>14725.070854776875</v>
      </c>
      <c r="CL37" s="23">
        <f t="shared" si="106"/>
        <v>14945.946917598527</v>
      </c>
      <c r="CM37" s="23">
        <f t="shared" si="106"/>
        <v>15170.136121362504</v>
      </c>
      <c r="CN37" s="23">
        <f t="shared" si="106"/>
        <v>15397.68816318294</v>
      </c>
      <c r="CO37" s="23">
        <f t="shared" si="106"/>
        <v>15628.653485630684</v>
      </c>
      <c r="CP37" s="23">
        <f t="shared" si="106"/>
        <v>15863.083287915142</v>
      </c>
      <c r="CQ37" s="23">
        <f>CQ29*CQ47</f>
        <v>16101.02953723387</v>
      </c>
      <c r="CR37" s="9"/>
      <c r="CS37" s="9"/>
      <c r="CT37" s="9"/>
    </row>
    <row r="38" spans="2:98">
      <c r="B38" s="1" t="s">
        <v>15</v>
      </c>
      <c r="C38" s="1">
        <v>-135</v>
      </c>
      <c r="D38" s="1">
        <v>848</v>
      </c>
      <c r="E38" s="1">
        <v>167</v>
      </c>
      <c r="F38" s="1">
        <f>1776-SUM(C38:E38)</f>
        <v>896</v>
      </c>
      <c r="G38" s="1">
        <v>-170</v>
      </c>
      <c r="H38" s="1">
        <v>229</v>
      </c>
      <c r="I38" s="1">
        <v>122</v>
      </c>
      <c r="J38" s="1">
        <f>-163-SUM(G38:I38)</f>
        <v>-344</v>
      </c>
      <c r="K38" s="1">
        <v>-82</v>
      </c>
      <c r="L38" s="1">
        <v>-715</v>
      </c>
      <c r="M38" s="1">
        <v>460</v>
      </c>
      <c r="N38" s="1">
        <f>-471-SUM(K38:M38)</f>
        <v>-134</v>
      </c>
      <c r="O38" s="1">
        <v>75</v>
      </c>
      <c r="P38" s="1">
        <v>170</v>
      </c>
      <c r="Q38" s="1">
        <v>73</v>
      </c>
      <c r="R38" s="1">
        <f>383-SUM(O38:Q38)</f>
        <v>65</v>
      </c>
      <c r="S38" s="1">
        <v>41</v>
      </c>
      <c r="T38" s="1">
        <v>74</v>
      </c>
      <c r="U38" s="1">
        <v>-80</v>
      </c>
      <c r="V38" s="1">
        <f>4-SUM(S38:U38)</f>
        <v>-31</v>
      </c>
      <c r="W38" s="1">
        <v>73</v>
      </c>
      <c r="AN38" s="1">
        <f t="shared" si="98"/>
        <v>383</v>
      </c>
      <c r="AO38" s="1">
        <f t="shared" si="98"/>
        <v>349</v>
      </c>
      <c r="AP38" s="1">
        <f t="shared" si="98"/>
        <v>253</v>
      </c>
      <c r="AQ38" s="1">
        <f t="shared" si="98"/>
        <v>100</v>
      </c>
      <c r="AR38" s="1">
        <f t="shared" si="102"/>
        <v>4</v>
      </c>
    </row>
    <row r="39" spans="2:98">
      <c r="B39" s="1" t="s">
        <v>16</v>
      </c>
      <c r="C39" s="1">
        <f t="shared" ref="C39:U39" si="107">C37+C38</f>
        <v>263</v>
      </c>
      <c r="D39" s="1">
        <f t="shared" si="107"/>
        <v>1799</v>
      </c>
      <c r="E39" s="1">
        <f t="shared" ref="E39" si="108">E37+E38</f>
        <v>1144</v>
      </c>
      <c r="F39" s="1">
        <f>F37+F38</f>
        <v>1859</v>
      </c>
      <c r="G39" s="1">
        <f t="shared" si="107"/>
        <v>872</v>
      </c>
      <c r="H39" s="1">
        <f t="shared" si="107"/>
        <v>1356</v>
      </c>
      <c r="I39" s="1">
        <f t="shared" si="107"/>
        <v>1165</v>
      </c>
      <c r="J39" s="1">
        <f>J37+J38</f>
        <v>706</v>
      </c>
      <c r="K39" s="1">
        <f t="shared" si="107"/>
        <v>629</v>
      </c>
      <c r="L39" s="1">
        <f t="shared" si="107"/>
        <v>49</v>
      </c>
      <c r="M39" s="1">
        <f t="shared" si="107"/>
        <v>1578</v>
      </c>
      <c r="N39" s="1">
        <f>N37+N38</f>
        <v>1110</v>
      </c>
      <c r="O39" s="1">
        <f t="shared" si="107"/>
        <v>1074</v>
      </c>
      <c r="P39" s="1">
        <f t="shared" si="107"/>
        <v>1303</v>
      </c>
      <c r="Q39" s="1">
        <f t="shared" si="107"/>
        <v>1241</v>
      </c>
      <c r="R39" s="1">
        <f>R37+R38</f>
        <v>1793</v>
      </c>
      <c r="S39" s="1">
        <f t="shared" si="107"/>
        <v>1209</v>
      </c>
      <c r="T39" s="1">
        <f t="shared" si="107"/>
        <v>1399</v>
      </c>
      <c r="U39" s="1">
        <f t="shared" si="107"/>
        <v>1311</v>
      </c>
      <c r="V39" s="1">
        <f>V37+V38</f>
        <v>1410</v>
      </c>
      <c r="W39" s="1">
        <f t="shared" ref="W39" si="109">W37+W38</f>
        <v>1603</v>
      </c>
      <c r="AN39" s="1">
        <f>AN37+AN38</f>
        <v>5411</v>
      </c>
      <c r="AO39" s="1">
        <f>AO37+AO38</f>
        <v>5546</v>
      </c>
      <c r="AP39" s="1">
        <f>AP37+AP38</f>
        <v>5642</v>
      </c>
      <c r="AQ39" s="1">
        <f>AQ37+AQ38</f>
        <v>5712</v>
      </c>
      <c r="AR39" s="1">
        <f>AR37+AR38</f>
        <v>5329</v>
      </c>
    </row>
    <row r="40" spans="2:98">
      <c r="B40" s="1" t="s">
        <v>484</v>
      </c>
      <c r="C40" s="1">
        <v>179</v>
      </c>
      <c r="D40" s="1">
        <v>269</v>
      </c>
      <c r="E40" s="1">
        <v>123</v>
      </c>
      <c r="F40" s="1">
        <f>863-SUM(C40:E40)</f>
        <v>292</v>
      </c>
      <c r="G40" s="1">
        <v>-225</v>
      </c>
      <c r="H40" s="1">
        <v>172</v>
      </c>
      <c r="I40" s="1">
        <v>78</v>
      </c>
      <c r="J40" s="1">
        <f>-70-SUM(G40:I40)</f>
        <v>-95</v>
      </c>
      <c r="K40" s="1">
        <v>120</v>
      </c>
      <c r="L40" s="1">
        <v>390</v>
      </c>
      <c r="M40" s="1">
        <v>248</v>
      </c>
      <c r="N40" s="1">
        <f>947-SUM(K40:M40)</f>
        <v>189</v>
      </c>
      <c r="O40" s="1">
        <v>279</v>
      </c>
      <c r="P40" s="1">
        <v>274</v>
      </c>
      <c r="Q40" s="1">
        <v>221</v>
      </c>
      <c r="R40" s="1">
        <f>1165-SUM(O40:Q40)</f>
        <v>391</v>
      </c>
      <c r="S40" s="1">
        <v>321</v>
      </c>
      <c r="T40" s="1">
        <v>271</v>
      </c>
      <c r="U40" s="1">
        <v>301</v>
      </c>
      <c r="V40" s="1">
        <f>1182-SUM(S40:U40)</f>
        <v>289</v>
      </c>
      <c r="W40" s="1">
        <v>316</v>
      </c>
      <c r="AN40" s="1">
        <f t="shared" si="98"/>
        <v>1165</v>
      </c>
      <c r="AO40" s="1">
        <f t="shared" si="98"/>
        <v>1207</v>
      </c>
      <c r="AP40" s="1">
        <f t="shared" si="98"/>
        <v>1204</v>
      </c>
      <c r="AQ40" s="1">
        <f t="shared" si="98"/>
        <v>1284</v>
      </c>
      <c r="AR40" s="1">
        <f t="shared" si="102"/>
        <v>1182</v>
      </c>
      <c r="AS40" s="19">
        <f>AS37*0.21</f>
        <v>1358.5725972000002</v>
      </c>
      <c r="AT40" s="19">
        <f t="shared" ref="AT40:CQ40" si="110">AT37*0.21</f>
        <v>1462.8976254900001</v>
      </c>
      <c r="AU40" s="19">
        <f t="shared" si="110"/>
        <v>1534.7197484425801</v>
      </c>
      <c r="AV40" s="19">
        <f t="shared" si="110"/>
        <v>1612.6635725507542</v>
      </c>
      <c r="AW40" s="19">
        <f t="shared" si="110"/>
        <v>1671.6681364609726</v>
      </c>
      <c r="AX40" s="19">
        <f t="shared" si="110"/>
        <v>1730.2188542831311</v>
      </c>
      <c r="AY40" s="19">
        <f t="shared" si="110"/>
        <v>1756.172137097378</v>
      </c>
      <c r="AZ40" s="19">
        <f t="shared" si="110"/>
        <v>1782.5147191538388</v>
      </c>
      <c r="BA40" s="19">
        <f t="shared" si="110"/>
        <v>1809.2524399411461</v>
      </c>
      <c r="BB40" s="19">
        <f t="shared" si="110"/>
        <v>1836.3912265402632</v>
      </c>
      <c r="BC40" s="19">
        <f t="shared" si="110"/>
        <v>1863.9370949383667</v>
      </c>
      <c r="BD40" s="19">
        <f t="shared" si="110"/>
        <v>1891.896151362442</v>
      </c>
      <c r="BE40" s="19">
        <f t="shared" si="110"/>
        <v>1920.2745936328784</v>
      </c>
      <c r="BF40" s="19">
        <f t="shared" si="110"/>
        <v>1949.0787125373715</v>
      </c>
      <c r="BG40" s="19">
        <f t="shared" si="110"/>
        <v>1978.3148932254317</v>
      </c>
      <c r="BH40" s="19">
        <f t="shared" si="110"/>
        <v>2007.9896166238132</v>
      </c>
      <c r="BI40" s="19">
        <f t="shared" si="110"/>
        <v>2038.1094608731701</v>
      </c>
      <c r="BJ40" s="19">
        <f t="shared" si="110"/>
        <v>2068.6811027862673</v>
      </c>
      <c r="BK40" s="19">
        <f t="shared" si="110"/>
        <v>2099.7113193280611</v>
      </c>
      <c r="BL40" s="19">
        <f t="shared" si="110"/>
        <v>2131.2069891179817</v>
      </c>
      <c r="BM40" s="19">
        <f t="shared" si="110"/>
        <v>2163.175093954751</v>
      </c>
      <c r="BN40" s="19">
        <f t="shared" si="110"/>
        <v>2195.6227203640719</v>
      </c>
      <c r="BO40" s="19">
        <f t="shared" si="110"/>
        <v>2228.5570611695334</v>
      </c>
      <c r="BP40" s="19">
        <f t="shared" si="110"/>
        <v>2261.9854170870763</v>
      </c>
      <c r="BQ40" s="19">
        <f t="shared" si="110"/>
        <v>2295.9151983433821</v>
      </c>
      <c r="BR40" s="19">
        <f t="shared" si="110"/>
        <v>2330.3539263185326</v>
      </c>
      <c r="BS40" s="19">
        <f t="shared" si="110"/>
        <v>2365.3092352133099</v>
      </c>
      <c r="BT40" s="19">
        <f t="shared" si="110"/>
        <v>2400.7888737415096</v>
      </c>
      <c r="BU40" s="19">
        <f t="shared" si="110"/>
        <v>2436.8007068476322</v>
      </c>
      <c r="BV40" s="19">
        <f t="shared" si="110"/>
        <v>2473.3527174503465</v>
      </c>
      <c r="BW40" s="19">
        <f t="shared" si="110"/>
        <v>2510.4530082121014</v>
      </c>
      <c r="BX40" s="19">
        <f t="shared" si="110"/>
        <v>2548.1098033352823</v>
      </c>
      <c r="BY40" s="19">
        <f t="shared" si="110"/>
        <v>2586.3314503853112</v>
      </c>
      <c r="BZ40" s="19">
        <f t="shared" si="110"/>
        <v>2625.1264221410906</v>
      </c>
      <c r="CA40" s="19">
        <f t="shared" si="110"/>
        <v>2664.5033184732065</v>
      </c>
      <c r="CB40" s="19">
        <f t="shared" si="110"/>
        <v>2704.4708682503046</v>
      </c>
      <c r="CC40" s="19">
        <f t="shared" si="110"/>
        <v>2745.0379312740588</v>
      </c>
      <c r="CD40" s="19">
        <f t="shared" si="110"/>
        <v>2786.2135002431692</v>
      </c>
      <c r="CE40" s="19">
        <f t="shared" si="110"/>
        <v>2828.0067027468167</v>
      </c>
      <c r="CF40" s="19">
        <f t="shared" si="110"/>
        <v>2870.4268032880186</v>
      </c>
      <c r="CG40" s="19">
        <f t="shared" si="110"/>
        <v>2913.4832053373389</v>
      </c>
      <c r="CH40" s="19">
        <f t="shared" si="110"/>
        <v>2957.185453417399</v>
      </c>
      <c r="CI40" s="19">
        <f t="shared" si="110"/>
        <v>3001.5432352186599</v>
      </c>
      <c r="CJ40" s="19">
        <f t="shared" si="110"/>
        <v>3046.5663837469397</v>
      </c>
      <c r="CK40" s="19">
        <f t="shared" si="110"/>
        <v>3092.2648795031437</v>
      </c>
      <c r="CL40" s="19">
        <f t="shared" si="110"/>
        <v>3138.6488526956905</v>
      </c>
      <c r="CM40" s="19">
        <f t="shared" si="110"/>
        <v>3185.7285854861257</v>
      </c>
      <c r="CN40" s="19">
        <f t="shared" si="110"/>
        <v>3233.5145142684173</v>
      </c>
      <c r="CO40" s="19">
        <f t="shared" si="110"/>
        <v>3282.0172319824437</v>
      </c>
      <c r="CP40" s="19">
        <f t="shared" si="110"/>
        <v>3331.2474904621799</v>
      </c>
      <c r="CQ40" s="19">
        <f t="shared" si="110"/>
        <v>3381.2162028191124</v>
      </c>
    </row>
    <row r="41" spans="2:98" s="2" customFormat="1" ht="15">
      <c r="B41" s="2" t="s">
        <v>17</v>
      </c>
      <c r="C41" s="2">
        <f t="shared" ref="C41:U41" si="111">C39-C40</f>
        <v>84</v>
      </c>
      <c r="D41" s="2">
        <f t="shared" si="111"/>
        <v>1530</v>
      </c>
      <c r="E41" s="2">
        <f t="shared" ref="E41" si="112">E39-E40</f>
        <v>1021</v>
      </c>
      <c r="F41" s="2">
        <f>F39-F40</f>
        <v>1567</v>
      </c>
      <c r="G41" s="2">
        <f t="shared" si="111"/>
        <v>1097</v>
      </c>
      <c r="H41" s="2">
        <f t="shared" si="111"/>
        <v>1184</v>
      </c>
      <c r="I41" s="2">
        <f t="shared" si="111"/>
        <v>1087</v>
      </c>
      <c r="J41" s="2">
        <f>J39-J40</f>
        <v>801</v>
      </c>
      <c r="K41" s="2">
        <f t="shared" si="111"/>
        <v>509</v>
      </c>
      <c r="L41" s="2">
        <f t="shared" si="111"/>
        <v>-341</v>
      </c>
      <c r="M41" s="2">
        <f t="shared" si="111"/>
        <v>1330</v>
      </c>
      <c r="N41" s="2">
        <f>N39-N40</f>
        <v>921</v>
      </c>
      <c r="O41" s="2">
        <f t="shared" si="111"/>
        <v>795</v>
      </c>
      <c r="P41" s="2">
        <f t="shared" si="111"/>
        <v>1029</v>
      </c>
      <c r="Q41" s="2">
        <f t="shared" si="111"/>
        <v>1020</v>
      </c>
      <c r="R41" s="2">
        <f>R39-R40</f>
        <v>1402</v>
      </c>
      <c r="S41" s="2">
        <f t="shared" si="111"/>
        <v>888</v>
      </c>
      <c r="T41" s="2">
        <f t="shared" si="111"/>
        <v>1128</v>
      </c>
      <c r="U41" s="2">
        <f t="shared" si="111"/>
        <v>1010</v>
      </c>
      <c r="V41" s="2">
        <f>V39-V40</f>
        <v>1121</v>
      </c>
      <c r="W41" s="2">
        <f t="shared" ref="W41" si="113">W39-W40</f>
        <v>1287</v>
      </c>
      <c r="X41" s="20">
        <v>1150</v>
      </c>
      <c r="Y41" s="20">
        <v>1190</v>
      </c>
      <c r="Z41" s="20">
        <v>1290</v>
      </c>
      <c r="AA41" s="20">
        <v>1150</v>
      </c>
      <c r="AB41" s="20">
        <v>1200</v>
      </c>
      <c r="AC41" s="20">
        <v>1250</v>
      </c>
      <c r="AD41" s="20">
        <v>1380</v>
      </c>
      <c r="AE41" s="20">
        <v>1280</v>
      </c>
      <c r="AF41" s="20"/>
      <c r="AG41" s="20"/>
      <c r="AH41" s="20"/>
      <c r="AN41" s="2">
        <f>SUM(C41:F41)</f>
        <v>4202</v>
      </c>
      <c r="AO41" s="2">
        <f>SUM(G41:J41)</f>
        <v>4169</v>
      </c>
      <c r="AP41" s="2">
        <f>SUM(K41:N41)</f>
        <v>2419</v>
      </c>
      <c r="AQ41" s="2">
        <f>SUM(O41:R41)</f>
        <v>4246</v>
      </c>
      <c r="AR41" s="2">
        <f t="shared" si="102"/>
        <v>4147</v>
      </c>
      <c r="AS41" s="22">
        <f>AS37-AS40</f>
        <v>5110.820722800001</v>
      </c>
      <c r="AT41" s="20">
        <f t="shared" ref="AT41:BM41" si="114">AT37-AT40</f>
        <v>5503.281543510001</v>
      </c>
      <c r="AU41" s="20">
        <f t="shared" si="114"/>
        <v>5773.4695298554216</v>
      </c>
      <c r="AV41" s="20">
        <f t="shared" si="114"/>
        <v>6066.6867729290279</v>
      </c>
      <c r="AW41" s="20">
        <f t="shared" si="114"/>
        <v>6288.6563228769919</v>
      </c>
      <c r="AX41" s="20">
        <f t="shared" si="114"/>
        <v>6508.9185470651128</v>
      </c>
      <c r="AY41" s="20">
        <f t="shared" si="114"/>
        <v>6606.5523252710891</v>
      </c>
      <c r="AZ41" s="20">
        <f t="shared" si="114"/>
        <v>6705.6506101501554</v>
      </c>
      <c r="BA41" s="20">
        <f t="shared" si="114"/>
        <v>6806.2353693024079</v>
      </c>
      <c r="BB41" s="20">
        <f t="shared" si="114"/>
        <v>6908.328899841943</v>
      </c>
      <c r="BC41" s="20">
        <f t="shared" si="114"/>
        <v>7011.9538333395703</v>
      </c>
      <c r="BD41" s="20">
        <f t="shared" si="114"/>
        <v>7117.1331408396636</v>
      </c>
      <c r="BE41" s="20">
        <f t="shared" si="114"/>
        <v>7223.8901379522567</v>
      </c>
      <c r="BF41" s="20">
        <f t="shared" si="114"/>
        <v>7332.2484900215404</v>
      </c>
      <c r="BG41" s="20">
        <f t="shared" si="114"/>
        <v>7442.2322173718621</v>
      </c>
      <c r="BH41" s="20">
        <f t="shared" si="114"/>
        <v>7553.8657006324402</v>
      </c>
      <c r="BI41" s="20">
        <f t="shared" si="114"/>
        <v>7667.1736861419258</v>
      </c>
      <c r="BJ41" s="20">
        <f t="shared" si="114"/>
        <v>7782.1812914340535</v>
      </c>
      <c r="BK41" s="20">
        <f t="shared" si="114"/>
        <v>7898.9140108055626</v>
      </c>
      <c r="BL41" s="20">
        <f t="shared" si="114"/>
        <v>8017.3977209676468</v>
      </c>
      <c r="BM41" s="20">
        <f t="shared" si="114"/>
        <v>8137.6586867821588</v>
      </c>
      <c r="BN41" s="20">
        <f t="shared" ref="BN41" si="115">BN37-BN40</f>
        <v>8259.7235670838909</v>
      </c>
      <c r="BO41" s="20">
        <f t="shared" ref="BO41" si="116">BO37-BO40</f>
        <v>8383.6194205901502</v>
      </c>
      <c r="BP41" s="20">
        <f t="shared" ref="BP41" si="117">BP37-BP40</f>
        <v>8509.3737118990011</v>
      </c>
      <c r="BQ41" s="20">
        <f t="shared" ref="BQ41" si="118">BQ37-BQ40</f>
        <v>8637.0143175774847</v>
      </c>
      <c r="BR41" s="20">
        <f t="shared" ref="BR41" si="119">BR37-BR40</f>
        <v>8766.5695323411474</v>
      </c>
      <c r="BS41" s="20">
        <f t="shared" ref="BS41" si="120">BS37-BS40</f>
        <v>8898.0680753262623</v>
      </c>
      <c r="BT41" s="20">
        <f t="shared" ref="BT41" si="121">BT37-BT40</f>
        <v>9031.5390964561557</v>
      </c>
      <c r="BU41" s="20">
        <f t="shared" ref="BU41" si="122">BU37-BU40</f>
        <v>9167.0121829029977</v>
      </c>
      <c r="BV41" s="20">
        <f t="shared" ref="BV41" si="123">BV37-BV40</f>
        <v>9304.5173656465413</v>
      </c>
      <c r="BW41" s="20">
        <f t="shared" ref="BW41" si="124">BW37-BW40</f>
        <v>9444.0851261312382</v>
      </c>
      <c r="BX41" s="20">
        <f t="shared" ref="BX41" si="125">BX37-BX40</f>
        <v>9585.7464030232059</v>
      </c>
      <c r="BY41" s="20">
        <f t="shared" ref="BY41" si="126">BY37-BY40</f>
        <v>9729.5325990685524</v>
      </c>
      <c r="BZ41" s="20">
        <f t="shared" ref="BZ41" si="127">BZ37-BZ40</f>
        <v>9875.4755880545799</v>
      </c>
      <c r="CA41" s="20">
        <f t="shared" ref="CA41" si="128">CA37-CA40</f>
        <v>10023.607721875396</v>
      </c>
      <c r="CB41" s="20">
        <f t="shared" ref="CB41" si="129">CB37-CB40</f>
        <v>10173.961837703528</v>
      </c>
      <c r="CC41" s="20">
        <f t="shared" ref="CC41" si="130">CC37-CC40</f>
        <v>10326.571265269078</v>
      </c>
      <c r="CD41" s="20">
        <f t="shared" ref="CD41" si="131">CD37-CD40</f>
        <v>10481.469834248113</v>
      </c>
      <c r="CE41" s="20">
        <f t="shared" ref="CE41" si="132">CE37-CE40</f>
        <v>10638.691881761835</v>
      </c>
      <c r="CF41" s="20">
        <f t="shared" ref="CF41" si="133">CF37-CF40</f>
        <v>10798.27225998826</v>
      </c>
      <c r="CG41" s="20">
        <f t="shared" ref="CG41" si="134">CG37-CG40</f>
        <v>10960.246343888084</v>
      </c>
      <c r="CH41" s="20">
        <f t="shared" ref="CH41" si="135">CH37-CH40</f>
        <v>11124.650039046406</v>
      </c>
      <c r="CI41" s="20">
        <f t="shared" ref="CI41" si="136">CI37-CI40</f>
        <v>11291.519789632102</v>
      </c>
      <c r="CJ41" s="20">
        <f t="shared" ref="CJ41" si="137">CJ37-CJ40</f>
        <v>11460.892586476582</v>
      </c>
      <c r="CK41" s="20">
        <f t="shared" ref="CK41" si="138">CK37-CK40</f>
        <v>11632.805975273732</v>
      </c>
      <c r="CL41" s="20">
        <f t="shared" ref="CL41" si="139">CL37-CL40</f>
        <v>11807.298064902836</v>
      </c>
      <c r="CM41" s="20">
        <f t="shared" ref="CM41" si="140">CM37-CM40</f>
        <v>11984.407535876378</v>
      </c>
      <c r="CN41" s="20">
        <f t="shared" ref="CN41" si="141">CN37-CN40</f>
        <v>12164.173648914522</v>
      </c>
      <c r="CO41" s="20">
        <f t="shared" ref="CO41" si="142">CO37-CO40</f>
        <v>12346.636253648241</v>
      </c>
      <c r="CP41" s="20">
        <f t="shared" ref="CP41" si="143">CP37-CP40</f>
        <v>12531.835797452963</v>
      </c>
      <c r="CQ41" s="20">
        <f t="shared" ref="CQ41" si="144">CQ37-CQ40</f>
        <v>12719.813334414757</v>
      </c>
    </row>
    <row r="42" spans="2:98">
      <c r="B42" s="1" t="s">
        <v>167</v>
      </c>
      <c r="C42" s="1">
        <v>1185</v>
      </c>
      <c r="D42" s="1">
        <v>1184</v>
      </c>
      <c r="E42" s="1">
        <v>1190</v>
      </c>
      <c r="F42" s="1">
        <v>1174</v>
      </c>
      <c r="G42" s="1">
        <v>1190</v>
      </c>
      <c r="H42" s="1">
        <v>1186</v>
      </c>
      <c r="I42" s="1">
        <v>1187</v>
      </c>
      <c r="J42" s="1">
        <v>1174</v>
      </c>
      <c r="K42" s="1">
        <v>1163</v>
      </c>
      <c r="L42" s="1">
        <v>1158</v>
      </c>
      <c r="M42" s="1">
        <v>1157</v>
      </c>
      <c r="N42" s="1">
        <v>1131</v>
      </c>
      <c r="O42" s="1">
        <v>1134</v>
      </c>
      <c r="P42" s="1">
        <v>1114</v>
      </c>
      <c r="Q42" s="1">
        <v>1098</v>
      </c>
      <c r="R42" s="1">
        <v>1071</v>
      </c>
      <c r="S42" s="1">
        <v>1072</v>
      </c>
      <c r="T42" s="1">
        <v>1047</v>
      </c>
      <c r="U42" s="1">
        <v>1024</v>
      </c>
      <c r="V42" s="1">
        <v>989</v>
      </c>
      <c r="W42" s="1">
        <v>986</v>
      </c>
      <c r="X42" s="23">
        <f t="shared" ref="X42:AD42" si="145">X41/X43</f>
        <v>950.41322314049592</v>
      </c>
      <c r="Y42" s="23">
        <f t="shared" si="145"/>
        <v>937.00787401574803</v>
      </c>
      <c r="Z42" s="23">
        <f t="shared" si="145"/>
        <v>934.78260869565224</v>
      </c>
      <c r="AA42" s="23">
        <f t="shared" si="145"/>
        <v>891.47286821705427</v>
      </c>
      <c r="AB42" s="23">
        <f t="shared" si="145"/>
        <v>882.35294117647049</v>
      </c>
      <c r="AC42" s="23">
        <f t="shared" si="145"/>
        <v>886.52482269503548</v>
      </c>
      <c r="AD42" s="23">
        <f t="shared" si="145"/>
        <v>896.10389610389609</v>
      </c>
      <c r="AE42" s="23">
        <f>AE41/AE43</f>
        <v>876.71232876712327</v>
      </c>
      <c r="AN42" s="9">
        <f t="shared" ref="AN42:AP42" si="146">AVERAGE(O42:R42)</f>
        <v>1104.25</v>
      </c>
      <c r="AO42" s="9">
        <f t="shared" si="146"/>
        <v>1088.75</v>
      </c>
      <c r="AP42" s="9">
        <f t="shared" si="146"/>
        <v>1072</v>
      </c>
      <c r="AQ42" s="9">
        <f>R42</f>
        <v>1071</v>
      </c>
      <c r="AR42" s="9">
        <f>V42</f>
        <v>989</v>
      </c>
      <c r="AS42" s="23">
        <v>947</v>
      </c>
      <c r="AT42" s="23">
        <v>885</v>
      </c>
      <c r="AU42" s="23"/>
      <c r="AV42" s="23"/>
      <c r="AW42" s="23"/>
      <c r="AX42" s="23"/>
      <c r="AY42" s="23"/>
      <c r="AZ42" s="23"/>
      <c r="BA42" s="23"/>
      <c r="BB42" s="23"/>
      <c r="BC42" s="23"/>
      <c r="BD42" s="23"/>
      <c r="BE42" s="23"/>
      <c r="BF42" s="23"/>
      <c r="BG42" s="23"/>
      <c r="BH42" s="23"/>
      <c r="BI42" s="23"/>
      <c r="BJ42" s="23"/>
      <c r="BK42" s="23"/>
      <c r="BL42" s="23"/>
      <c r="BM42" s="23"/>
      <c r="BN42" s="23"/>
      <c r="BO42" s="23"/>
      <c r="BP42" s="23"/>
      <c r="BQ42" s="23"/>
      <c r="BR42" s="23"/>
      <c r="BS42" s="23"/>
      <c r="BT42" s="23"/>
      <c r="BU42" s="23"/>
      <c r="BV42" s="23"/>
      <c r="BW42" s="23"/>
      <c r="BX42" s="23"/>
      <c r="BY42" s="23"/>
      <c r="BZ42" s="23"/>
      <c r="CA42" s="23"/>
      <c r="CB42" s="23"/>
      <c r="CC42" s="23"/>
      <c r="CD42" s="23"/>
      <c r="CE42" s="23"/>
      <c r="CF42" s="23"/>
      <c r="CG42" s="23"/>
      <c r="CH42" s="23"/>
      <c r="CI42" s="23"/>
      <c r="CJ42" s="23"/>
      <c r="CK42" s="23"/>
      <c r="CL42" s="23"/>
      <c r="CM42" s="23"/>
      <c r="CN42" s="23"/>
      <c r="CO42" s="23"/>
      <c r="CP42" s="23"/>
      <c r="CQ42" s="23"/>
      <c r="CR42" s="9"/>
      <c r="CS42" s="9"/>
      <c r="CT42" s="9"/>
    </row>
    <row r="43" spans="2:98">
      <c r="B43" s="1" t="s">
        <v>485</v>
      </c>
      <c r="C43" s="6">
        <f t="shared" ref="C43:V43" si="147">C41/C42</f>
        <v>7.0886075949367092E-2</v>
      </c>
      <c r="D43" s="6">
        <f t="shared" si="147"/>
        <v>1.2922297297297298</v>
      </c>
      <c r="E43" s="6">
        <f t="shared" si="147"/>
        <v>0.85798319327731087</v>
      </c>
      <c r="F43" s="6">
        <f t="shared" si="147"/>
        <v>1.3347529812606473</v>
      </c>
      <c r="G43" s="6">
        <f t="shared" si="147"/>
        <v>0.92184873949579826</v>
      </c>
      <c r="H43" s="6">
        <f t="shared" si="147"/>
        <v>0.99831365935919059</v>
      </c>
      <c r="I43" s="6">
        <f t="shared" si="147"/>
        <v>0.91575400168491994</v>
      </c>
      <c r="J43" s="6">
        <f t="shared" ref="J43" si="148">J41/J42</f>
        <v>0.68228279386712098</v>
      </c>
      <c r="K43" s="6">
        <f t="shared" si="147"/>
        <v>0.43766122098022359</v>
      </c>
      <c r="L43" s="6">
        <f t="shared" si="147"/>
        <v>-0.29447322970639034</v>
      </c>
      <c r="M43" s="6">
        <f t="shared" si="147"/>
        <v>1.1495246326707</v>
      </c>
      <c r="N43" s="6">
        <f t="shared" si="147"/>
        <v>0.81432360742705567</v>
      </c>
      <c r="O43" s="6">
        <f t="shared" si="147"/>
        <v>0.70105820105820105</v>
      </c>
      <c r="P43" s="6">
        <f t="shared" si="147"/>
        <v>0.92369838420107719</v>
      </c>
      <c r="Q43" s="6">
        <f t="shared" si="147"/>
        <v>0.92896174863387981</v>
      </c>
      <c r="R43" s="6">
        <f t="shared" ref="R43" si="149">R41/R42</f>
        <v>1.3090569561157797</v>
      </c>
      <c r="S43" s="6">
        <f t="shared" si="147"/>
        <v>0.82835820895522383</v>
      </c>
      <c r="T43" s="6">
        <f t="shared" si="147"/>
        <v>1.0773638968481376</v>
      </c>
      <c r="U43" s="6">
        <f t="shared" si="147"/>
        <v>0.986328125</v>
      </c>
      <c r="V43" s="6">
        <f t="shared" si="147"/>
        <v>1.1334681496461072</v>
      </c>
      <c r="W43" s="6">
        <f t="shared" ref="W43" si="150">W41/W42</f>
        <v>1.3052738336713996</v>
      </c>
      <c r="X43" s="24">
        <v>1.21</v>
      </c>
      <c r="Y43" s="24">
        <v>1.27</v>
      </c>
      <c r="Z43" s="24">
        <v>1.38</v>
      </c>
      <c r="AA43" s="24">
        <v>1.29</v>
      </c>
      <c r="AB43" s="24">
        <v>1.36</v>
      </c>
      <c r="AC43" s="24">
        <v>1.41</v>
      </c>
      <c r="AD43" s="24">
        <v>1.54</v>
      </c>
      <c r="AE43" s="24">
        <v>1.46</v>
      </c>
      <c r="AN43" s="6">
        <f>SUM(C43:F43)</f>
        <v>3.5558519802170552</v>
      </c>
      <c r="AO43" s="6">
        <f>SUM(G43:J43)</f>
        <v>3.5181991944070301</v>
      </c>
      <c r="AP43" s="6">
        <f>SUM(K43:N43)</f>
        <v>2.1070362313715889</v>
      </c>
      <c r="AQ43" s="6">
        <f>SUM(O43:R43)</f>
        <v>3.8627752900089378</v>
      </c>
      <c r="AR43" s="6">
        <f>SUM(S43:V43)</f>
        <v>4.0255183804494692</v>
      </c>
      <c r="AS43" s="24">
        <f>AS41/AS42</f>
        <v>5.396853983949315</v>
      </c>
      <c r="AT43" s="24">
        <f t="shared" ref="AT43" si="151">AT41/AT42</f>
        <v>6.218397224305086</v>
      </c>
      <c r="AU43" s="24"/>
      <c r="AV43" s="24"/>
      <c r="AW43" s="24"/>
      <c r="AX43" s="24"/>
      <c r="AY43" s="24"/>
      <c r="AZ43" s="24"/>
      <c r="BA43" s="24"/>
      <c r="BB43" s="24"/>
      <c r="BC43" s="24"/>
      <c r="BD43" s="24"/>
      <c r="BE43" s="24"/>
      <c r="BF43" s="24"/>
      <c r="BG43" s="24"/>
      <c r="BH43" s="24"/>
      <c r="BI43" s="24"/>
      <c r="BJ43" s="24"/>
      <c r="BK43" s="24"/>
      <c r="BL43" s="24"/>
      <c r="BM43" s="24"/>
      <c r="BN43" s="24"/>
      <c r="BO43" s="24"/>
      <c r="BP43" s="24"/>
      <c r="BQ43" s="24"/>
      <c r="BR43" s="24"/>
      <c r="BS43" s="24"/>
      <c r="BT43" s="24"/>
      <c r="BU43" s="24"/>
      <c r="BV43" s="24"/>
      <c r="BW43" s="24"/>
      <c r="BX43" s="24"/>
      <c r="BY43" s="24"/>
      <c r="BZ43" s="24"/>
      <c r="CA43" s="24"/>
      <c r="CB43" s="24"/>
      <c r="CC43" s="24"/>
      <c r="CD43" s="24"/>
      <c r="CE43" s="24"/>
      <c r="CF43" s="24"/>
      <c r="CG43" s="24"/>
      <c r="CH43" s="24"/>
      <c r="CI43" s="24"/>
      <c r="CJ43" s="24"/>
      <c r="CK43" s="24"/>
      <c r="CL43" s="24"/>
      <c r="CM43" s="24"/>
      <c r="CN43" s="24"/>
      <c r="CO43" s="24"/>
      <c r="CP43" s="24"/>
      <c r="CQ43" s="24"/>
    </row>
    <row r="44" spans="2:98">
      <c r="W44" s="1"/>
    </row>
    <row r="45" spans="2:98">
      <c r="B45" s="1" t="s">
        <v>483</v>
      </c>
      <c r="W45" s="1"/>
      <c r="AN45" s="7">
        <f t="shared" ref="AN45:AQ45" si="152">AN34/AN29</f>
        <v>9.9862282086594339E-2</v>
      </c>
      <c r="AO45" s="7">
        <f t="shared" si="152"/>
        <v>9.8389746960236613E-2</v>
      </c>
      <c r="AP45" s="7">
        <f t="shared" si="152"/>
        <v>9.5687765888874565E-2</v>
      </c>
      <c r="AQ45" s="7">
        <f t="shared" si="152"/>
        <v>9.4605334265823182E-2</v>
      </c>
      <c r="AR45" s="7">
        <f>AR34/AR29</f>
        <v>9.3688083781488823E-2</v>
      </c>
    </row>
    <row r="46" spans="2:98">
      <c r="B46" s="1" t="s">
        <v>486</v>
      </c>
      <c r="W46" s="1"/>
      <c r="AN46" s="7">
        <f t="shared" ref="AN46:AQ46" si="153">AN35/AN29</f>
        <v>6.9161264317624538E-2</v>
      </c>
      <c r="AO46" s="7">
        <f t="shared" si="153"/>
        <v>6.6250410778836671E-2</v>
      </c>
      <c r="AP46" s="7">
        <f t="shared" si="153"/>
        <v>6.7519659662240564E-2</v>
      </c>
      <c r="AQ46" s="7">
        <f t="shared" si="153"/>
        <v>6.6980322344788124E-2</v>
      </c>
      <c r="AR46" s="7">
        <f>AR35/AR29</f>
        <v>6.7522093279240178E-2</v>
      </c>
    </row>
    <row r="47" spans="2:98">
      <c r="B47" s="1" t="s">
        <v>132</v>
      </c>
      <c r="C47" s="7">
        <f t="shared" ref="C47:U47" si="154">C37/C29</f>
        <v>8.6184495452576879E-2</v>
      </c>
      <c r="D47" s="7">
        <f t="shared" si="154"/>
        <v>0.18076411328644745</v>
      </c>
      <c r="E47" s="7">
        <f t="shared" si="154"/>
        <v>0.17897050741894119</v>
      </c>
      <c r="F47" s="7">
        <f t="shared" si="154"/>
        <v>0.15745585349901897</v>
      </c>
      <c r="G47" s="7">
        <f t="shared" si="154"/>
        <v>0.17271672468092159</v>
      </c>
      <c r="H47" s="7">
        <f t="shared" si="154"/>
        <v>0.18066688041038795</v>
      </c>
      <c r="I47" s="7">
        <f t="shared" si="154"/>
        <v>0.16871562601099968</v>
      </c>
      <c r="J47" s="7">
        <f t="shared" si="154"/>
        <v>0.15177797051170858</v>
      </c>
      <c r="K47" s="7">
        <f t="shared" si="154"/>
        <v>0.10967144840351689</v>
      </c>
      <c r="L47" s="7">
        <f t="shared" si="154"/>
        <v>0.11225389362327358</v>
      </c>
      <c r="M47" s="7">
        <f t="shared" si="154"/>
        <v>0.16330704060765411</v>
      </c>
      <c r="N47" s="7">
        <f t="shared" si="154"/>
        <v>0.1684951916565082</v>
      </c>
      <c r="O47" s="7">
        <f t="shared" si="154"/>
        <v>0.14190340909090909</v>
      </c>
      <c r="P47" s="7">
        <f t="shared" si="154"/>
        <v>0.15548236585700562</v>
      </c>
      <c r="Q47" s="7">
        <f t="shared" si="154"/>
        <v>0.15745483957940146</v>
      </c>
      <c r="R47" s="7">
        <f t="shared" si="154"/>
        <v>0.21530027410914529</v>
      </c>
      <c r="S47" s="7">
        <f t="shared" si="154"/>
        <v>0.15170801402779582</v>
      </c>
      <c r="T47" s="7">
        <f t="shared" si="154"/>
        <v>0.16804058338617628</v>
      </c>
      <c r="U47" s="7">
        <f t="shared" si="154"/>
        <v>0.17726519689053141</v>
      </c>
      <c r="V47" s="7">
        <f>V37/V29</f>
        <v>0.17224480038250059</v>
      </c>
      <c r="W47" s="7">
        <f t="shared" ref="W47" si="155">W37/W29</f>
        <v>0.19638043896804006</v>
      </c>
      <c r="AN47" s="7">
        <f t="shared" ref="AN47:AQ47" si="156">AN37/AN29</f>
        <v>0.16888918746431092</v>
      </c>
      <c r="AO47" s="7">
        <f t="shared" si="156"/>
        <v>0.17078540913572132</v>
      </c>
      <c r="AP47" s="7">
        <f t="shared" si="156"/>
        <v>0.1736818357612479</v>
      </c>
      <c r="AQ47" s="7">
        <f t="shared" si="156"/>
        <v>0.17840226340719076</v>
      </c>
      <c r="AR47" s="7">
        <f>AR37/AR29</f>
        <v>0.16746862911595434</v>
      </c>
      <c r="AS47" s="25">
        <v>0.19700000000000001</v>
      </c>
      <c r="AT47" s="25">
        <v>0.20499999999999999</v>
      </c>
      <c r="AU47" s="25">
        <v>0.20699999999999999</v>
      </c>
      <c r="AV47" s="25">
        <v>0.20899999999999999</v>
      </c>
      <c r="AW47" s="25">
        <v>0.21</v>
      </c>
      <c r="AX47" s="25">
        <v>0.21099999999999999</v>
      </c>
      <c r="AY47" s="25">
        <f>$AX$47</f>
        <v>0.21099999999999999</v>
      </c>
      <c r="AZ47" s="25">
        <f t="shared" ref="AZ47:CQ47" si="157">$AX$47</f>
        <v>0.21099999999999999</v>
      </c>
      <c r="BA47" s="25">
        <f t="shared" si="157"/>
        <v>0.21099999999999999</v>
      </c>
      <c r="BB47" s="25">
        <f t="shared" si="157"/>
        <v>0.21099999999999999</v>
      </c>
      <c r="BC47" s="25">
        <f t="shared" si="157"/>
        <v>0.21099999999999999</v>
      </c>
      <c r="BD47" s="25">
        <f t="shared" si="157"/>
        <v>0.21099999999999999</v>
      </c>
      <c r="BE47" s="25">
        <f t="shared" si="157"/>
        <v>0.21099999999999999</v>
      </c>
      <c r="BF47" s="25">
        <f t="shared" si="157"/>
        <v>0.21099999999999999</v>
      </c>
      <c r="BG47" s="25">
        <f t="shared" si="157"/>
        <v>0.21099999999999999</v>
      </c>
      <c r="BH47" s="25">
        <f t="shared" si="157"/>
        <v>0.21099999999999999</v>
      </c>
      <c r="BI47" s="25">
        <f t="shared" si="157"/>
        <v>0.21099999999999999</v>
      </c>
      <c r="BJ47" s="25">
        <f t="shared" si="157"/>
        <v>0.21099999999999999</v>
      </c>
      <c r="BK47" s="25">
        <f t="shared" si="157"/>
        <v>0.21099999999999999</v>
      </c>
      <c r="BL47" s="25">
        <f t="shared" si="157"/>
        <v>0.21099999999999999</v>
      </c>
      <c r="BM47" s="25">
        <f t="shared" si="157"/>
        <v>0.21099999999999999</v>
      </c>
      <c r="BN47" s="25">
        <f t="shared" si="157"/>
        <v>0.21099999999999999</v>
      </c>
      <c r="BO47" s="25">
        <f t="shared" si="157"/>
        <v>0.21099999999999999</v>
      </c>
      <c r="BP47" s="25">
        <f t="shared" si="157"/>
        <v>0.21099999999999999</v>
      </c>
      <c r="BQ47" s="25">
        <f t="shared" si="157"/>
        <v>0.21099999999999999</v>
      </c>
      <c r="BR47" s="25">
        <f t="shared" si="157"/>
        <v>0.21099999999999999</v>
      </c>
      <c r="BS47" s="25">
        <f t="shared" si="157"/>
        <v>0.21099999999999999</v>
      </c>
      <c r="BT47" s="25">
        <f t="shared" si="157"/>
        <v>0.21099999999999999</v>
      </c>
      <c r="BU47" s="25">
        <f t="shared" si="157"/>
        <v>0.21099999999999999</v>
      </c>
      <c r="BV47" s="25">
        <f t="shared" si="157"/>
        <v>0.21099999999999999</v>
      </c>
      <c r="BW47" s="25">
        <f t="shared" si="157"/>
        <v>0.21099999999999999</v>
      </c>
      <c r="BX47" s="25">
        <f t="shared" si="157"/>
        <v>0.21099999999999999</v>
      </c>
      <c r="BY47" s="25">
        <f t="shared" si="157"/>
        <v>0.21099999999999999</v>
      </c>
      <c r="BZ47" s="25">
        <f t="shared" si="157"/>
        <v>0.21099999999999999</v>
      </c>
      <c r="CA47" s="25">
        <f t="shared" si="157"/>
        <v>0.21099999999999999</v>
      </c>
      <c r="CB47" s="25">
        <f t="shared" si="157"/>
        <v>0.21099999999999999</v>
      </c>
      <c r="CC47" s="25">
        <f t="shared" si="157"/>
        <v>0.21099999999999999</v>
      </c>
      <c r="CD47" s="25">
        <f t="shared" si="157"/>
        <v>0.21099999999999999</v>
      </c>
      <c r="CE47" s="25">
        <f t="shared" si="157"/>
        <v>0.21099999999999999</v>
      </c>
      <c r="CF47" s="25">
        <f t="shared" si="157"/>
        <v>0.21099999999999999</v>
      </c>
      <c r="CG47" s="25">
        <f t="shared" si="157"/>
        <v>0.21099999999999999</v>
      </c>
      <c r="CH47" s="25">
        <f t="shared" si="157"/>
        <v>0.21099999999999999</v>
      </c>
      <c r="CI47" s="25">
        <f t="shared" si="157"/>
        <v>0.21099999999999999</v>
      </c>
      <c r="CJ47" s="25">
        <f t="shared" si="157"/>
        <v>0.21099999999999999</v>
      </c>
      <c r="CK47" s="25">
        <f t="shared" si="157"/>
        <v>0.21099999999999999</v>
      </c>
      <c r="CL47" s="25">
        <f t="shared" si="157"/>
        <v>0.21099999999999999</v>
      </c>
      <c r="CM47" s="25">
        <f t="shared" si="157"/>
        <v>0.21099999999999999</v>
      </c>
      <c r="CN47" s="25">
        <f t="shared" si="157"/>
        <v>0.21099999999999999</v>
      </c>
      <c r="CO47" s="25">
        <f t="shared" si="157"/>
        <v>0.21099999999999999</v>
      </c>
      <c r="CP47" s="25">
        <f t="shared" si="157"/>
        <v>0.21099999999999999</v>
      </c>
      <c r="CQ47" s="25">
        <f t="shared" si="157"/>
        <v>0.21099999999999999</v>
      </c>
    </row>
    <row r="48" spans="2:98">
      <c r="B48" s="1" t="s">
        <v>65</v>
      </c>
      <c r="C48" s="7">
        <f t="shared" ref="C48:V48" si="158">C41/C29</f>
        <v>1.8189692507579038E-2</v>
      </c>
      <c r="D48" s="7">
        <f t="shared" si="158"/>
        <v>0.29081923588671355</v>
      </c>
      <c r="E48" s="7">
        <f t="shared" si="158"/>
        <v>0.18703059168345851</v>
      </c>
      <c r="F48" s="7">
        <f t="shared" si="158"/>
        <v>0.25621321124918245</v>
      </c>
      <c r="G48" s="7">
        <f t="shared" si="158"/>
        <v>0.1818332504558263</v>
      </c>
      <c r="H48" s="7">
        <f t="shared" si="158"/>
        <v>0.18980442449503046</v>
      </c>
      <c r="I48" s="7">
        <f t="shared" si="158"/>
        <v>0.17583306373341961</v>
      </c>
      <c r="J48" s="7">
        <f t="shared" si="158"/>
        <v>0.11578490893321769</v>
      </c>
      <c r="K48" s="7">
        <f t="shared" si="158"/>
        <v>7.8513034089156261E-2</v>
      </c>
      <c r="L48" s="7">
        <f t="shared" si="158"/>
        <v>-5.0102850426094622E-2</v>
      </c>
      <c r="M48" s="7">
        <f t="shared" si="158"/>
        <v>0.19427402862985685</v>
      </c>
      <c r="N48" s="7">
        <f t="shared" si="158"/>
        <v>0.12474603819585535</v>
      </c>
      <c r="O48" s="7">
        <f t="shared" si="158"/>
        <v>0.11292613636363637</v>
      </c>
      <c r="P48" s="7">
        <f t="shared" si="158"/>
        <v>0.14121037463976946</v>
      </c>
      <c r="Q48" s="7">
        <f t="shared" si="158"/>
        <v>0.13750337018064168</v>
      </c>
      <c r="R48" s="7">
        <f t="shared" si="158"/>
        <v>0.17468228258160975</v>
      </c>
      <c r="S48" s="7">
        <f t="shared" si="158"/>
        <v>0.11533965450058449</v>
      </c>
      <c r="T48" s="7">
        <f t="shared" si="158"/>
        <v>0.14305643627140138</v>
      </c>
      <c r="U48" s="7">
        <f t="shared" si="158"/>
        <v>0.12871160953230534</v>
      </c>
      <c r="V48" s="7">
        <f t="shared" si="158"/>
        <v>0.13399474061678221</v>
      </c>
      <c r="W48" s="7">
        <f t="shared" ref="W48" si="159">W41/W29</f>
        <v>0.16519060454370427</v>
      </c>
      <c r="AN48" s="7">
        <f t="shared" ref="AN48:AX48" si="160">AN41/AN29</f>
        <v>0.14114406637331631</v>
      </c>
      <c r="AO48" s="7">
        <f t="shared" si="160"/>
        <v>0.13700295760762404</v>
      </c>
      <c r="AP48" s="7">
        <f t="shared" si="160"/>
        <v>7.7961840917880623E-2</v>
      </c>
      <c r="AQ48" s="7">
        <f t="shared" si="160"/>
        <v>0.13497790634834855</v>
      </c>
      <c r="AR48" s="7">
        <f t="shared" si="160"/>
        <v>0.13042110890964556</v>
      </c>
      <c r="AS48" s="25">
        <f t="shared" si="160"/>
        <v>0.15563000000000002</v>
      </c>
      <c r="AT48" s="25">
        <f t="shared" si="160"/>
        <v>0.16195000000000001</v>
      </c>
      <c r="AU48" s="25">
        <f t="shared" si="160"/>
        <v>0.16353000000000001</v>
      </c>
      <c r="AV48" s="25">
        <f t="shared" si="160"/>
        <v>0.16510999999999998</v>
      </c>
      <c r="AW48" s="25">
        <f t="shared" si="160"/>
        <v>0.16589999999999999</v>
      </c>
      <c r="AX48" s="25">
        <f t="shared" si="160"/>
        <v>0.16668999999999998</v>
      </c>
      <c r="AY48" s="25">
        <f>$AX$48</f>
        <v>0.16668999999999998</v>
      </c>
      <c r="AZ48" s="25">
        <f t="shared" ref="AZ48:CQ48" si="161">$AX$48</f>
        <v>0.16668999999999998</v>
      </c>
      <c r="BA48" s="25">
        <f t="shared" si="161"/>
        <v>0.16668999999999998</v>
      </c>
      <c r="BB48" s="25">
        <f t="shared" si="161"/>
        <v>0.16668999999999998</v>
      </c>
      <c r="BC48" s="25">
        <f t="shared" si="161"/>
        <v>0.16668999999999998</v>
      </c>
      <c r="BD48" s="25">
        <f t="shared" si="161"/>
        <v>0.16668999999999998</v>
      </c>
      <c r="BE48" s="25">
        <f t="shared" si="161"/>
        <v>0.16668999999999998</v>
      </c>
      <c r="BF48" s="25">
        <f t="shared" si="161"/>
        <v>0.16668999999999998</v>
      </c>
      <c r="BG48" s="25">
        <f t="shared" si="161"/>
        <v>0.16668999999999998</v>
      </c>
      <c r="BH48" s="25">
        <f t="shared" si="161"/>
        <v>0.16668999999999998</v>
      </c>
      <c r="BI48" s="25">
        <f t="shared" si="161"/>
        <v>0.16668999999999998</v>
      </c>
      <c r="BJ48" s="25">
        <f t="shared" si="161"/>
        <v>0.16668999999999998</v>
      </c>
      <c r="BK48" s="25">
        <f t="shared" si="161"/>
        <v>0.16668999999999998</v>
      </c>
      <c r="BL48" s="25">
        <f t="shared" si="161"/>
        <v>0.16668999999999998</v>
      </c>
      <c r="BM48" s="25">
        <f t="shared" si="161"/>
        <v>0.16668999999999998</v>
      </c>
      <c r="BN48" s="25">
        <f t="shared" si="161"/>
        <v>0.16668999999999998</v>
      </c>
      <c r="BO48" s="25">
        <f t="shared" si="161"/>
        <v>0.16668999999999998</v>
      </c>
      <c r="BP48" s="25">
        <f t="shared" si="161"/>
        <v>0.16668999999999998</v>
      </c>
      <c r="BQ48" s="25">
        <f t="shared" si="161"/>
        <v>0.16668999999999998</v>
      </c>
      <c r="BR48" s="25">
        <f t="shared" si="161"/>
        <v>0.16668999999999998</v>
      </c>
      <c r="BS48" s="25">
        <f t="shared" si="161"/>
        <v>0.16668999999999998</v>
      </c>
      <c r="BT48" s="25">
        <f t="shared" si="161"/>
        <v>0.16668999999999998</v>
      </c>
      <c r="BU48" s="25">
        <f t="shared" si="161"/>
        <v>0.16668999999999998</v>
      </c>
      <c r="BV48" s="25">
        <f t="shared" si="161"/>
        <v>0.16668999999999998</v>
      </c>
      <c r="BW48" s="25">
        <f t="shared" si="161"/>
        <v>0.16668999999999998</v>
      </c>
      <c r="BX48" s="25">
        <f t="shared" si="161"/>
        <v>0.16668999999999998</v>
      </c>
      <c r="BY48" s="25">
        <f t="shared" si="161"/>
        <v>0.16668999999999998</v>
      </c>
      <c r="BZ48" s="25">
        <f t="shared" si="161"/>
        <v>0.16668999999999998</v>
      </c>
      <c r="CA48" s="25">
        <f t="shared" si="161"/>
        <v>0.16668999999999998</v>
      </c>
      <c r="CB48" s="25">
        <f t="shared" si="161"/>
        <v>0.16668999999999998</v>
      </c>
      <c r="CC48" s="25">
        <f t="shared" si="161"/>
        <v>0.16668999999999998</v>
      </c>
      <c r="CD48" s="25">
        <f t="shared" si="161"/>
        <v>0.16668999999999998</v>
      </c>
      <c r="CE48" s="25">
        <f t="shared" si="161"/>
        <v>0.16668999999999998</v>
      </c>
      <c r="CF48" s="25">
        <f t="shared" si="161"/>
        <v>0.16668999999999998</v>
      </c>
      <c r="CG48" s="25">
        <f t="shared" si="161"/>
        <v>0.16668999999999998</v>
      </c>
      <c r="CH48" s="25">
        <f t="shared" si="161"/>
        <v>0.16668999999999998</v>
      </c>
      <c r="CI48" s="25">
        <f t="shared" si="161"/>
        <v>0.16668999999999998</v>
      </c>
      <c r="CJ48" s="25">
        <f t="shared" si="161"/>
        <v>0.16668999999999998</v>
      </c>
      <c r="CK48" s="25">
        <f t="shared" si="161"/>
        <v>0.16668999999999998</v>
      </c>
      <c r="CL48" s="25">
        <f t="shared" si="161"/>
        <v>0.16668999999999998</v>
      </c>
      <c r="CM48" s="25">
        <f t="shared" si="161"/>
        <v>0.16668999999999998</v>
      </c>
      <c r="CN48" s="25">
        <f t="shared" si="161"/>
        <v>0.16668999999999998</v>
      </c>
      <c r="CO48" s="25">
        <f t="shared" si="161"/>
        <v>0.16668999999999998</v>
      </c>
      <c r="CP48" s="25">
        <f t="shared" si="161"/>
        <v>0.16668999999999998</v>
      </c>
      <c r="CQ48" s="25">
        <f t="shared" si="161"/>
        <v>0.16668999999999998</v>
      </c>
    </row>
    <row r="49" spans="2:67">
      <c r="C49" s="8"/>
      <c r="D49" s="8"/>
      <c r="E49" s="8"/>
      <c r="F49" s="8"/>
      <c r="G49" s="8"/>
      <c r="H49" s="8"/>
      <c r="I49" s="8"/>
      <c r="J49" s="8"/>
      <c r="K49" s="8"/>
      <c r="L49" s="8"/>
      <c r="M49" s="8"/>
      <c r="N49" s="8"/>
      <c r="O49" s="8"/>
      <c r="P49" s="8"/>
      <c r="Q49" s="8"/>
      <c r="R49" s="8"/>
      <c r="S49" s="8"/>
      <c r="T49" s="8"/>
      <c r="U49" s="8"/>
      <c r="V49" s="8"/>
      <c r="W49" s="8"/>
    </row>
    <row r="50" spans="2:67">
      <c r="B50" s="1" t="s">
        <v>95</v>
      </c>
      <c r="J50" s="1">
        <v>4794</v>
      </c>
      <c r="K50" s="1">
        <v>5717</v>
      </c>
      <c r="L50" s="1">
        <v>5745</v>
      </c>
      <c r="M50" s="1">
        <v>7782</v>
      </c>
      <c r="N50" s="1">
        <v>7776</v>
      </c>
      <c r="O50" s="1">
        <v>7101</v>
      </c>
      <c r="P50" s="1">
        <v>5504</v>
      </c>
      <c r="Q50" s="1">
        <v>6816</v>
      </c>
      <c r="R50" s="1">
        <v>9081</v>
      </c>
      <c r="S50" s="1">
        <v>9693</v>
      </c>
      <c r="T50" s="1">
        <v>7701</v>
      </c>
      <c r="U50" s="1">
        <v>7272</v>
      </c>
      <c r="V50" s="1">
        <v>6561</v>
      </c>
      <c r="W50" s="1">
        <v>7449</v>
      </c>
      <c r="AO50" s="1">
        <v>4794</v>
      </c>
      <c r="AP50" s="1">
        <v>7776</v>
      </c>
      <c r="AQ50" s="1">
        <v>9081</v>
      </c>
      <c r="AR50" s="1">
        <v>6561</v>
      </c>
      <c r="AT50" s="19" t="s">
        <v>164</v>
      </c>
      <c r="AU50" s="26">
        <v>8.5000000000000006E-2</v>
      </c>
      <c r="BO50" s="24"/>
    </row>
    <row r="51" spans="2:67">
      <c r="B51" s="1" t="s">
        <v>66</v>
      </c>
      <c r="J51" s="1">
        <v>8289</v>
      </c>
      <c r="K51" s="1">
        <v>7369</v>
      </c>
      <c r="L51" s="1">
        <v>6650</v>
      </c>
      <c r="M51" s="1">
        <v>5510</v>
      </c>
      <c r="N51" s="1">
        <v>3092</v>
      </c>
      <c r="O51" s="1">
        <v>3559</v>
      </c>
      <c r="P51" s="1">
        <v>4398</v>
      </c>
      <c r="Q51" s="1">
        <v>4731</v>
      </c>
      <c r="R51" s="1">
        <v>4979</v>
      </c>
      <c r="S51" s="1">
        <v>4625</v>
      </c>
      <c r="T51" s="1">
        <v>5915</v>
      </c>
      <c r="U51" s="1">
        <v>4647</v>
      </c>
      <c r="V51" s="1">
        <v>4262</v>
      </c>
      <c r="W51" s="1">
        <v>3762</v>
      </c>
      <c r="AO51" s="1">
        <v>8289</v>
      </c>
      <c r="AP51" s="1">
        <v>3092</v>
      </c>
      <c r="AQ51" s="1">
        <v>4979</v>
      </c>
      <c r="AR51" s="1">
        <v>4262</v>
      </c>
      <c r="AT51" s="19" t="s">
        <v>165</v>
      </c>
      <c r="AU51" s="26">
        <v>1.4999999999999999E-2</v>
      </c>
    </row>
    <row r="52" spans="2:67">
      <c r="B52" s="1" t="s">
        <v>88</v>
      </c>
      <c r="J52" s="1">
        <v>577</v>
      </c>
      <c r="K52" s="1">
        <v>674</v>
      </c>
      <c r="L52" s="1">
        <v>693</v>
      </c>
      <c r="M52" s="1">
        <v>736</v>
      </c>
      <c r="N52" s="1">
        <v>963</v>
      </c>
      <c r="O52" s="1">
        <v>967</v>
      </c>
      <c r="P52" s="1">
        <v>928</v>
      </c>
      <c r="Q52" s="1">
        <v>988</v>
      </c>
      <c r="R52" s="1">
        <v>1069</v>
      </c>
      <c r="S52" s="1">
        <v>1108</v>
      </c>
      <c r="T52" s="1">
        <v>987</v>
      </c>
      <c r="U52" s="1">
        <v>1038</v>
      </c>
      <c r="V52" s="1">
        <v>984</v>
      </c>
      <c r="W52" s="1">
        <v>1082</v>
      </c>
      <c r="AO52" s="1">
        <v>577</v>
      </c>
      <c r="AP52" s="1">
        <v>963</v>
      </c>
      <c r="AQ52" s="1">
        <v>1069</v>
      </c>
      <c r="AR52" s="1">
        <v>984</v>
      </c>
      <c r="AT52" s="19" t="s">
        <v>166</v>
      </c>
      <c r="AU52" s="23">
        <f>NPV(AU50,AS41:CQ41)</f>
        <v>81427.130098096677</v>
      </c>
    </row>
    <row r="53" spans="2:67">
      <c r="B53" s="1" t="s">
        <v>96</v>
      </c>
      <c r="J53" s="1">
        <v>0</v>
      </c>
      <c r="K53" s="1">
        <v>0</v>
      </c>
      <c r="L53" s="1">
        <v>0</v>
      </c>
      <c r="M53" s="1">
        <v>0</v>
      </c>
      <c r="N53" s="1">
        <v>0</v>
      </c>
      <c r="O53" s="1">
        <v>0</v>
      </c>
      <c r="P53" s="1">
        <v>1903</v>
      </c>
      <c r="Q53" s="1">
        <v>2165</v>
      </c>
      <c r="R53" s="1">
        <v>563</v>
      </c>
      <c r="S53" s="1">
        <v>307</v>
      </c>
      <c r="T53" s="1">
        <v>369</v>
      </c>
      <c r="U53" s="1">
        <v>471</v>
      </c>
      <c r="V53" s="1">
        <v>541</v>
      </c>
      <c r="W53" s="1">
        <v>714</v>
      </c>
      <c r="AO53" s="1">
        <v>0</v>
      </c>
      <c r="AP53" s="1">
        <v>0</v>
      </c>
      <c r="AQ53" s="1">
        <v>563</v>
      </c>
      <c r="AR53" s="1">
        <v>541</v>
      </c>
      <c r="AT53" s="19" t="s">
        <v>167</v>
      </c>
      <c r="AU53" s="23">
        <v>989</v>
      </c>
    </row>
    <row r="54" spans="2:67">
      <c r="B54" s="1" t="s">
        <v>97</v>
      </c>
      <c r="J54" s="1">
        <v>2769</v>
      </c>
      <c r="K54" s="1">
        <v>2731</v>
      </c>
      <c r="L54" s="1">
        <v>3283</v>
      </c>
      <c r="M54" s="1">
        <v>3713</v>
      </c>
      <c r="N54" s="1">
        <v>7431</v>
      </c>
      <c r="O54" s="1">
        <v>7495</v>
      </c>
      <c r="P54" s="1">
        <v>5547</v>
      </c>
      <c r="Q54" s="1">
        <v>5066</v>
      </c>
      <c r="R54" s="1">
        <v>5433</v>
      </c>
      <c r="S54" s="1">
        <v>5202</v>
      </c>
      <c r="T54" s="1">
        <v>5319</v>
      </c>
      <c r="U54" s="1">
        <v>6003</v>
      </c>
      <c r="V54" s="1">
        <v>6422</v>
      </c>
      <c r="W54" s="1">
        <v>6511</v>
      </c>
      <c r="AO54" s="1">
        <v>2769</v>
      </c>
      <c r="AP54" s="1">
        <v>7431</v>
      </c>
      <c r="AQ54" s="1">
        <v>5433</v>
      </c>
      <c r="AR54" s="1">
        <v>6422</v>
      </c>
      <c r="AT54" s="19" t="s">
        <v>168</v>
      </c>
      <c r="AU54" s="27">
        <f>AU52/AU53</f>
        <v>82.332790796862156</v>
      </c>
      <c r="AW54" s="24"/>
    </row>
    <row r="55" spans="2:67">
      <c r="B55" s="1" t="s">
        <v>98</v>
      </c>
      <c r="J55" s="1">
        <v>33418</v>
      </c>
      <c r="K55" s="1">
        <v>35623</v>
      </c>
      <c r="L55" s="1">
        <v>35670</v>
      </c>
      <c r="M55" s="1">
        <v>35104</v>
      </c>
      <c r="N55" s="1">
        <v>36264</v>
      </c>
      <c r="O55" s="1">
        <v>35276</v>
      </c>
      <c r="P55" s="1">
        <v>33643</v>
      </c>
      <c r="Q55" s="1">
        <v>34641</v>
      </c>
      <c r="R55" s="1">
        <v>38935</v>
      </c>
      <c r="S55" s="1">
        <v>38353</v>
      </c>
      <c r="T55" s="1">
        <v>38727</v>
      </c>
      <c r="U55" s="1">
        <v>39182</v>
      </c>
      <c r="V55" s="1">
        <v>37671</v>
      </c>
      <c r="W55" s="1">
        <v>39205</v>
      </c>
      <c r="AO55" s="1">
        <v>33418</v>
      </c>
      <c r="AP55" s="1">
        <v>36264</v>
      </c>
      <c r="AQ55" s="1">
        <v>38935</v>
      </c>
      <c r="AR55" s="1">
        <v>37671</v>
      </c>
      <c r="AT55" s="19" t="s">
        <v>197</v>
      </c>
      <c r="AU55" s="27">
        <v>62.66</v>
      </c>
    </row>
    <row r="56" spans="2:67">
      <c r="B56" s="1" t="s">
        <v>90</v>
      </c>
      <c r="J56" s="1">
        <v>1148</v>
      </c>
      <c r="K56" s="1">
        <v>1318</v>
      </c>
      <c r="L56" s="1">
        <v>1190</v>
      </c>
      <c r="M56" s="1">
        <v>1285</v>
      </c>
      <c r="N56" s="1">
        <v>1898</v>
      </c>
      <c r="O56" s="1">
        <v>2162</v>
      </c>
      <c r="P56" s="1">
        <v>2202</v>
      </c>
      <c r="Q56" s="1">
        <v>2228</v>
      </c>
      <c r="R56" s="1">
        <v>2509</v>
      </c>
      <c r="S56" s="1">
        <v>4418</v>
      </c>
      <c r="T56" s="1">
        <v>3954</v>
      </c>
      <c r="U56" s="1">
        <v>4060</v>
      </c>
      <c r="V56" s="1">
        <v>4651</v>
      </c>
      <c r="W56" s="1">
        <v>1888</v>
      </c>
      <c r="AO56" s="1">
        <v>1148</v>
      </c>
      <c r="AP56" s="1">
        <v>1898</v>
      </c>
      <c r="AQ56" s="1">
        <v>2509</v>
      </c>
      <c r="AR56" s="1">
        <v>4651</v>
      </c>
      <c r="AU56" s="26">
        <f>AU54/AU55-1</f>
        <v>0.31396091281299321</v>
      </c>
      <c r="AV56" s="19" t="str">
        <f>IF(AU56&gt;0,"Upside","Downside")</f>
        <v>Upside</v>
      </c>
    </row>
    <row r="57" spans="2:67">
      <c r="B57" s="1" t="s">
        <v>103</v>
      </c>
      <c r="J57" s="1">
        <v>6089</v>
      </c>
      <c r="K57" s="1">
        <v>5994</v>
      </c>
      <c r="L57" s="1">
        <v>6968</v>
      </c>
      <c r="M57" s="1">
        <v>6753</v>
      </c>
      <c r="N57" s="1">
        <v>5018</v>
      </c>
      <c r="O57" s="1">
        <v>4632</v>
      </c>
      <c r="P57" s="1">
        <v>4543</v>
      </c>
      <c r="Q57" s="1">
        <v>3855</v>
      </c>
      <c r="R57" s="1">
        <v>3273</v>
      </c>
      <c r="S57" s="1">
        <v>3409</v>
      </c>
      <c r="T57" s="1">
        <v>4653</v>
      </c>
      <c r="U57" s="1">
        <v>4282</v>
      </c>
      <c r="V57" s="1">
        <v>4583</v>
      </c>
      <c r="W57" s="1">
        <v>4613</v>
      </c>
      <c r="AO57" s="1">
        <v>6089</v>
      </c>
      <c r="AP57" s="1">
        <v>5018</v>
      </c>
      <c r="AQ57" s="1">
        <v>3273</v>
      </c>
      <c r="AR57" s="1">
        <v>4583</v>
      </c>
    </row>
    <row r="58" spans="2:67">
      <c r="B58" s="1" t="s">
        <v>69</v>
      </c>
      <c r="J58" s="1">
        <v>1807</v>
      </c>
      <c r="K58" s="1">
        <v>1806</v>
      </c>
      <c r="L58" s="1">
        <v>1848</v>
      </c>
      <c r="M58" s="1">
        <v>1900</v>
      </c>
      <c r="N58" s="1">
        <v>1730</v>
      </c>
      <c r="O58" s="1">
        <v>1633</v>
      </c>
      <c r="P58" s="1">
        <v>1589</v>
      </c>
      <c r="Q58" s="1">
        <v>1529</v>
      </c>
      <c r="R58" s="1">
        <v>1488</v>
      </c>
      <c r="S58" s="1">
        <v>1426</v>
      </c>
      <c r="T58" s="1">
        <v>1459</v>
      </c>
      <c r="U58" s="1">
        <v>1496</v>
      </c>
      <c r="V58" s="1">
        <v>1508</v>
      </c>
      <c r="W58" s="1">
        <v>1537</v>
      </c>
      <c r="AO58" s="1">
        <v>1807</v>
      </c>
      <c r="AP58" s="1">
        <v>1730</v>
      </c>
      <c r="AQ58" s="1">
        <v>1488</v>
      </c>
      <c r="AR58" s="1">
        <v>1508</v>
      </c>
    </row>
    <row r="59" spans="2:67">
      <c r="B59" s="1" t="s">
        <v>70</v>
      </c>
      <c r="J59" s="1">
        <v>9135</v>
      </c>
      <c r="K59" s="1">
        <v>9117</v>
      </c>
      <c r="L59" s="1">
        <v>9564</v>
      </c>
      <c r="M59" s="1">
        <v>9550</v>
      </c>
      <c r="N59" s="1">
        <v>11209</v>
      </c>
      <c r="O59" s="1">
        <v>11195</v>
      </c>
      <c r="P59" s="1">
        <v>11067</v>
      </c>
      <c r="Q59" s="1">
        <v>10935</v>
      </c>
      <c r="R59" s="1">
        <v>11026</v>
      </c>
      <c r="S59" s="1">
        <v>10916</v>
      </c>
      <c r="T59" s="1">
        <v>10816</v>
      </c>
      <c r="U59" s="1">
        <v>10996</v>
      </c>
      <c r="V59" s="1">
        <v>10837</v>
      </c>
      <c r="W59" s="1">
        <v>10910</v>
      </c>
      <c r="AO59" s="1">
        <v>9135</v>
      </c>
      <c r="AP59" s="1">
        <v>11209</v>
      </c>
      <c r="AQ59" s="1">
        <v>11026</v>
      </c>
      <c r="AR59" s="1">
        <v>10837</v>
      </c>
    </row>
    <row r="60" spans="2:67">
      <c r="B60" s="1" t="s">
        <v>71</v>
      </c>
      <c r="J60" s="1">
        <v>1048</v>
      </c>
      <c r="K60" s="1">
        <v>938</v>
      </c>
      <c r="L60" s="1">
        <v>920</v>
      </c>
      <c r="M60" s="1">
        <v>808</v>
      </c>
      <c r="N60" s="1">
        <v>788</v>
      </c>
      <c r="O60" s="1">
        <v>730</v>
      </c>
      <c r="P60" s="1">
        <v>640</v>
      </c>
      <c r="Q60" s="1">
        <v>564</v>
      </c>
      <c r="R60" s="1">
        <v>537</v>
      </c>
      <c r="S60" s="1">
        <v>465</v>
      </c>
      <c r="T60" s="1">
        <v>403</v>
      </c>
      <c r="U60" s="1">
        <v>393</v>
      </c>
      <c r="V60" s="1">
        <v>326</v>
      </c>
      <c r="W60" s="1">
        <v>296</v>
      </c>
      <c r="AO60" s="1">
        <v>1048</v>
      </c>
      <c r="AP60" s="1">
        <v>788</v>
      </c>
      <c r="AQ60" s="1">
        <v>537</v>
      </c>
      <c r="AR60" s="1">
        <v>326</v>
      </c>
    </row>
    <row r="61" spans="2:67">
      <c r="B61" s="1" t="s">
        <v>72</v>
      </c>
      <c r="J61" s="1">
        <v>1305</v>
      </c>
      <c r="K61" s="1">
        <v>1230</v>
      </c>
      <c r="L61" s="1">
        <v>1285</v>
      </c>
      <c r="M61" s="1">
        <v>1393</v>
      </c>
      <c r="N61" s="1">
        <v>2455</v>
      </c>
      <c r="O61" s="1">
        <v>2436</v>
      </c>
      <c r="P61" s="1">
        <v>2615</v>
      </c>
      <c r="Q61" s="1">
        <v>2922</v>
      </c>
      <c r="R61" s="1">
        <v>3273</v>
      </c>
      <c r="S61" s="1">
        <v>3425</v>
      </c>
      <c r="T61" s="1">
        <v>3713</v>
      </c>
      <c r="U61" s="1">
        <v>3671</v>
      </c>
      <c r="V61" s="1">
        <v>3265</v>
      </c>
      <c r="W61" s="1">
        <v>3307</v>
      </c>
      <c r="AO61" s="1">
        <v>1305</v>
      </c>
      <c r="AP61" s="1">
        <v>2455</v>
      </c>
      <c r="AQ61" s="1">
        <v>3273</v>
      </c>
      <c r="AR61" s="1">
        <v>3265</v>
      </c>
    </row>
    <row r="62" spans="2:67" ht="15">
      <c r="B62" s="2" t="s">
        <v>73</v>
      </c>
      <c r="J62" s="1">
        <f t="shared" ref="J62:V62" si="162">SUM(J50:J61)</f>
        <v>70379</v>
      </c>
      <c r="K62" s="1">
        <f t="shared" si="162"/>
        <v>72517</v>
      </c>
      <c r="L62" s="1">
        <f t="shared" si="162"/>
        <v>73816</v>
      </c>
      <c r="M62" s="1">
        <f t="shared" si="162"/>
        <v>74534</v>
      </c>
      <c r="N62" s="1">
        <f t="shared" si="162"/>
        <v>78624</v>
      </c>
      <c r="O62" s="1">
        <f t="shared" si="162"/>
        <v>77186</v>
      </c>
      <c r="P62" s="1">
        <f t="shared" si="162"/>
        <v>74579</v>
      </c>
      <c r="Q62" s="1">
        <f t="shared" si="162"/>
        <v>76440</v>
      </c>
      <c r="R62" s="1">
        <f t="shared" si="162"/>
        <v>82166</v>
      </c>
      <c r="S62" s="1">
        <f t="shared" si="162"/>
        <v>83347</v>
      </c>
      <c r="T62" s="1">
        <f t="shared" si="162"/>
        <v>84016</v>
      </c>
      <c r="U62" s="1">
        <f t="shared" si="162"/>
        <v>83511</v>
      </c>
      <c r="V62" s="1">
        <f t="shared" si="162"/>
        <v>81611</v>
      </c>
      <c r="W62" s="1">
        <f t="shared" ref="W62" si="163">SUM(W50:W61)</f>
        <v>81274</v>
      </c>
      <c r="AO62" s="1">
        <f t="shared" ref="AO62" si="164">SUM(AO50:AO61)</f>
        <v>70379</v>
      </c>
      <c r="AP62" s="1">
        <f t="shared" ref="AP62" si="165">SUM(AP50:AP61)</f>
        <v>78624</v>
      </c>
      <c r="AQ62" s="1">
        <f t="shared" ref="AQ62" si="166">SUM(AQ50:AQ61)</f>
        <v>82166</v>
      </c>
      <c r="AR62" s="1">
        <f t="shared" ref="AR62" si="167">SUM(AR50:AR61)</f>
        <v>81611</v>
      </c>
    </row>
    <row r="63" spans="2:67">
      <c r="W63" s="1"/>
    </row>
    <row r="64" spans="2:67">
      <c r="B64" s="1" t="s">
        <v>87</v>
      </c>
      <c r="J64" s="1">
        <v>252</v>
      </c>
      <c r="K64" s="1">
        <v>191</v>
      </c>
      <c r="L64" s="1">
        <v>260</v>
      </c>
      <c r="M64" s="1">
        <v>186</v>
      </c>
      <c r="N64" s="1">
        <v>126</v>
      </c>
      <c r="O64" s="1">
        <v>142</v>
      </c>
      <c r="P64" s="1">
        <v>137</v>
      </c>
      <c r="Q64" s="1">
        <v>131</v>
      </c>
      <c r="R64" s="1">
        <v>139</v>
      </c>
      <c r="S64" s="1">
        <v>108</v>
      </c>
      <c r="T64" s="1">
        <v>133</v>
      </c>
      <c r="U64" s="1">
        <v>165</v>
      </c>
      <c r="V64" s="1">
        <v>227</v>
      </c>
      <c r="W64" s="1">
        <v>175</v>
      </c>
      <c r="AO64" s="1">
        <v>252</v>
      </c>
      <c r="AP64" s="1">
        <v>126</v>
      </c>
      <c r="AQ64" s="1">
        <v>139</v>
      </c>
      <c r="AR64" s="1">
        <v>227</v>
      </c>
    </row>
    <row r="65" spans="2:44">
      <c r="B65" s="1" t="s">
        <v>89</v>
      </c>
      <c r="J65" s="1">
        <v>35418</v>
      </c>
      <c r="K65" s="1">
        <v>38323</v>
      </c>
      <c r="L65" s="1">
        <v>38370</v>
      </c>
      <c r="M65" s="1">
        <v>37804</v>
      </c>
      <c r="N65" s="1">
        <v>40014</v>
      </c>
      <c r="O65" s="1">
        <v>39026</v>
      </c>
      <c r="P65" s="1">
        <v>37393</v>
      </c>
      <c r="Q65" s="1">
        <v>38641</v>
      </c>
      <c r="R65" s="1">
        <v>41935</v>
      </c>
      <c r="S65" s="1">
        <v>41353</v>
      </c>
      <c r="T65" s="1">
        <v>41727</v>
      </c>
      <c r="U65" s="1">
        <v>41182</v>
      </c>
      <c r="V65" s="1">
        <v>39671</v>
      </c>
      <c r="W65" s="1">
        <v>41205</v>
      </c>
      <c r="AO65" s="1">
        <v>35418</v>
      </c>
      <c r="AP65" s="1">
        <v>40014</v>
      </c>
      <c r="AQ65" s="1">
        <v>41935</v>
      </c>
      <c r="AR65" s="1">
        <v>39671</v>
      </c>
    </row>
    <row r="66" spans="2:44">
      <c r="B66" s="1" t="s">
        <v>101</v>
      </c>
      <c r="J66" s="1">
        <f>2648+129</f>
        <v>2777</v>
      </c>
      <c r="K66" s="1">
        <f>2731+95</f>
        <v>2826</v>
      </c>
      <c r="L66" s="1">
        <f>2489+149</f>
        <v>2638</v>
      </c>
      <c r="M66" s="1">
        <f>3554+151</f>
        <v>3705</v>
      </c>
      <c r="N66" s="1">
        <f>4055+813</f>
        <v>4868</v>
      </c>
      <c r="O66" s="1">
        <f>4164+577</f>
        <v>4741</v>
      </c>
      <c r="P66" s="1">
        <f>3433+791</f>
        <v>4224</v>
      </c>
      <c r="Q66" s="1">
        <f>3533+1137</f>
        <v>4670</v>
      </c>
      <c r="R66" s="1">
        <v>6392</v>
      </c>
      <c r="S66" s="1">
        <v>8385</v>
      </c>
      <c r="T66" s="1">
        <v>8853</v>
      </c>
      <c r="U66" s="1">
        <v>8921</v>
      </c>
      <c r="V66" s="1">
        <v>8478</v>
      </c>
      <c r="W66" s="1">
        <v>5242</v>
      </c>
      <c r="AO66" s="1">
        <f>2648+129</f>
        <v>2777</v>
      </c>
      <c r="AP66" s="1">
        <f>4055+813</f>
        <v>4868</v>
      </c>
      <c r="AQ66" s="1">
        <v>6392</v>
      </c>
      <c r="AR66" s="1">
        <v>8478</v>
      </c>
    </row>
    <row r="67" spans="2:44">
      <c r="B67" s="1" t="s">
        <v>102</v>
      </c>
      <c r="J67" s="1">
        <v>2930</v>
      </c>
      <c r="K67" s="1">
        <v>2794</v>
      </c>
      <c r="L67" s="1">
        <v>2698</v>
      </c>
      <c r="M67" s="1">
        <v>2800</v>
      </c>
      <c r="N67" s="1">
        <v>2925</v>
      </c>
      <c r="O67" s="1">
        <v>2938</v>
      </c>
      <c r="P67" s="1">
        <v>2615</v>
      </c>
      <c r="Q67" s="1">
        <v>2618</v>
      </c>
      <c r="R67" s="1">
        <v>2973</v>
      </c>
      <c r="S67" s="1">
        <v>3116</v>
      </c>
      <c r="T67" s="1">
        <v>2954</v>
      </c>
      <c r="U67" s="1">
        <v>3093</v>
      </c>
      <c r="V67" s="1">
        <v>2939</v>
      </c>
      <c r="W67" s="1">
        <v>2981</v>
      </c>
      <c r="AO67" s="1">
        <v>2930</v>
      </c>
      <c r="AP67" s="1">
        <v>2925</v>
      </c>
      <c r="AQ67" s="1">
        <v>2973</v>
      </c>
      <c r="AR67" s="1">
        <v>2939</v>
      </c>
    </row>
    <row r="68" spans="2:44">
      <c r="B68" s="1" t="s">
        <v>138</v>
      </c>
      <c r="J68" s="1">
        <v>8939</v>
      </c>
      <c r="K68" s="1">
        <v>8942</v>
      </c>
      <c r="L68" s="1">
        <v>8945</v>
      </c>
      <c r="M68" s="1">
        <v>7949</v>
      </c>
      <c r="N68" s="1">
        <v>10417</v>
      </c>
      <c r="O68" s="1">
        <v>10481</v>
      </c>
      <c r="P68" s="1">
        <v>10549</v>
      </c>
      <c r="Q68" s="1">
        <v>10640</v>
      </c>
      <c r="R68" s="1">
        <v>9676</v>
      </c>
      <c r="S68" s="1">
        <v>9683</v>
      </c>
      <c r="T68" s="1">
        <v>9727</v>
      </c>
      <c r="U68" s="1">
        <v>9976</v>
      </c>
      <c r="V68" s="1">
        <v>9879</v>
      </c>
      <c r="W68" s="1">
        <v>11417</v>
      </c>
      <c r="AO68" s="1">
        <v>8939</v>
      </c>
      <c r="AP68" s="1">
        <v>10417</v>
      </c>
      <c r="AQ68" s="1">
        <v>9676</v>
      </c>
      <c r="AR68" s="1">
        <v>9879</v>
      </c>
    </row>
    <row r="69" spans="2:44" ht="15">
      <c r="B69" s="2" t="s">
        <v>106</v>
      </c>
      <c r="J69" s="1">
        <f t="shared" ref="J69:U69" si="168">SUM(J64:J68)</f>
        <v>50316</v>
      </c>
      <c r="K69" s="1">
        <f>SUM(K64:K68)</f>
        <v>53076</v>
      </c>
      <c r="L69" s="1">
        <f t="shared" si="168"/>
        <v>52911</v>
      </c>
      <c r="M69" s="1">
        <f t="shared" si="168"/>
        <v>52444</v>
      </c>
      <c r="N69" s="1">
        <f t="shared" si="168"/>
        <v>58350</v>
      </c>
      <c r="O69" s="1">
        <f>SUM(O64:O68)</f>
        <v>57328</v>
      </c>
      <c r="P69" s="1">
        <f t="shared" si="168"/>
        <v>54918</v>
      </c>
      <c r="Q69" s="1">
        <f t="shared" si="168"/>
        <v>56700</v>
      </c>
      <c r="R69" s="1">
        <f t="shared" si="168"/>
        <v>61115</v>
      </c>
      <c r="S69" s="1">
        <f t="shared" si="168"/>
        <v>62645</v>
      </c>
      <c r="T69" s="1">
        <f t="shared" si="168"/>
        <v>63394</v>
      </c>
      <c r="U69" s="1">
        <f t="shared" si="168"/>
        <v>63337</v>
      </c>
      <c r="V69" s="1">
        <f>SUM(V64:V68)</f>
        <v>61194</v>
      </c>
      <c r="W69" s="1">
        <f t="shared" ref="W69" si="169">SUM(W64:W68)</f>
        <v>61020</v>
      </c>
      <c r="AO69" s="1">
        <f t="shared" ref="AO69" si="170">SUM(AO64:AO68)</f>
        <v>50316</v>
      </c>
      <c r="AP69" s="1">
        <f t="shared" ref="AP69" si="171">SUM(AP64:AP68)</f>
        <v>58350</v>
      </c>
      <c r="AQ69" s="1">
        <f t="shared" ref="AQ69" si="172">SUM(AQ64:AQ68)</f>
        <v>61115</v>
      </c>
      <c r="AR69" s="1">
        <f>SUM(AR64:AR68)</f>
        <v>61194</v>
      </c>
    </row>
    <row r="70" spans="2:44">
      <c r="B70" s="1" t="s">
        <v>105</v>
      </c>
      <c r="J70" s="1">
        <v>20063</v>
      </c>
      <c r="K70" s="1">
        <v>19441</v>
      </c>
      <c r="L70" s="1">
        <v>20905</v>
      </c>
      <c r="M70" s="1">
        <v>22090</v>
      </c>
      <c r="N70" s="1">
        <v>20274</v>
      </c>
      <c r="O70" s="1">
        <v>19858</v>
      </c>
      <c r="P70" s="1">
        <v>19661</v>
      </c>
      <c r="Q70" s="1">
        <v>19740</v>
      </c>
      <c r="R70" s="1">
        <v>21051</v>
      </c>
      <c r="S70" s="1">
        <v>20702</v>
      </c>
      <c r="T70" s="1">
        <v>20622</v>
      </c>
      <c r="U70" s="1">
        <v>20174</v>
      </c>
      <c r="V70" s="1">
        <v>20417</v>
      </c>
      <c r="W70" s="1">
        <v>20254</v>
      </c>
      <c r="AO70" s="1">
        <v>20063</v>
      </c>
      <c r="AP70" s="1">
        <v>20274</v>
      </c>
      <c r="AQ70" s="1">
        <v>21051</v>
      </c>
      <c r="AR70" s="1">
        <v>20417</v>
      </c>
    </row>
    <row r="71" spans="2:44" ht="15">
      <c r="B71" s="2" t="s">
        <v>104</v>
      </c>
      <c r="J71" s="1">
        <f t="shared" ref="J71:V71" si="173">J70+J69</f>
        <v>70379</v>
      </c>
      <c r="K71" s="1">
        <f t="shared" si="173"/>
        <v>72517</v>
      </c>
      <c r="L71" s="1">
        <f t="shared" si="173"/>
        <v>73816</v>
      </c>
      <c r="M71" s="1">
        <f t="shared" si="173"/>
        <v>74534</v>
      </c>
      <c r="N71" s="1">
        <f t="shared" si="173"/>
        <v>78624</v>
      </c>
      <c r="O71" s="1">
        <f t="shared" si="173"/>
        <v>77186</v>
      </c>
      <c r="P71" s="1">
        <f t="shared" si="173"/>
        <v>74579</v>
      </c>
      <c r="Q71" s="1">
        <f t="shared" si="173"/>
        <v>76440</v>
      </c>
      <c r="R71" s="1">
        <f t="shared" si="173"/>
        <v>82166</v>
      </c>
      <c r="S71" s="1">
        <f t="shared" si="173"/>
        <v>83347</v>
      </c>
      <c r="T71" s="1">
        <f t="shared" si="173"/>
        <v>84016</v>
      </c>
      <c r="U71" s="1">
        <f t="shared" si="173"/>
        <v>83511</v>
      </c>
      <c r="V71" s="1">
        <f t="shared" si="173"/>
        <v>81611</v>
      </c>
      <c r="W71" s="1">
        <f t="shared" ref="W71" si="174">W70+W69</f>
        <v>81274</v>
      </c>
      <c r="AO71" s="1">
        <f>AO70+AO69</f>
        <v>70379</v>
      </c>
      <c r="AP71" s="1">
        <f>AP70+AP69</f>
        <v>78624</v>
      </c>
      <c r="AQ71" s="1">
        <f>AQ70+AQ69</f>
        <v>82166</v>
      </c>
      <c r="AR71" s="1">
        <f>AR70+AR69</f>
        <v>81611</v>
      </c>
    </row>
    <row r="72" spans="2:44" ht="15" hidden="1">
      <c r="B72" s="2"/>
      <c r="W72" s="1"/>
    </row>
    <row r="73" spans="2:44" hidden="1">
      <c r="B73" s="1" t="s">
        <v>487</v>
      </c>
      <c r="J73" s="6">
        <f t="shared" ref="J73:V73" si="175">SUM(J50:J56)/SUM(J64:J66)</f>
        <v>1.3263713683772467</v>
      </c>
      <c r="K73" s="6">
        <f t="shared" si="175"/>
        <v>1.2925012094823416</v>
      </c>
      <c r="L73" s="6">
        <f t="shared" si="175"/>
        <v>1.289885625666376</v>
      </c>
      <c r="M73" s="6">
        <f t="shared" si="175"/>
        <v>1.2982371987048806</v>
      </c>
      <c r="N73" s="6">
        <f t="shared" si="175"/>
        <v>1.2758620689655173</v>
      </c>
      <c r="O73" s="6">
        <f t="shared" si="175"/>
        <v>1.2881186089412193</v>
      </c>
      <c r="P73" s="6">
        <f t="shared" si="175"/>
        <v>1.2962829908511759</v>
      </c>
      <c r="Q73" s="6">
        <f t="shared" si="175"/>
        <v>1.3036922793609871</v>
      </c>
      <c r="R73" s="6">
        <f t="shared" si="175"/>
        <v>1.2909874963892214</v>
      </c>
      <c r="S73" s="6">
        <f t="shared" si="175"/>
        <v>1.2780564137543635</v>
      </c>
      <c r="T73" s="6">
        <f t="shared" si="175"/>
        <v>1.2417328890028199</v>
      </c>
      <c r="U73" s="6">
        <f t="shared" si="175"/>
        <v>1.2467772738123657</v>
      </c>
      <c r="V73" s="6">
        <f t="shared" si="175"/>
        <v>1.2628576153464528</v>
      </c>
      <c r="W73" s="6">
        <f t="shared" ref="W73" si="176">SUM(W50:W56)/SUM(W64:W66)</f>
        <v>1.3000514778430783</v>
      </c>
      <c r="AO73" s="6">
        <f t="shared" ref="AO73:AQ73" si="177">SUM(AO50:AO56)/SUM(AO64:AO66)</f>
        <v>1.3263713683772467</v>
      </c>
      <c r="AP73" s="6">
        <f t="shared" si="177"/>
        <v>1.2758620689655173</v>
      </c>
      <c r="AQ73" s="6">
        <f t="shared" si="177"/>
        <v>1.2909874963892214</v>
      </c>
      <c r="AR73" s="6">
        <f>SUM(AR50:AR56)/SUM(AR64:AR66)</f>
        <v>1.2628576153464528</v>
      </c>
    </row>
    <row r="74" spans="2:44" hidden="1">
      <c r="B74" s="1" t="s">
        <v>490</v>
      </c>
      <c r="J74" s="6">
        <f t="shared" ref="J74:V74" si="178">J29/J62</f>
        <v>9.8296366813964392E-2</v>
      </c>
      <c r="K74" s="6">
        <f t="shared" si="178"/>
        <v>8.9399726960574757E-2</v>
      </c>
      <c r="L74" s="6">
        <f t="shared" si="178"/>
        <v>9.2202232578302804E-2</v>
      </c>
      <c r="M74" s="6">
        <f t="shared" si="178"/>
        <v>9.1850699009847853E-2</v>
      </c>
      <c r="N74" s="6">
        <f t="shared" si="178"/>
        <v>9.3902625152625152E-2</v>
      </c>
      <c r="O74" s="6">
        <f t="shared" si="178"/>
        <v>9.120825020081362E-2</v>
      </c>
      <c r="P74" s="6">
        <f t="shared" si="178"/>
        <v>9.7708470212794482E-2</v>
      </c>
      <c r="Q74" s="6">
        <f t="shared" si="178"/>
        <v>9.704343275771847E-2</v>
      </c>
      <c r="R74" s="6">
        <f t="shared" si="178"/>
        <v>9.7680305722561644E-2</v>
      </c>
      <c r="S74" s="6">
        <f t="shared" si="178"/>
        <v>9.2372850852460192E-2</v>
      </c>
      <c r="T74" s="6">
        <f t="shared" si="178"/>
        <v>9.3851171205484668E-2</v>
      </c>
      <c r="U74" s="6">
        <f t="shared" si="178"/>
        <v>9.3963669456718274E-2</v>
      </c>
      <c r="V74" s="6">
        <f t="shared" si="178"/>
        <v>0.10251069096077735</v>
      </c>
      <c r="W74" s="6">
        <f t="shared" ref="W74" si="179">W29/W62</f>
        <v>9.5860914929743829E-2</v>
      </c>
      <c r="AO74" s="6">
        <f>AO29/AO62</f>
        <v>0.43237329316983758</v>
      </c>
      <c r="AP74" s="6">
        <f>AP29/AP62</f>
        <v>0.39463776963776964</v>
      </c>
      <c r="AQ74" s="6">
        <f>AQ29/AQ62</f>
        <v>0.38284691965046369</v>
      </c>
      <c r="AR74" s="6">
        <f>AR29/AR62</f>
        <v>0.3896165958020365</v>
      </c>
    </row>
    <row r="75" spans="2:44" hidden="1">
      <c r="B75" s="1" t="s">
        <v>488</v>
      </c>
      <c r="J75" s="5">
        <f t="shared" ref="J75:V75" si="180">J41/J62</f>
        <v>1.1381235880021028E-2</v>
      </c>
      <c r="K75" s="5">
        <f t="shared" si="180"/>
        <v>7.0190438104168681E-3</v>
      </c>
      <c r="L75" s="5">
        <f t="shared" si="180"/>
        <v>-4.6195946678226942E-3</v>
      </c>
      <c r="M75" s="5">
        <f t="shared" si="180"/>
        <v>1.7844205329111545E-2</v>
      </c>
      <c r="N75" s="5">
        <f t="shared" si="180"/>
        <v>1.1713980463980464E-2</v>
      </c>
      <c r="O75" s="5">
        <f t="shared" si="180"/>
        <v>1.0299795299665742E-2</v>
      </c>
      <c r="P75" s="5">
        <f t="shared" si="180"/>
        <v>1.3797449684227463E-2</v>
      </c>
      <c r="Q75" s="5">
        <f t="shared" si="180"/>
        <v>1.3343799058084773E-2</v>
      </c>
      <c r="R75" s="5">
        <f t="shared" si="180"/>
        <v>1.7063018766886547E-2</v>
      </c>
      <c r="S75" s="5">
        <f t="shared" si="180"/>
        <v>1.0654252702556781E-2</v>
      </c>
      <c r="T75" s="5">
        <f t="shared" si="180"/>
        <v>1.34260140925538E-2</v>
      </c>
      <c r="U75" s="5">
        <f t="shared" si="180"/>
        <v>1.2094215133335728E-2</v>
      </c>
      <c r="V75" s="5">
        <f t="shared" si="180"/>
        <v>1.3735893445736481E-2</v>
      </c>
      <c r="W75" s="5">
        <f t="shared" ref="W75" si="181">W41/W62</f>
        <v>1.5835322489356991E-2</v>
      </c>
      <c r="X75" s="26"/>
      <c r="Y75" s="26"/>
      <c r="Z75" s="26"/>
      <c r="AA75" s="26"/>
      <c r="AB75" s="26"/>
      <c r="AC75" s="26"/>
      <c r="AD75" s="26"/>
      <c r="AE75" s="26"/>
      <c r="AF75" s="26"/>
      <c r="AG75" s="26"/>
      <c r="AH75" s="26"/>
      <c r="AI75" s="5"/>
      <c r="AJ75" s="5"/>
      <c r="AK75" s="5"/>
      <c r="AL75" s="5"/>
      <c r="AM75" s="5"/>
      <c r="AN75" s="5"/>
      <c r="AO75" s="5">
        <f t="shared" ref="AO75:AQ75" si="182">AO41/AO62</f>
        <v>5.9236419954816065E-2</v>
      </c>
      <c r="AP75" s="5">
        <f t="shared" si="182"/>
        <v>3.0766687016687017E-2</v>
      </c>
      <c r="AQ75" s="5">
        <f t="shared" si="182"/>
        <v>5.1675875666334005E-2</v>
      </c>
      <c r="AR75" s="5">
        <f>AR41/AR62</f>
        <v>5.0814228474102753E-2</v>
      </c>
    </row>
    <row r="76" spans="2:44" hidden="1">
      <c r="B76" s="1" t="s">
        <v>489</v>
      </c>
      <c r="J76" s="5">
        <f t="shared" ref="J76:V76" si="183">J41/J70</f>
        <v>3.992423864825799E-2</v>
      </c>
      <c r="K76" s="5">
        <f t="shared" si="183"/>
        <v>2.6181780772594001E-2</v>
      </c>
      <c r="L76" s="5">
        <f t="shared" si="183"/>
        <v>-1.6311887108347287E-2</v>
      </c>
      <c r="M76" s="5">
        <f t="shared" si="183"/>
        <v>6.0208239022181982E-2</v>
      </c>
      <c r="N76" s="5">
        <f t="shared" si="183"/>
        <v>4.5427641313998221E-2</v>
      </c>
      <c r="O76" s="5">
        <f t="shared" si="183"/>
        <v>4.0034243126195988E-2</v>
      </c>
      <c r="P76" s="5">
        <f t="shared" si="183"/>
        <v>5.2337114083719036E-2</v>
      </c>
      <c r="Q76" s="5">
        <f t="shared" si="183"/>
        <v>5.1671732522796353E-2</v>
      </c>
      <c r="R76" s="5">
        <f t="shared" si="183"/>
        <v>6.6600161512517214E-2</v>
      </c>
      <c r="S76" s="5">
        <f t="shared" si="183"/>
        <v>4.2894406337551927E-2</v>
      </c>
      <c r="T76" s="5">
        <f t="shared" si="183"/>
        <v>5.4698865289496655E-2</v>
      </c>
      <c r="U76" s="5">
        <f t="shared" si="183"/>
        <v>5.0064439377416475E-2</v>
      </c>
      <c r="V76" s="5">
        <f t="shared" si="183"/>
        <v>5.4905226037125922E-2</v>
      </c>
      <c r="W76" s="5">
        <f t="shared" ref="W76" si="184">W41/W70</f>
        <v>6.3543003851091143E-2</v>
      </c>
      <c r="X76" s="26"/>
      <c r="Y76" s="26"/>
      <c r="Z76" s="26"/>
      <c r="AA76" s="26"/>
      <c r="AB76" s="26"/>
      <c r="AC76" s="26"/>
      <c r="AD76" s="26"/>
      <c r="AE76" s="26"/>
      <c r="AF76" s="26"/>
      <c r="AG76" s="26"/>
      <c r="AH76" s="26"/>
      <c r="AI76" s="5"/>
      <c r="AJ76" s="5"/>
      <c r="AK76" s="5"/>
      <c r="AL76" s="5"/>
      <c r="AM76" s="5"/>
      <c r="AN76" s="5"/>
      <c r="AO76" s="5">
        <f t="shared" ref="AO76:AQ76" si="185">AO41/AO70</f>
        <v>0.20779544435029657</v>
      </c>
      <c r="AP76" s="5">
        <f t="shared" si="185"/>
        <v>0.11931537930354148</v>
      </c>
      <c r="AQ76" s="5">
        <f t="shared" si="185"/>
        <v>0.20170063179896441</v>
      </c>
      <c r="AR76" s="5">
        <f>AR41/AR70</f>
        <v>0.20311505118283782</v>
      </c>
    </row>
    <row r="77" spans="2:44">
      <c r="W77" s="1"/>
    </row>
    <row r="78" spans="2:44">
      <c r="B78" s="1" t="s">
        <v>17</v>
      </c>
      <c r="C78" s="1">
        <f t="shared" ref="C78:V78" si="186">C41</f>
        <v>84</v>
      </c>
      <c r="D78" s="1">
        <f t="shared" si="186"/>
        <v>1530</v>
      </c>
      <c r="E78" s="1">
        <f t="shared" si="186"/>
        <v>1021</v>
      </c>
      <c r="F78" s="1">
        <f t="shared" si="186"/>
        <v>1567</v>
      </c>
      <c r="G78" s="1">
        <f t="shared" si="186"/>
        <v>1097</v>
      </c>
      <c r="H78" s="1">
        <f t="shared" si="186"/>
        <v>1184</v>
      </c>
      <c r="I78" s="1">
        <f t="shared" si="186"/>
        <v>1087</v>
      </c>
      <c r="J78" s="1">
        <f t="shared" si="186"/>
        <v>801</v>
      </c>
      <c r="K78" s="1">
        <f t="shared" si="186"/>
        <v>509</v>
      </c>
      <c r="L78" s="1">
        <f t="shared" si="186"/>
        <v>-341</v>
      </c>
      <c r="M78" s="1">
        <f t="shared" si="186"/>
        <v>1330</v>
      </c>
      <c r="N78" s="1">
        <f t="shared" si="186"/>
        <v>921</v>
      </c>
      <c r="O78" s="1">
        <f t="shared" si="186"/>
        <v>795</v>
      </c>
      <c r="P78" s="1">
        <f t="shared" si="186"/>
        <v>1029</v>
      </c>
      <c r="Q78" s="1">
        <f t="shared" si="186"/>
        <v>1020</v>
      </c>
      <c r="R78" s="1">
        <f t="shared" si="186"/>
        <v>1402</v>
      </c>
      <c r="S78" s="1">
        <f t="shared" si="186"/>
        <v>888</v>
      </c>
      <c r="T78" s="1">
        <f t="shared" si="186"/>
        <v>1128</v>
      </c>
      <c r="U78" s="1">
        <f t="shared" si="186"/>
        <v>1010</v>
      </c>
      <c r="V78" s="1">
        <f t="shared" si="186"/>
        <v>1121</v>
      </c>
      <c r="W78" s="1">
        <f t="shared" ref="W78" si="187">W41</f>
        <v>1287</v>
      </c>
      <c r="AN78" s="1">
        <f>SUM(C78:F78)</f>
        <v>4202</v>
      </c>
      <c r="AO78" s="1">
        <f>SUM(G78:J78)</f>
        <v>4169</v>
      </c>
      <c r="AP78" s="1">
        <f>SUM(K78:N78)</f>
        <v>2419</v>
      </c>
      <c r="AQ78" s="1">
        <f>SUM(O78:R78)</f>
        <v>4246</v>
      </c>
      <c r="AR78" s="1">
        <f>SUM(S78:V78)</f>
        <v>4147</v>
      </c>
    </row>
    <row r="79" spans="2:44">
      <c r="B79" s="1" t="s">
        <v>91</v>
      </c>
      <c r="C79" s="1">
        <v>591</v>
      </c>
      <c r="D79" s="1">
        <f>1031-C79</f>
        <v>440</v>
      </c>
      <c r="E79" s="1">
        <f t="shared" ref="E79:E90" si="188">1184-SUM(C79:D79)</f>
        <v>153</v>
      </c>
      <c r="F79" s="1">
        <f>1741-SUM(C79:E79)</f>
        <v>557</v>
      </c>
      <c r="G79" s="1">
        <v>273</v>
      </c>
      <c r="H79" s="1">
        <f>442-G79</f>
        <v>169</v>
      </c>
      <c r="I79" s="1">
        <f>710-SUM(G79:H79)</f>
        <v>268</v>
      </c>
      <c r="J79" s="1">
        <f>1572-SUM(G79:I79)</f>
        <v>862</v>
      </c>
      <c r="K79" s="1">
        <v>369</v>
      </c>
      <c r="L79" s="1">
        <f>817-K79</f>
        <v>448</v>
      </c>
      <c r="M79" s="1">
        <f>1184-SUM(K79:L79)</f>
        <v>367</v>
      </c>
      <c r="N79" s="1">
        <f>1572-SUM(K79:M79)</f>
        <v>388</v>
      </c>
      <c r="O79" s="1">
        <v>442</v>
      </c>
      <c r="P79" s="1">
        <f>840-O79</f>
        <v>398</v>
      </c>
      <c r="Q79" s="1">
        <f>1286-SUM(O79:P79)</f>
        <v>446</v>
      </c>
      <c r="R79" s="1">
        <f>1682-SUM(O79:Q79)</f>
        <v>396</v>
      </c>
      <c r="S79" s="1">
        <v>321</v>
      </c>
      <c r="T79" s="1">
        <f>656-S79</f>
        <v>335</v>
      </c>
      <c r="U79" s="1">
        <f>1008-SUM(S79:T79)</f>
        <v>352</v>
      </c>
      <c r="V79" s="1">
        <f>1442-SUM(S79:U79)</f>
        <v>434</v>
      </c>
      <c r="W79" s="1">
        <v>371</v>
      </c>
      <c r="AN79" s="1">
        <f t="shared" ref="AN79:AN97" si="189">SUM(C79:F79)</f>
        <v>1741</v>
      </c>
      <c r="AO79" s="1">
        <f t="shared" ref="AO79:AO97" si="190">SUM(G79:J79)</f>
        <v>1572</v>
      </c>
      <c r="AP79" s="1">
        <f t="shared" ref="AP79:AP97" si="191">SUM(K79:N79)</f>
        <v>1572</v>
      </c>
      <c r="AQ79" s="1">
        <f t="shared" ref="AQ79:AQ97" si="192">SUM(O79:R79)</f>
        <v>1682</v>
      </c>
      <c r="AR79" s="1">
        <f t="shared" ref="AR79:AR97" si="193">SUM(S79:V79)</f>
        <v>1442</v>
      </c>
    </row>
    <row r="80" spans="2:44">
      <c r="B80" s="1" t="s">
        <v>146</v>
      </c>
      <c r="C80" s="1">
        <v>293</v>
      </c>
      <c r="D80" s="1">
        <f>590-C80</f>
        <v>297</v>
      </c>
      <c r="E80" s="1">
        <f t="shared" si="188"/>
        <v>594</v>
      </c>
      <c r="F80" s="1">
        <f>1189-SUM(C80:E80)</f>
        <v>5</v>
      </c>
      <c r="G80" s="1">
        <v>300</v>
      </c>
      <c r="H80" s="1">
        <f>616-G80</f>
        <v>316</v>
      </c>
      <c r="I80" s="1">
        <f>939-SUM(G80:H80)</f>
        <v>323</v>
      </c>
      <c r="J80" s="1">
        <f>1317-SUM(G80:I80)</f>
        <v>378</v>
      </c>
      <c r="K80" s="1">
        <v>328</v>
      </c>
      <c r="L80" s="1">
        <f>661-K80</f>
        <v>333</v>
      </c>
      <c r="M80" s="1">
        <f>991-SUM(K80:L80)</f>
        <v>330</v>
      </c>
      <c r="N80" s="1">
        <f>1317-SUM(K80:M80)</f>
        <v>326</v>
      </c>
      <c r="O80" s="1">
        <v>270</v>
      </c>
      <c r="P80" s="1">
        <f>539-O80</f>
        <v>269</v>
      </c>
      <c r="Q80" s="1">
        <f>809-SUM(O80:P80)</f>
        <v>270</v>
      </c>
      <c r="R80" s="1">
        <f>1072-SUM(O80:Q80)</f>
        <v>263</v>
      </c>
      <c r="S80" s="1">
        <v>265</v>
      </c>
      <c r="T80" s="1">
        <f>528-S80</f>
        <v>263</v>
      </c>
      <c r="U80" s="1">
        <f>783-SUM(S80:T80)</f>
        <v>255</v>
      </c>
      <c r="V80" s="1">
        <f>1032-SUM(S80:U80)</f>
        <v>249</v>
      </c>
      <c r="W80" s="1">
        <v>245</v>
      </c>
      <c r="AN80" s="1">
        <f t="shared" si="189"/>
        <v>1189</v>
      </c>
      <c r="AO80" s="1">
        <f t="shared" si="190"/>
        <v>1317</v>
      </c>
      <c r="AP80" s="1">
        <f t="shared" si="191"/>
        <v>1317</v>
      </c>
      <c r="AQ80" s="1">
        <f t="shared" si="192"/>
        <v>1072</v>
      </c>
      <c r="AR80" s="1">
        <f t="shared" si="193"/>
        <v>1032</v>
      </c>
    </row>
    <row r="81" spans="1:44">
      <c r="A81" s="10" t="s">
        <v>161</v>
      </c>
      <c r="B81" s="1" t="s">
        <v>147</v>
      </c>
      <c r="C81" s="1">
        <v>283</v>
      </c>
      <c r="D81" s="1">
        <f>635-C81</f>
        <v>352</v>
      </c>
      <c r="E81" s="1">
        <f t="shared" si="188"/>
        <v>549</v>
      </c>
      <c r="F81" s="1">
        <f>1376-SUM(C81:E81)</f>
        <v>192</v>
      </c>
      <c r="G81" s="1">
        <v>368</v>
      </c>
      <c r="H81" s="1">
        <f>758-G81</f>
        <v>390</v>
      </c>
      <c r="I81" s="1">
        <f>1058-SUM(G81:H81)</f>
        <v>300</v>
      </c>
      <c r="J81" s="1">
        <f>1261-SUM(G81:I81)</f>
        <v>203</v>
      </c>
      <c r="K81" s="1">
        <v>429</v>
      </c>
      <c r="L81" s="1">
        <f>741-K81</f>
        <v>312</v>
      </c>
      <c r="M81" s="1">
        <f>967-SUM(K81:L81)</f>
        <v>226</v>
      </c>
      <c r="N81" s="1">
        <f>1261-SUM(K81:M81)</f>
        <v>294</v>
      </c>
      <c r="O81" s="1">
        <v>345</v>
      </c>
      <c r="P81" s="1">
        <f>708-O81</f>
        <v>363</v>
      </c>
      <c r="Q81" s="1">
        <f>1087-SUM(O81:P81)</f>
        <v>379</v>
      </c>
      <c r="R81" s="1">
        <f>1475-SUM(O81:Q81)</f>
        <v>388</v>
      </c>
      <c r="S81" s="1">
        <v>365</v>
      </c>
      <c r="T81" s="1">
        <f>663-S81</f>
        <v>298</v>
      </c>
      <c r="U81" s="1">
        <f>947-SUM(S81:T81)</f>
        <v>284</v>
      </c>
      <c r="V81" s="1">
        <f>1230-SUM(S81:U81)</f>
        <v>283</v>
      </c>
      <c r="W81" s="1">
        <v>249</v>
      </c>
      <c r="AN81" s="1">
        <f t="shared" si="189"/>
        <v>1376</v>
      </c>
      <c r="AO81" s="1">
        <f t="shared" si="190"/>
        <v>1261</v>
      </c>
      <c r="AP81" s="1">
        <f t="shared" si="191"/>
        <v>1261</v>
      </c>
      <c r="AQ81" s="1">
        <f t="shared" si="192"/>
        <v>1475</v>
      </c>
      <c r="AR81" s="1">
        <f t="shared" si="193"/>
        <v>1230</v>
      </c>
    </row>
    <row r="82" spans="1:44">
      <c r="B82" s="1" t="s">
        <v>148</v>
      </c>
      <c r="C82" s="1">
        <v>-79</v>
      </c>
      <c r="D82" s="1">
        <f>31-C82</f>
        <v>110</v>
      </c>
      <c r="E82" s="1">
        <f t="shared" si="188"/>
        <v>1153</v>
      </c>
      <c r="F82" s="1">
        <f>165-SUM(C82:E82)</f>
        <v>-1019</v>
      </c>
      <c r="G82" s="1">
        <v>0</v>
      </c>
      <c r="H82" s="1">
        <f>--103-G82</f>
        <v>103</v>
      </c>
      <c r="I82" s="1">
        <f>-175-SUM(G82:H82)</f>
        <v>-278</v>
      </c>
      <c r="J82" s="1">
        <f>-811-SUM(G82:I82)</f>
        <v>-636</v>
      </c>
      <c r="K82" s="1">
        <v>-16</v>
      </c>
      <c r="L82" s="1">
        <f>-457-K82</f>
        <v>-441</v>
      </c>
      <c r="M82" s="1">
        <f>-538-SUM(K82:L82)</f>
        <v>-81</v>
      </c>
      <c r="N82" s="1">
        <f>-811-SUM(K82:M82)</f>
        <v>-273</v>
      </c>
      <c r="O82" s="1">
        <v>-67</v>
      </c>
      <c r="P82" s="1">
        <f>-146-O82</f>
        <v>-79</v>
      </c>
      <c r="Q82" s="1">
        <f>-439-SUM(O82:P82)</f>
        <v>-293</v>
      </c>
      <c r="R82" s="1">
        <f>-668-SUM(O82:Q82)</f>
        <v>-229</v>
      </c>
      <c r="S82" s="1">
        <v>52</v>
      </c>
      <c r="T82" s="1">
        <f>29-S82</f>
        <v>-23</v>
      </c>
      <c r="U82" s="1">
        <f>8-SUM(S82:T82)</f>
        <v>-21</v>
      </c>
      <c r="V82" s="1">
        <f>231-SUM(S82:U82)</f>
        <v>223</v>
      </c>
      <c r="W82" s="1">
        <v>-6</v>
      </c>
      <c r="AN82" s="1">
        <f t="shared" si="189"/>
        <v>165</v>
      </c>
      <c r="AO82" s="1">
        <f t="shared" si="190"/>
        <v>-811</v>
      </c>
      <c r="AP82" s="1">
        <f t="shared" si="191"/>
        <v>-811</v>
      </c>
      <c r="AQ82" s="1">
        <f t="shared" si="192"/>
        <v>-668</v>
      </c>
      <c r="AR82" s="1">
        <f t="shared" si="193"/>
        <v>231</v>
      </c>
    </row>
    <row r="83" spans="1:44">
      <c r="B83" s="1" t="s">
        <v>149</v>
      </c>
      <c r="C83" s="1">
        <v>124</v>
      </c>
      <c r="D83" s="1">
        <f>-764-C83</f>
        <v>-888</v>
      </c>
      <c r="E83" s="1">
        <f>-973-SUM(C83:D83)</f>
        <v>-209</v>
      </c>
      <c r="F83" s="1">
        <f>-1914-SUM(C83:E83)</f>
        <v>-941</v>
      </c>
      <c r="G83" s="1">
        <v>120</v>
      </c>
      <c r="H83" s="1">
        <f>-163-G83</f>
        <v>-283</v>
      </c>
      <c r="I83" s="1">
        <f>-336-SUM(G83:H83)</f>
        <v>-173</v>
      </c>
      <c r="J83" s="1">
        <f>304-SUM(G83:I83)</f>
        <v>640</v>
      </c>
      <c r="K83" s="1">
        <v>-14</v>
      </c>
      <c r="L83" s="1">
        <f>658-K83</f>
        <v>672</v>
      </c>
      <c r="M83" s="1">
        <f>163-SUM(K83:L83)</f>
        <v>-495</v>
      </c>
      <c r="N83" s="1">
        <f>304-SUM(K83:M83)</f>
        <v>141</v>
      </c>
      <c r="O83" s="1">
        <v>-48</v>
      </c>
      <c r="P83" s="1">
        <f>-181-O83</f>
        <v>-133</v>
      </c>
      <c r="Q83" s="1">
        <f>-205-SUM(O83:P83)</f>
        <v>-24</v>
      </c>
      <c r="R83" s="1">
        <f>-201-SUM(O83:Q83)</f>
        <v>4</v>
      </c>
      <c r="S83" s="1">
        <v>49</v>
      </c>
      <c r="T83" s="1">
        <f>55-S83</f>
        <v>6</v>
      </c>
      <c r="U83" s="1">
        <f>226-SUM(S83:T83)</f>
        <v>171</v>
      </c>
      <c r="V83" s="1">
        <f>285-SUM(S83:U83)</f>
        <v>59</v>
      </c>
      <c r="W83" s="1">
        <v>-48</v>
      </c>
      <c r="AN83" s="1">
        <f t="shared" si="189"/>
        <v>-1914</v>
      </c>
      <c r="AO83" s="1">
        <f t="shared" si="190"/>
        <v>304</v>
      </c>
      <c r="AP83" s="1">
        <f t="shared" si="191"/>
        <v>304</v>
      </c>
      <c r="AQ83" s="1">
        <f t="shared" si="192"/>
        <v>-201</v>
      </c>
      <c r="AR83" s="1">
        <f t="shared" si="193"/>
        <v>285</v>
      </c>
    </row>
    <row r="84" spans="1:44">
      <c r="B84" s="1" t="s">
        <v>162</v>
      </c>
      <c r="C84" s="1">
        <v>0</v>
      </c>
      <c r="D84" s="1">
        <v>0</v>
      </c>
      <c r="E84" s="1">
        <v>0</v>
      </c>
      <c r="F84" s="1">
        <v>0</v>
      </c>
      <c r="G84" s="1">
        <v>0</v>
      </c>
      <c r="H84" s="1">
        <v>0</v>
      </c>
      <c r="I84" s="1">
        <v>0</v>
      </c>
      <c r="J84" s="1">
        <v>0</v>
      </c>
      <c r="K84" s="1">
        <v>0</v>
      </c>
      <c r="L84" s="1">
        <v>0</v>
      </c>
      <c r="M84" s="1">
        <v>0</v>
      </c>
      <c r="N84" s="1">
        <v>0</v>
      </c>
      <c r="O84" s="1">
        <v>0</v>
      </c>
      <c r="P84" s="1">
        <v>0</v>
      </c>
      <c r="Q84" s="1">
        <v>0</v>
      </c>
      <c r="R84" s="1">
        <v>-356</v>
      </c>
      <c r="S84" s="1">
        <v>0</v>
      </c>
      <c r="T84" s="1">
        <v>0</v>
      </c>
      <c r="U84" s="1">
        <v>0</v>
      </c>
      <c r="V84" s="1">
        <v>0</v>
      </c>
      <c r="W84" s="1">
        <v>0</v>
      </c>
      <c r="AN84" s="1">
        <f t="shared" si="189"/>
        <v>0</v>
      </c>
      <c r="AO84" s="1">
        <f t="shared" si="190"/>
        <v>0</v>
      </c>
      <c r="AP84" s="1">
        <f t="shared" si="191"/>
        <v>0</v>
      </c>
      <c r="AQ84" s="1">
        <f t="shared" si="192"/>
        <v>-356</v>
      </c>
      <c r="AR84" s="1">
        <f t="shared" si="193"/>
        <v>0</v>
      </c>
    </row>
    <row r="85" spans="1:44">
      <c r="B85" s="1" t="s">
        <v>150</v>
      </c>
      <c r="C85" s="1">
        <v>0</v>
      </c>
      <c r="D85" s="1">
        <v>0</v>
      </c>
      <c r="E85" s="1">
        <v>0</v>
      </c>
      <c r="F85" s="1">
        <v>0</v>
      </c>
      <c r="G85" s="1">
        <v>0</v>
      </c>
      <c r="H85" s="1">
        <v>0</v>
      </c>
      <c r="I85" s="1">
        <v>0</v>
      </c>
      <c r="J85" s="1">
        <v>0</v>
      </c>
      <c r="K85" s="1">
        <v>0</v>
      </c>
      <c r="L85" s="1">
        <v>0</v>
      </c>
      <c r="M85" s="1">
        <v>0</v>
      </c>
      <c r="N85" s="1">
        <f>-70-SUM(K85:M85)</f>
        <v>-70</v>
      </c>
      <c r="O85" s="1">
        <v>-69</v>
      </c>
      <c r="P85" s="1">
        <f>-162-O85</f>
        <v>-93</v>
      </c>
      <c r="Q85" s="1">
        <f>-265-SUM(O85:P85)</f>
        <v>-103</v>
      </c>
      <c r="R85" s="1">
        <f>-367-SUM(O85:Q85)</f>
        <v>-102</v>
      </c>
      <c r="S85" s="1">
        <v>-75</v>
      </c>
      <c r="T85" s="1">
        <f>-197-S85</f>
        <v>-122</v>
      </c>
      <c r="U85" s="1">
        <f>-290-SUM(S85:T85)</f>
        <v>-93</v>
      </c>
      <c r="V85" s="1">
        <f>-335-SUM(S85:U85)</f>
        <v>-45</v>
      </c>
      <c r="W85" s="1">
        <v>-30</v>
      </c>
      <c r="AN85" s="1">
        <f t="shared" si="189"/>
        <v>0</v>
      </c>
      <c r="AO85" s="1">
        <f t="shared" si="190"/>
        <v>0</v>
      </c>
      <c r="AP85" s="1">
        <f t="shared" si="191"/>
        <v>-70</v>
      </c>
      <c r="AQ85" s="1">
        <f t="shared" si="192"/>
        <v>-367</v>
      </c>
      <c r="AR85" s="1">
        <f t="shared" si="193"/>
        <v>-335</v>
      </c>
    </row>
    <row r="86" spans="1:44">
      <c r="B86" s="1" t="s">
        <v>151</v>
      </c>
      <c r="C86" s="1">
        <v>0</v>
      </c>
      <c r="D86" s="1">
        <v>0</v>
      </c>
      <c r="E86" s="1">
        <v>0</v>
      </c>
      <c r="F86" s="1">
        <v>0</v>
      </c>
      <c r="G86" s="1">
        <v>0</v>
      </c>
      <c r="H86" s="1">
        <v>0</v>
      </c>
      <c r="I86" s="1">
        <v>0</v>
      </c>
      <c r="J86" s="1">
        <v>0</v>
      </c>
      <c r="K86" s="1">
        <v>0</v>
      </c>
      <c r="L86" s="1">
        <v>0</v>
      </c>
      <c r="M86" s="1">
        <v>0</v>
      </c>
      <c r="N86" s="1">
        <v>0</v>
      </c>
      <c r="O86" s="1">
        <v>0</v>
      </c>
      <c r="P86" s="1">
        <f>34-O86</f>
        <v>34</v>
      </c>
      <c r="Q86" s="1">
        <f>49-SUM(O86:P86)</f>
        <v>15</v>
      </c>
      <c r="R86" s="1">
        <f>53-SUM(O86:Q86)</f>
        <v>4</v>
      </c>
      <c r="S86" s="1">
        <v>37</v>
      </c>
      <c r="T86" s="1">
        <f>64-S86</f>
        <v>27</v>
      </c>
      <c r="U86" s="1">
        <f>92-SUM(S86:T86)</f>
        <v>28</v>
      </c>
      <c r="V86" s="1">
        <f>125-SUM(S86:U86)</f>
        <v>33</v>
      </c>
      <c r="W86" s="1">
        <v>25</v>
      </c>
      <c r="AN86" s="1">
        <f t="shared" si="189"/>
        <v>0</v>
      </c>
      <c r="AO86" s="1">
        <f t="shared" si="190"/>
        <v>0</v>
      </c>
      <c r="AP86" s="1">
        <f t="shared" si="191"/>
        <v>0</v>
      </c>
      <c r="AQ86" s="1">
        <f t="shared" si="192"/>
        <v>53</v>
      </c>
      <c r="AR86" s="1">
        <f t="shared" si="193"/>
        <v>125</v>
      </c>
    </row>
    <row r="87" spans="1:44">
      <c r="B87" s="1" t="s">
        <v>152</v>
      </c>
      <c r="C87" s="1">
        <v>-5</v>
      </c>
      <c r="D87" s="1">
        <f>-2-C87</f>
        <v>3</v>
      </c>
      <c r="E87" s="1">
        <f>10-SUM(C87:D87)</f>
        <v>12</v>
      </c>
      <c r="F87" s="1">
        <f>47-SUM(C87:E87)</f>
        <v>37</v>
      </c>
      <c r="G87" s="1">
        <v>51</v>
      </c>
      <c r="H87" s="1">
        <f>-2-G87</f>
        <v>-53</v>
      </c>
      <c r="I87" s="1">
        <f>92-SUM(G87:H87)</f>
        <v>94</v>
      </c>
      <c r="J87" s="1">
        <f>100-SUM(G87:I87)</f>
        <v>8</v>
      </c>
      <c r="K87" s="1">
        <v>65</v>
      </c>
      <c r="L87" s="1">
        <f>295-K87</f>
        <v>230</v>
      </c>
      <c r="M87" s="1">
        <f>514-SUM(K87:L87)</f>
        <v>219</v>
      </c>
      <c r="N87" s="1">
        <f>275-SUM(K87:M87)</f>
        <v>-239</v>
      </c>
      <c r="O87" s="1">
        <v>-23</v>
      </c>
      <c r="P87" s="1">
        <f>-114-O87</f>
        <v>-91</v>
      </c>
      <c r="Q87" s="1">
        <f>-2-SUM(O87:P87)</f>
        <v>112</v>
      </c>
      <c r="R87" s="1">
        <f>-104-SUM(O87:Q87)</f>
        <v>-102</v>
      </c>
      <c r="S87" s="1">
        <v>13</v>
      </c>
      <c r="T87" s="1">
        <f>-42-S87</f>
        <v>-55</v>
      </c>
      <c r="U87" s="1">
        <f>-138-SUM(S87:T87)</f>
        <v>-96</v>
      </c>
      <c r="V87" s="1">
        <f>-3-SUM(S87:U87)</f>
        <v>135</v>
      </c>
      <c r="W87" s="1">
        <v>-73</v>
      </c>
      <c r="AN87" s="1">
        <f t="shared" si="189"/>
        <v>47</v>
      </c>
      <c r="AO87" s="1">
        <f t="shared" si="190"/>
        <v>100</v>
      </c>
      <c r="AP87" s="1">
        <f t="shared" si="191"/>
        <v>275</v>
      </c>
      <c r="AQ87" s="1">
        <f t="shared" si="192"/>
        <v>-104</v>
      </c>
      <c r="AR87" s="1">
        <f t="shared" si="193"/>
        <v>-3</v>
      </c>
    </row>
    <row r="88" spans="1:44">
      <c r="B88" s="1" t="s">
        <v>153</v>
      </c>
      <c r="C88" s="1">
        <v>0</v>
      </c>
      <c r="D88" s="1">
        <v>0</v>
      </c>
      <c r="E88" s="1">
        <v>0</v>
      </c>
      <c r="F88" s="1">
        <v>0</v>
      </c>
      <c r="G88" s="1">
        <v>0</v>
      </c>
      <c r="H88" s="1">
        <v>0</v>
      </c>
      <c r="I88" s="1">
        <v>0</v>
      </c>
      <c r="J88" s="1">
        <v>0</v>
      </c>
      <c r="K88" s="1">
        <v>0</v>
      </c>
      <c r="L88" s="1">
        <v>0</v>
      </c>
      <c r="M88" s="1">
        <v>0</v>
      </c>
      <c r="N88" s="1">
        <v>0</v>
      </c>
      <c r="O88" s="1">
        <v>0</v>
      </c>
      <c r="P88" s="1">
        <f>-1521-O88</f>
        <v>-1521</v>
      </c>
      <c r="Q88" s="1">
        <f>-5705-SUM(O88:P88)</f>
        <v>-4184</v>
      </c>
      <c r="R88" s="1">
        <f>-11470-SUM(O88:Q88)</f>
        <v>-5765</v>
      </c>
      <c r="S88" s="1">
        <v>-5345</v>
      </c>
      <c r="T88" s="1">
        <f>-11065-S88</f>
        <v>-5720</v>
      </c>
      <c r="U88" s="1">
        <f>-17173-SUM(S88:T88)</f>
        <v>-6108</v>
      </c>
      <c r="V88" s="1">
        <f>-24498-SUM(S88:U88)</f>
        <v>-7325</v>
      </c>
      <c r="W88" s="1">
        <v>-6629</v>
      </c>
      <c r="AN88" s="1">
        <f t="shared" si="189"/>
        <v>0</v>
      </c>
      <c r="AO88" s="1">
        <f t="shared" si="190"/>
        <v>0</v>
      </c>
      <c r="AP88" s="1">
        <f t="shared" si="191"/>
        <v>0</v>
      </c>
      <c r="AQ88" s="1">
        <f t="shared" si="192"/>
        <v>-11470</v>
      </c>
      <c r="AR88" s="1">
        <f t="shared" si="193"/>
        <v>-24498</v>
      </c>
    </row>
    <row r="89" spans="1:44">
      <c r="B89" s="1" t="s">
        <v>154</v>
      </c>
      <c r="C89" s="1">
        <v>0</v>
      </c>
      <c r="D89" s="1">
        <v>0</v>
      </c>
      <c r="E89" s="1">
        <v>0</v>
      </c>
      <c r="F89" s="1">
        <v>0</v>
      </c>
      <c r="G89" s="1">
        <v>0</v>
      </c>
      <c r="H89" s="1">
        <v>0</v>
      </c>
      <c r="I89" s="1">
        <v>0</v>
      </c>
      <c r="J89" s="1">
        <v>0</v>
      </c>
      <c r="K89" s="1">
        <v>0</v>
      </c>
      <c r="L89" s="1">
        <v>0</v>
      </c>
      <c r="M89" s="1">
        <v>0</v>
      </c>
      <c r="N89" s="1">
        <v>0</v>
      </c>
      <c r="O89" s="1">
        <v>0</v>
      </c>
      <c r="P89" s="1">
        <f>302-O89</f>
        <v>302</v>
      </c>
      <c r="Q89" s="1">
        <f>3676-SUM(O89:P89)</f>
        <v>3374</v>
      </c>
      <c r="R89" s="1">
        <f>10795-SUM(O89:Q89)</f>
        <v>7119</v>
      </c>
      <c r="S89" s="1">
        <v>5232</v>
      </c>
      <c r="T89" s="1">
        <f>11175-S89</f>
        <v>5943</v>
      </c>
      <c r="U89" s="1">
        <f>17159-SUM(S89:T89)</f>
        <v>5984</v>
      </c>
      <c r="V89" s="1">
        <f>24352-SUM(S89:U89)</f>
        <v>7193</v>
      </c>
      <c r="W89" s="1">
        <v>6445</v>
      </c>
      <c r="AN89" s="1">
        <f t="shared" si="189"/>
        <v>0</v>
      </c>
      <c r="AO89" s="1">
        <f t="shared" si="190"/>
        <v>0</v>
      </c>
      <c r="AP89" s="1">
        <f t="shared" si="191"/>
        <v>0</v>
      </c>
      <c r="AQ89" s="1">
        <f t="shared" si="192"/>
        <v>10795</v>
      </c>
      <c r="AR89" s="1">
        <f t="shared" si="193"/>
        <v>24352</v>
      </c>
    </row>
    <row r="90" spans="1:44">
      <c r="B90" s="1" t="s">
        <v>155</v>
      </c>
      <c r="C90" s="1">
        <f>77-21+51+21</f>
        <v>128</v>
      </c>
      <c r="D90" s="1">
        <f>47-48+114-55-C90</f>
        <v>-70</v>
      </c>
      <c r="E90" s="1">
        <f t="shared" si="188"/>
        <v>1126</v>
      </c>
      <c r="F90" s="1">
        <f>-100-1120-171-4-230+1038-SUM(C90:E90)</f>
        <v>-1771</v>
      </c>
      <c r="G90" s="1">
        <f>-97-34-33-287</f>
        <v>-451</v>
      </c>
      <c r="H90" s="1">
        <f>47-48+114-55-G90</f>
        <v>509</v>
      </c>
      <c r="I90" s="1">
        <f>-155-50+18-892-SUM(G90:H90)</f>
        <v>-1137</v>
      </c>
      <c r="J90" s="1">
        <f>-222-1178+486-31+73+199-SUM(G90:I90)</f>
        <v>406</v>
      </c>
      <c r="K90" s="1">
        <f>-50-29+17-391</f>
        <v>-453</v>
      </c>
      <c r="L90" s="1">
        <f>-67-27+86-408-K90</f>
        <v>37</v>
      </c>
      <c r="M90" s="1">
        <f>-89-55+109-522-SUM(K90:L90)</f>
        <v>-141</v>
      </c>
      <c r="N90" s="1">
        <f>-163-1230+118-35+856-SUM(K90:M90)</f>
        <v>103</v>
      </c>
      <c r="O90" s="1">
        <f>-3+3-475</f>
        <v>-475</v>
      </c>
      <c r="P90" s="1">
        <f>36-12-1177-O90</f>
        <v>-678</v>
      </c>
      <c r="Q90" s="1">
        <f>-35-6-865-SUM(O90:P90)</f>
        <v>247</v>
      </c>
      <c r="R90" s="1">
        <f>-114-1188+203+7-222-SUM(O90:Q90)</f>
        <v>-408</v>
      </c>
      <c r="S90" s="1">
        <f>-39-22+176</f>
        <v>115</v>
      </c>
      <c r="T90" s="1">
        <f>82-11-511-S90</f>
        <v>-555</v>
      </c>
      <c r="U90" s="1">
        <f>31+24-647-SUM(S90:T90)</f>
        <v>-152</v>
      </c>
      <c r="V90" s="1">
        <f>85-1131-8+83+413-SUM(S90:U90)</f>
        <v>34</v>
      </c>
      <c r="W90" s="1">
        <f>-98-52-526</f>
        <v>-676</v>
      </c>
      <c r="AN90" s="1">
        <f t="shared" si="189"/>
        <v>-587</v>
      </c>
      <c r="AO90" s="1">
        <f t="shared" si="190"/>
        <v>-673</v>
      </c>
      <c r="AP90" s="1">
        <f t="shared" si="191"/>
        <v>-454</v>
      </c>
      <c r="AQ90" s="1">
        <f t="shared" si="192"/>
        <v>-1314</v>
      </c>
      <c r="AR90" s="1">
        <f t="shared" si="193"/>
        <v>-558</v>
      </c>
    </row>
    <row r="91" spans="1:44" ht="15">
      <c r="B91" s="2" t="s">
        <v>156</v>
      </c>
      <c r="C91" s="1">
        <f t="shared" ref="C91:R91" si="194">C78+SUM(C79:C90)</f>
        <v>1419</v>
      </c>
      <c r="D91" s="1">
        <f t="shared" si="194"/>
        <v>1774</v>
      </c>
      <c r="E91" s="1">
        <f t="shared" si="194"/>
        <v>4399</v>
      </c>
      <c r="F91" s="1">
        <f t="shared" si="194"/>
        <v>-1373</v>
      </c>
      <c r="G91" s="1">
        <f>G78+SUM(G79:G90)</f>
        <v>1758</v>
      </c>
      <c r="H91" s="1">
        <f t="shared" si="194"/>
        <v>2335</v>
      </c>
      <c r="I91" s="1">
        <f t="shared" si="194"/>
        <v>484</v>
      </c>
      <c r="J91" s="1">
        <f t="shared" si="194"/>
        <v>2662</v>
      </c>
      <c r="K91" s="1">
        <f t="shared" si="194"/>
        <v>1217</v>
      </c>
      <c r="L91" s="1">
        <f t="shared" si="194"/>
        <v>1250</v>
      </c>
      <c r="M91" s="1">
        <f t="shared" si="194"/>
        <v>1755</v>
      </c>
      <c r="N91" s="1">
        <f t="shared" si="194"/>
        <v>1591</v>
      </c>
      <c r="O91" s="1">
        <f t="shared" si="194"/>
        <v>1170</v>
      </c>
      <c r="P91" s="1">
        <f t="shared" si="194"/>
        <v>-200</v>
      </c>
      <c r="Q91" s="1">
        <f>Q78+SUM(Q79:Q90)</f>
        <v>1259</v>
      </c>
      <c r="R91" s="1">
        <f t="shared" si="194"/>
        <v>2614</v>
      </c>
      <c r="S91" s="1">
        <f>S78+SUM(S79:S90)</f>
        <v>1917</v>
      </c>
      <c r="T91" s="1">
        <f t="shared" ref="T91:V91" si="195">T78+SUM(T79:T90)</f>
        <v>1525</v>
      </c>
      <c r="U91" s="1">
        <f t="shared" si="195"/>
        <v>1614</v>
      </c>
      <c r="V91" s="1">
        <f t="shared" si="195"/>
        <v>2394</v>
      </c>
      <c r="W91" s="1">
        <f t="shared" ref="W91" si="196">W78+SUM(W79:W90)</f>
        <v>1160</v>
      </c>
      <c r="AN91" s="1">
        <f t="shared" si="189"/>
        <v>6219</v>
      </c>
      <c r="AO91" s="1">
        <f t="shared" si="190"/>
        <v>7239</v>
      </c>
      <c r="AP91" s="1">
        <f t="shared" si="191"/>
        <v>5813</v>
      </c>
      <c r="AQ91" s="1">
        <f t="shared" si="192"/>
        <v>4843</v>
      </c>
      <c r="AR91" s="1">
        <f t="shared" si="193"/>
        <v>7450</v>
      </c>
    </row>
    <row r="92" spans="1:44">
      <c r="W92" s="1"/>
    </row>
    <row r="93" spans="1:44">
      <c r="B93" s="1" t="s">
        <v>156</v>
      </c>
      <c r="C93" s="1">
        <f t="shared" ref="C93:R93" si="197">C91</f>
        <v>1419</v>
      </c>
      <c r="D93" s="1">
        <f t="shared" si="197"/>
        <v>1774</v>
      </c>
      <c r="E93" s="1">
        <f t="shared" si="197"/>
        <v>4399</v>
      </c>
      <c r="F93" s="1">
        <f t="shared" si="197"/>
        <v>-1373</v>
      </c>
      <c r="G93" s="1">
        <f t="shared" si="197"/>
        <v>1758</v>
      </c>
      <c r="H93" s="1">
        <f t="shared" si="197"/>
        <v>2335</v>
      </c>
      <c r="I93" s="1">
        <f t="shared" si="197"/>
        <v>484</v>
      </c>
      <c r="J93" s="1">
        <f t="shared" si="197"/>
        <v>2662</v>
      </c>
      <c r="K93" s="1">
        <f t="shared" si="197"/>
        <v>1217</v>
      </c>
      <c r="L93" s="1">
        <f t="shared" si="197"/>
        <v>1250</v>
      </c>
      <c r="M93" s="1">
        <f t="shared" si="197"/>
        <v>1755</v>
      </c>
      <c r="N93" s="1">
        <f t="shared" si="197"/>
        <v>1591</v>
      </c>
      <c r="O93" s="1">
        <f t="shared" si="197"/>
        <v>1170</v>
      </c>
      <c r="P93" s="1">
        <f t="shared" si="197"/>
        <v>-200</v>
      </c>
      <c r="Q93" s="1">
        <f t="shared" si="197"/>
        <v>1259</v>
      </c>
      <c r="R93" s="1">
        <f t="shared" si="197"/>
        <v>2614</v>
      </c>
      <c r="S93" s="1">
        <f>S91</f>
        <v>1917</v>
      </c>
      <c r="T93" s="1">
        <f t="shared" ref="T93:V93" si="198">T91</f>
        <v>1525</v>
      </c>
      <c r="U93" s="1">
        <f t="shared" si="198"/>
        <v>1614</v>
      </c>
      <c r="V93" s="1">
        <f t="shared" si="198"/>
        <v>2394</v>
      </c>
      <c r="W93" s="1">
        <f t="shared" ref="W93" si="199">W91</f>
        <v>1160</v>
      </c>
      <c r="AN93" s="1">
        <f t="shared" si="189"/>
        <v>6219</v>
      </c>
      <c r="AO93" s="1">
        <f t="shared" si="190"/>
        <v>7239</v>
      </c>
      <c r="AP93" s="1">
        <f t="shared" si="191"/>
        <v>5813</v>
      </c>
      <c r="AQ93" s="1">
        <f t="shared" si="192"/>
        <v>4843</v>
      </c>
      <c r="AR93" s="1">
        <f t="shared" si="193"/>
        <v>7450</v>
      </c>
    </row>
    <row r="94" spans="1:44">
      <c r="B94" s="1" t="s">
        <v>157</v>
      </c>
      <c r="C94" s="1">
        <f>-206+119</f>
        <v>-87</v>
      </c>
      <c r="D94" s="1">
        <f>-399+120-C94</f>
        <v>-192</v>
      </c>
      <c r="E94" s="1">
        <f>-640+120-SUM(C94:D94)</f>
        <v>-241</v>
      </c>
      <c r="F94" s="1">
        <f>-866+120-SUM(C94:E94)</f>
        <v>-226</v>
      </c>
      <c r="G94" s="1">
        <v>-221</v>
      </c>
      <c r="H94" s="1">
        <f>-468+1-G94</f>
        <v>-246</v>
      </c>
      <c r="I94" s="1">
        <f>-695+3-SUM(G94:H94)</f>
        <v>-225</v>
      </c>
      <c r="J94" s="1">
        <f>-908+5-SUM(G94:I94)</f>
        <v>-211</v>
      </c>
      <c r="K94" s="1">
        <f>-191+3</f>
        <v>-188</v>
      </c>
      <c r="L94" s="1">
        <f>-366+5-K94</f>
        <v>-173</v>
      </c>
      <c r="M94" s="1">
        <f>-548+5-SUM(K94:L94)</f>
        <v>-182</v>
      </c>
      <c r="N94" s="1">
        <f>-706+5-SUM(K94:M94)</f>
        <v>-158</v>
      </c>
      <c r="O94" s="1">
        <f>-170+1</f>
        <v>-169</v>
      </c>
      <c r="P94" s="1">
        <f>-320+40-O94</f>
        <v>-111</v>
      </c>
      <c r="Q94" s="1">
        <f>-478+44-SUM(O94:P94)</f>
        <v>-154</v>
      </c>
      <c r="R94" s="1">
        <f>-623+45-SUM(O94:Q94)</f>
        <v>-144</v>
      </c>
      <c r="S94" s="1">
        <v>-154</v>
      </c>
      <c r="T94" s="1">
        <f>-311-S94</f>
        <v>-157</v>
      </c>
      <c r="U94" s="1">
        <f>-480-SUM(S94:T94)</f>
        <v>-169</v>
      </c>
      <c r="V94" s="1">
        <f>-683+1-SUM(S94:U94)</f>
        <v>-202</v>
      </c>
      <c r="W94" s="1">
        <f>-196+2</f>
        <v>-194</v>
      </c>
      <c r="AN94" s="1">
        <f t="shared" si="189"/>
        <v>-746</v>
      </c>
      <c r="AO94" s="1">
        <f t="shared" si="190"/>
        <v>-903</v>
      </c>
      <c r="AP94" s="1">
        <f t="shared" si="191"/>
        <v>-701</v>
      </c>
      <c r="AQ94" s="1">
        <f t="shared" si="192"/>
        <v>-578</v>
      </c>
      <c r="AR94" s="1">
        <f t="shared" si="193"/>
        <v>-682</v>
      </c>
    </row>
    <row r="95" spans="1:44" ht="15">
      <c r="B95" s="2" t="s">
        <v>158</v>
      </c>
      <c r="C95" s="1">
        <f t="shared" ref="C95:U95" si="200">C93+C94</f>
        <v>1332</v>
      </c>
      <c r="D95" s="1">
        <f t="shared" si="200"/>
        <v>1582</v>
      </c>
      <c r="E95" s="1">
        <f t="shared" si="200"/>
        <v>4158</v>
      </c>
      <c r="F95" s="1">
        <f t="shared" si="200"/>
        <v>-1599</v>
      </c>
      <c r="G95" s="1">
        <f t="shared" si="200"/>
        <v>1537</v>
      </c>
      <c r="H95" s="1">
        <f t="shared" si="200"/>
        <v>2089</v>
      </c>
      <c r="I95" s="1">
        <f t="shared" si="200"/>
        <v>259</v>
      </c>
      <c r="J95" s="1">
        <f t="shared" si="200"/>
        <v>2451</v>
      </c>
      <c r="K95" s="1">
        <f t="shared" si="200"/>
        <v>1029</v>
      </c>
      <c r="L95" s="1">
        <f t="shared" si="200"/>
        <v>1077</v>
      </c>
      <c r="M95" s="1">
        <f t="shared" si="200"/>
        <v>1573</v>
      </c>
      <c r="N95" s="1">
        <f t="shared" si="200"/>
        <v>1433</v>
      </c>
      <c r="O95" s="1">
        <f t="shared" si="200"/>
        <v>1001</v>
      </c>
      <c r="P95" s="1">
        <f t="shared" si="200"/>
        <v>-311</v>
      </c>
      <c r="Q95" s="1">
        <f t="shared" si="200"/>
        <v>1105</v>
      </c>
      <c r="R95" s="1">
        <f t="shared" si="200"/>
        <v>2470</v>
      </c>
      <c r="S95" s="1">
        <f t="shared" si="200"/>
        <v>1763</v>
      </c>
      <c r="T95" s="1">
        <f t="shared" si="200"/>
        <v>1368</v>
      </c>
      <c r="U95" s="1">
        <f t="shared" si="200"/>
        <v>1445</v>
      </c>
      <c r="V95" s="1">
        <f>V93+V94</f>
        <v>2192</v>
      </c>
      <c r="W95" s="1">
        <f t="shared" ref="W95" si="201">W93+W94</f>
        <v>966</v>
      </c>
      <c r="AN95" s="1">
        <f t="shared" si="189"/>
        <v>5473</v>
      </c>
      <c r="AO95" s="1">
        <f t="shared" si="190"/>
        <v>6336</v>
      </c>
      <c r="AP95" s="1">
        <f t="shared" si="191"/>
        <v>5112</v>
      </c>
      <c r="AQ95" s="1">
        <f t="shared" si="192"/>
        <v>4265</v>
      </c>
      <c r="AR95" s="1">
        <f>SUM(S95:V95)</f>
        <v>6768</v>
      </c>
    </row>
    <row r="96" spans="1:44">
      <c r="B96" s="1" t="s">
        <v>159</v>
      </c>
      <c r="C96" s="1">
        <f t="shared" ref="C96:V96" si="202">C42</f>
        <v>1185</v>
      </c>
      <c r="D96" s="1">
        <f t="shared" si="202"/>
        <v>1184</v>
      </c>
      <c r="E96" s="1">
        <f t="shared" si="202"/>
        <v>1190</v>
      </c>
      <c r="F96" s="1">
        <f t="shared" si="202"/>
        <v>1174</v>
      </c>
      <c r="G96" s="1">
        <f t="shared" si="202"/>
        <v>1190</v>
      </c>
      <c r="H96" s="1">
        <f t="shared" si="202"/>
        <v>1186</v>
      </c>
      <c r="I96" s="1">
        <f t="shared" si="202"/>
        <v>1187</v>
      </c>
      <c r="J96" s="1">
        <f t="shared" si="202"/>
        <v>1174</v>
      </c>
      <c r="K96" s="1">
        <f t="shared" si="202"/>
        <v>1163</v>
      </c>
      <c r="L96" s="1">
        <f t="shared" si="202"/>
        <v>1158</v>
      </c>
      <c r="M96" s="1">
        <f t="shared" si="202"/>
        <v>1157</v>
      </c>
      <c r="N96" s="1">
        <f t="shared" si="202"/>
        <v>1131</v>
      </c>
      <c r="O96" s="1">
        <f t="shared" si="202"/>
        <v>1134</v>
      </c>
      <c r="P96" s="1">
        <f t="shared" si="202"/>
        <v>1114</v>
      </c>
      <c r="Q96" s="1">
        <f t="shared" si="202"/>
        <v>1098</v>
      </c>
      <c r="R96" s="1">
        <f t="shared" si="202"/>
        <v>1071</v>
      </c>
      <c r="S96" s="1">
        <f t="shared" si="202"/>
        <v>1072</v>
      </c>
      <c r="T96" s="1">
        <f t="shared" si="202"/>
        <v>1047</v>
      </c>
      <c r="U96" s="1">
        <f t="shared" si="202"/>
        <v>1024</v>
      </c>
      <c r="V96" s="1">
        <f t="shared" si="202"/>
        <v>989</v>
      </c>
      <c r="W96" s="1">
        <f t="shared" ref="W96" si="203">W42</f>
        <v>986</v>
      </c>
      <c r="AN96" s="1">
        <f t="shared" si="189"/>
        <v>4733</v>
      </c>
      <c r="AO96" s="1">
        <f t="shared" si="190"/>
        <v>4737</v>
      </c>
      <c r="AP96" s="1">
        <f t="shared" si="191"/>
        <v>4609</v>
      </c>
      <c r="AQ96" s="1">
        <f t="shared" si="192"/>
        <v>4417</v>
      </c>
      <c r="AR96" s="1">
        <f t="shared" si="193"/>
        <v>4132</v>
      </c>
    </row>
    <row r="97" spans="2:44">
      <c r="B97" s="1" t="s">
        <v>160</v>
      </c>
      <c r="C97" s="6">
        <f t="shared" ref="C97:Q97" si="204">C95/C96</f>
        <v>1.1240506329113924</v>
      </c>
      <c r="D97" s="6">
        <f t="shared" si="204"/>
        <v>1.3361486486486487</v>
      </c>
      <c r="E97" s="6">
        <f t="shared" si="204"/>
        <v>3.4941176470588236</v>
      </c>
      <c r="F97" s="6">
        <f t="shared" si="204"/>
        <v>-1.3620102214650767</v>
      </c>
      <c r="G97" s="6">
        <f t="shared" si="204"/>
        <v>1.2915966386554623</v>
      </c>
      <c r="H97" s="6">
        <f t="shared" si="204"/>
        <v>1.7613827993254638</v>
      </c>
      <c r="I97" s="6">
        <f t="shared" si="204"/>
        <v>0.21819713563605728</v>
      </c>
      <c r="J97" s="6">
        <f t="shared" si="204"/>
        <v>2.0877342419080067</v>
      </c>
      <c r="K97" s="6">
        <f t="shared" si="204"/>
        <v>0.88478073946689595</v>
      </c>
      <c r="L97" s="6">
        <f t="shared" si="204"/>
        <v>0.93005181347150256</v>
      </c>
      <c r="M97" s="6">
        <f t="shared" si="204"/>
        <v>1.3595505617977528</v>
      </c>
      <c r="N97" s="6">
        <f t="shared" si="204"/>
        <v>1.2670203359858532</v>
      </c>
      <c r="O97" s="6">
        <f t="shared" si="204"/>
        <v>0.88271604938271608</v>
      </c>
      <c r="P97" s="6">
        <f t="shared" si="204"/>
        <v>-0.27917414721723521</v>
      </c>
      <c r="Q97" s="6">
        <f t="shared" si="204"/>
        <v>1.0063752276867031</v>
      </c>
      <c r="R97" s="6">
        <f>R95/R96</f>
        <v>2.3062558356676002</v>
      </c>
      <c r="S97" s="6">
        <f>S95/S96</f>
        <v>1.6445895522388059</v>
      </c>
      <c r="T97" s="6">
        <f t="shared" ref="T97:V97" si="205">T95/T96</f>
        <v>1.3065902578796562</v>
      </c>
      <c r="U97" s="6">
        <f t="shared" si="205"/>
        <v>1.4111328125</v>
      </c>
      <c r="V97" s="6">
        <f t="shared" si="205"/>
        <v>2.2163801820020224</v>
      </c>
      <c r="W97" s="6">
        <f t="shared" ref="W97" si="206">W95/W96</f>
        <v>0.97971602434077076</v>
      </c>
      <c r="AN97" s="6">
        <f t="shared" si="189"/>
        <v>4.5923067071537886</v>
      </c>
      <c r="AO97" s="6">
        <f t="shared" si="190"/>
        <v>5.3589108155249896</v>
      </c>
      <c r="AP97" s="6">
        <f t="shared" si="191"/>
        <v>4.4414034507220048</v>
      </c>
      <c r="AQ97" s="6">
        <f t="shared" si="192"/>
        <v>3.9161729655197841</v>
      </c>
      <c r="AR97" s="6">
        <f t="shared" si="193"/>
        <v>6.5786928046204842</v>
      </c>
    </row>
    <row r="98" spans="2:44">
      <c r="W98" s="1"/>
    </row>
    <row r="99" spans="2:44">
      <c r="C99" s="7">
        <f t="shared" ref="C99:V99" si="207">C95/C29</f>
        <v>0.28843655262018192</v>
      </c>
      <c r="D99" s="7">
        <f t="shared" si="207"/>
        <v>0.3007032883482228</v>
      </c>
      <c r="E99" s="7">
        <f t="shared" si="207"/>
        <v>0.76167796299688584</v>
      </c>
      <c r="F99" s="7">
        <f t="shared" si="207"/>
        <v>-0.26144538914323084</v>
      </c>
      <c r="G99" s="7">
        <f t="shared" si="207"/>
        <v>0.25476545665506384</v>
      </c>
      <c r="H99" s="7">
        <f t="shared" si="207"/>
        <v>0.3348829753126002</v>
      </c>
      <c r="I99" s="7">
        <f t="shared" si="207"/>
        <v>4.1895826593335489E-2</v>
      </c>
      <c r="J99" s="7">
        <f t="shared" si="207"/>
        <v>0.35429314830875974</v>
      </c>
      <c r="K99" s="7">
        <f t="shared" si="207"/>
        <v>0.15872281351226283</v>
      </c>
      <c r="L99" s="7">
        <f t="shared" si="207"/>
        <v>0.15824272700558331</v>
      </c>
      <c r="M99" s="7">
        <f t="shared" si="207"/>
        <v>0.22976920829681566</v>
      </c>
      <c r="N99" s="7">
        <f t="shared" si="207"/>
        <v>0.19409454151428959</v>
      </c>
      <c r="O99" s="7">
        <f t="shared" si="207"/>
        <v>0.14218749999999999</v>
      </c>
      <c r="P99" s="7">
        <f t="shared" si="207"/>
        <v>-4.2678742966927405E-2</v>
      </c>
      <c r="Q99" s="7">
        <f t="shared" si="207"/>
        <v>0.14896198436236183</v>
      </c>
      <c r="R99" s="7">
        <f t="shared" si="207"/>
        <v>0.30774981310740096</v>
      </c>
      <c r="S99" s="7">
        <f t="shared" si="207"/>
        <v>0.22899077802311987</v>
      </c>
      <c r="T99" s="7">
        <f t="shared" si="207"/>
        <v>0.17349397590361446</v>
      </c>
      <c r="U99" s="7">
        <f t="shared" si="207"/>
        <v>0.18414680769720912</v>
      </c>
      <c r="V99" s="7">
        <f t="shared" si="207"/>
        <v>0.26201290939517091</v>
      </c>
      <c r="W99" s="7">
        <f t="shared" ref="W99" si="208">W95/W29</f>
        <v>0.12398921832884097</v>
      </c>
    </row>
    <row r="101" spans="2:44">
      <c r="AK101" s="6"/>
    </row>
  </sheetData>
  <pageMargins left="0.7" right="0.7" top="0.75" bottom="0.75" header="0.3" footer="0.3"/>
  <ignoredErrors>
    <ignoredError sqref="AN26:AP26 AN42:AP42 N85 AN84:AR84 AN85:AO86 AP86 AN88:AP89"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55662-3904-47FE-BB6C-F0C83886CFDD}">
  <dimension ref="B1:CN287"/>
  <sheetViews>
    <sheetView zoomScale="90" zoomScaleNormal="84" workbookViewId="0">
      <selection activeCell="Q2" sqref="Q2"/>
    </sheetView>
  </sheetViews>
  <sheetFormatPr defaultColWidth="9.140625" defaultRowHeight="14.25"/>
  <cols>
    <col min="1" max="1" width="3.140625" style="1" customWidth="1"/>
    <col min="2" max="2" width="9" style="1" customWidth="1"/>
    <col min="3" max="9" width="9.140625" style="1"/>
    <col min="10" max="10" width="9.140625" style="1" customWidth="1"/>
    <col min="11" max="11" width="10" style="1" customWidth="1"/>
    <col min="12" max="15" width="9.140625" style="1"/>
    <col min="16" max="16" width="3.28515625" style="1" customWidth="1"/>
    <col min="17" max="17" width="9.140625" style="1" customWidth="1"/>
    <col min="18" max="18" width="8.7109375" style="1" bestFit="1" customWidth="1"/>
    <col min="19" max="43" width="9.140625" style="1"/>
    <col min="44" max="44" width="13" style="1" customWidth="1"/>
    <col min="45" max="45" width="9.140625" style="1"/>
    <col min="46" max="46" width="9.28515625" style="1" customWidth="1"/>
    <col min="47" max="52" width="9.140625" style="1"/>
    <col min="53" max="53" width="10.85546875" style="1" customWidth="1"/>
    <col min="54" max="16384" width="9.140625" style="1"/>
  </cols>
  <sheetData>
    <row r="1" spans="2:92">
      <c r="CN1" s="1">
        <v>0</v>
      </c>
    </row>
    <row r="2" spans="2:92" ht="15">
      <c r="B2" s="2" t="s">
        <v>137</v>
      </c>
      <c r="Q2" s="2" t="s">
        <v>145</v>
      </c>
    </row>
    <row r="3" spans="2:92" ht="15">
      <c r="B3" s="2"/>
    </row>
    <row r="4" spans="2:92" ht="15">
      <c r="B4" s="2" t="s">
        <v>163</v>
      </c>
      <c r="Q4" s="1" t="s">
        <v>192</v>
      </c>
    </row>
    <row r="5" spans="2:92">
      <c r="R5" s="1" t="s">
        <v>480</v>
      </c>
    </row>
    <row r="6" spans="2:92">
      <c r="R6" s="1" t="s">
        <v>494</v>
      </c>
    </row>
    <row r="7" spans="2:92">
      <c r="S7" s="1" t="s">
        <v>481</v>
      </c>
      <c r="AA7" s="1" t="s">
        <v>482</v>
      </c>
    </row>
    <row r="9" spans="2:92">
      <c r="Q9" s="1" t="s">
        <v>470</v>
      </c>
    </row>
    <row r="10" spans="2:92">
      <c r="R10" s="1" t="s">
        <v>471</v>
      </c>
    </row>
    <row r="12" spans="2:92">
      <c r="Q12" s="1" t="s">
        <v>467</v>
      </c>
    </row>
    <row r="13" spans="2:92">
      <c r="R13" s="1" t="s">
        <v>468</v>
      </c>
    </row>
    <row r="14" spans="2:92">
      <c r="R14" s="1" t="s">
        <v>469</v>
      </c>
    </row>
    <row r="15" spans="2:92">
      <c r="Q15" s="1" t="s">
        <v>496</v>
      </c>
    </row>
    <row r="16" spans="2:92">
      <c r="R16" s="1" t="s">
        <v>472</v>
      </c>
    </row>
    <row r="17" spans="17:18">
      <c r="R17" s="1" t="s">
        <v>473</v>
      </c>
    </row>
    <row r="19" spans="17:18">
      <c r="Q19" s="12" t="s">
        <v>497</v>
      </c>
      <c r="R19" s="12"/>
    </row>
    <row r="20" spans="17:18">
      <c r="Q20" s="12" t="s">
        <v>498</v>
      </c>
      <c r="R20" s="12"/>
    </row>
    <row r="21" spans="17:18">
      <c r="Q21" s="12" t="s">
        <v>475</v>
      </c>
      <c r="R21" s="12"/>
    </row>
    <row r="22" spans="17:18">
      <c r="Q22" s="12"/>
      <c r="R22" s="12" t="s">
        <v>478</v>
      </c>
    </row>
    <row r="23" spans="17:18">
      <c r="Q23" s="12"/>
      <c r="R23" s="12" t="s">
        <v>476</v>
      </c>
    </row>
    <row r="24" spans="17:18">
      <c r="Q24" s="12"/>
      <c r="R24" s="12" t="s">
        <v>477</v>
      </c>
    </row>
    <row r="25" spans="17:18">
      <c r="Q25" s="12"/>
      <c r="R25" s="12" t="s">
        <v>479</v>
      </c>
    </row>
    <row r="35" spans="2:13" ht="15">
      <c r="B35" s="2" t="s">
        <v>460</v>
      </c>
      <c r="C35" s="2"/>
      <c r="D35" s="2"/>
      <c r="E35" s="2"/>
    </row>
    <row r="37" spans="2:13">
      <c r="B37" s="13" t="s">
        <v>459</v>
      </c>
      <c r="C37" s="13" t="s">
        <v>458</v>
      </c>
      <c r="D37" s="13" t="s">
        <v>457</v>
      </c>
      <c r="E37" s="13" t="s">
        <v>456</v>
      </c>
      <c r="F37" s="13" t="s">
        <v>455</v>
      </c>
      <c r="G37" s="13" t="s">
        <v>454</v>
      </c>
      <c r="H37" s="13" t="s">
        <v>453</v>
      </c>
      <c r="J37" s="13" t="s">
        <v>452</v>
      </c>
      <c r="K37" s="14">
        <f>MAX(H37:H286)</f>
        <v>4.2600373482726273E-2</v>
      </c>
    </row>
    <row r="38" spans="2:13">
      <c r="B38" s="15">
        <v>70.86</v>
      </c>
      <c r="C38" s="15">
        <v>71.709999999999994</v>
      </c>
      <c r="D38" s="15">
        <v>70.547600000000003</v>
      </c>
      <c r="E38" s="15">
        <v>71</v>
      </c>
      <c r="F38" s="15">
        <v>6678611</v>
      </c>
      <c r="G38" s="15" t="s">
        <v>449</v>
      </c>
      <c r="H38" s="16">
        <f t="shared" ref="H38:H101" si="0">B38/E38-1</f>
        <v>-1.9718309859154681E-3</v>
      </c>
      <c r="J38" s="13" t="s">
        <v>451</v>
      </c>
      <c r="K38" s="14">
        <f>MIN(H37:H286)</f>
        <v>-5.7831192458239089E-2</v>
      </c>
    </row>
    <row r="39" spans="2:13">
      <c r="B39" s="15">
        <v>70.97</v>
      </c>
      <c r="C39" s="15">
        <v>71.66</v>
      </c>
      <c r="D39" s="15">
        <v>70.504999999999995</v>
      </c>
      <c r="E39" s="15">
        <v>71.55</v>
      </c>
      <c r="F39" s="15">
        <v>9911035</v>
      </c>
      <c r="G39" s="15" t="s">
        <v>448</v>
      </c>
      <c r="H39" s="16">
        <f t="shared" si="0"/>
        <v>-8.1062194269740928E-3</v>
      </c>
      <c r="J39" s="13" t="s">
        <v>464</v>
      </c>
      <c r="K39" s="14">
        <f>_xlfn.STDEV.S(H35:H286)</f>
        <v>1.6446820474763306E-2</v>
      </c>
    </row>
    <row r="40" spans="2:13">
      <c r="B40" s="15">
        <v>70.19</v>
      </c>
      <c r="C40" s="15">
        <v>70.41</v>
      </c>
      <c r="D40" s="15">
        <v>68.55</v>
      </c>
      <c r="E40" s="15">
        <v>68.62</v>
      </c>
      <c r="F40" s="15">
        <v>14484685</v>
      </c>
      <c r="G40" s="15" t="s">
        <v>447</v>
      </c>
      <c r="H40" s="16">
        <f t="shared" si="0"/>
        <v>2.2879626930923935E-2</v>
      </c>
      <c r="J40" s="13" t="s">
        <v>450</v>
      </c>
      <c r="K40" s="14">
        <f>AVERAGE(H37:H286)</f>
        <v>-4.1893908261100675E-4</v>
      </c>
    </row>
    <row r="41" spans="2:13">
      <c r="B41" s="15">
        <v>69.67</v>
      </c>
      <c r="C41" s="15">
        <v>70.81</v>
      </c>
      <c r="D41" s="15">
        <v>69.25</v>
      </c>
      <c r="E41" s="15">
        <v>69.435000000000002</v>
      </c>
      <c r="F41" s="15">
        <v>7453575</v>
      </c>
      <c r="G41" s="15" t="s">
        <v>446</v>
      </c>
      <c r="H41" s="16">
        <f t="shared" si="0"/>
        <v>3.3844602865988893E-3</v>
      </c>
    </row>
    <row r="42" spans="2:13">
      <c r="B42" s="15">
        <v>70</v>
      </c>
      <c r="C42" s="15">
        <v>70.48</v>
      </c>
      <c r="D42" s="15">
        <v>68.819999999999993</v>
      </c>
      <c r="E42" s="15">
        <v>69.099999999999994</v>
      </c>
      <c r="F42" s="15">
        <v>6876430</v>
      </c>
      <c r="G42" s="15" t="s">
        <v>445</v>
      </c>
      <c r="H42" s="16">
        <f t="shared" si="0"/>
        <v>1.3024602026049381E-2</v>
      </c>
      <c r="J42" s="1" t="s">
        <v>466</v>
      </c>
      <c r="L42" s="5">
        <f>K39*3</f>
        <v>4.9340461424289918E-2</v>
      </c>
      <c r="M42" s="1" t="s">
        <v>465</v>
      </c>
    </row>
    <row r="43" spans="2:13">
      <c r="B43" s="15">
        <v>68.88</v>
      </c>
      <c r="C43" s="15">
        <v>69.459999999999994</v>
      </c>
      <c r="D43" s="15">
        <v>68.290000000000006</v>
      </c>
      <c r="E43" s="15">
        <v>69.069999999999993</v>
      </c>
      <c r="F43" s="15">
        <v>7520849</v>
      </c>
      <c r="G43" s="15" t="s">
        <v>444</v>
      </c>
      <c r="H43" s="16">
        <f t="shared" si="0"/>
        <v>-2.7508324887794977E-3</v>
      </c>
      <c r="J43" s="1" t="s">
        <v>499</v>
      </c>
      <c r="L43" s="5"/>
    </row>
    <row r="44" spans="2:13">
      <c r="B44" s="15">
        <v>69.650000000000006</v>
      </c>
      <c r="C44" s="15">
        <v>70.22</v>
      </c>
      <c r="D44" s="15">
        <v>67.98</v>
      </c>
      <c r="E44" s="15">
        <v>68.67</v>
      </c>
      <c r="F44" s="15">
        <v>7971219</v>
      </c>
      <c r="G44" s="15" t="s">
        <v>443</v>
      </c>
      <c r="H44" s="16">
        <f t="shared" si="0"/>
        <v>1.4271151885830946E-2</v>
      </c>
    </row>
    <row r="45" spans="2:13">
      <c r="B45" s="15">
        <v>68.95</v>
      </c>
      <c r="C45" s="15">
        <v>69.14</v>
      </c>
      <c r="D45" s="15">
        <v>67.52</v>
      </c>
      <c r="E45" s="15">
        <v>67.81</v>
      </c>
      <c r="F45" s="15">
        <v>9828715</v>
      </c>
      <c r="G45" s="15" t="s">
        <v>442</v>
      </c>
      <c r="H45" s="16">
        <f t="shared" si="0"/>
        <v>1.6811679693260695E-2</v>
      </c>
    </row>
    <row r="46" spans="2:13">
      <c r="B46" s="15">
        <v>66.91</v>
      </c>
      <c r="C46" s="15">
        <v>68.91</v>
      </c>
      <c r="D46" s="15">
        <v>66.7</v>
      </c>
      <c r="E46" s="15">
        <v>68.33</v>
      </c>
      <c r="F46" s="15">
        <v>9778264</v>
      </c>
      <c r="G46" s="15" t="s">
        <v>441</v>
      </c>
      <c r="H46" s="16">
        <f t="shared" si="0"/>
        <v>-2.0781501536660363E-2</v>
      </c>
    </row>
    <row r="47" spans="2:13">
      <c r="B47" s="15">
        <v>68.62</v>
      </c>
      <c r="C47" s="15">
        <v>69.38</v>
      </c>
      <c r="D47" s="15">
        <v>67.905000000000001</v>
      </c>
      <c r="E47" s="15">
        <v>68.87</v>
      </c>
      <c r="F47" s="15">
        <v>11545839</v>
      </c>
      <c r="G47" s="15" t="s">
        <v>440</v>
      </c>
      <c r="H47" s="16">
        <f t="shared" si="0"/>
        <v>-3.6300275882096278E-3</v>
      </c>
    </row>
    <row r="48" spans="2:13">
      <c r="B48" s="15">
        <v>67.98</v>
      </c>
      <c r="C48" s="15">
        <v>68.95</v>
      </c>
      <c r="D48" s="15">
        <v>67.165000000000006</v>
      </c>
      <c r="E48" s="15">
        <v>68.41</v>
      </c>
      <c r="F48" s="15">
        <v>12133067</v>
      </c>
      <c r="G48" s="15" t="s">
        <v>439</v>
      </c>
      <c r="H48" s="16">
        <f t="shared" si="0"/>
        <v>-6.2856307557374036E-3</v>
      </c>
    </row>
    <row r="49" spans="2:8">
      <c r="B49" s="15">
        <v>68.16</v>
      </c>
      <c r="C49" s="15">
        <v>69.97</v>
      </c>
      <c r="D49" s="15">
        <v>66.989999999999995</v>
      </c>
      <c r="E49" s="15">
        <v>69.02</v>
      </c>
      <c r="F49" s="15">
        <v>15035191</v>
      </c>
      <c r="G49" s="15" t="s">
        <v>438</v>
      </c>
      <c r="H49" s="16">
        <f t="shared" si="0"/>
        <v>-1.2460156476383655E-2</v>
      </c>
    </row>
    <row r="50" spans="2:8">
      <c r="B50" s="15">
        <v>70.48</v>
      </c>
      <c r="C50" s="15">
        <v>70.98</v>
      </c>
      <c r="D50" s="15">
        <v>67.825000000000003</v>
      </c>
      <c r="E50" s="15">
        <v>67.97</v>
      </c>
      <c r="F50" s="15">
        <v>16388274</v>
      </c>
      <c r="G50" s="15" t="s">
        <v>437</v>
      </c>
      <c r="H50" s="16">
        <f t="shared" si="0"/>
        <v>3.6928056495512784E-2</v>
      </c>
    </row>
    <row r="51" spans="2:8">
      <c r="B51" s="15">
        <v>68.08</v>
      </c>
      <c r="C51" s="15">
        <v>69.86</v>
      </c>
      <c r="D51" s="15">
        <v>67.659000000000006</v>
      </c>
      <c r="E51" s="15">
        <v>68.819999999999993</v>
      </c>
      <c r="F51" s="15">
        <v>11226928</v>
      </c>
      <c r="G51" s="15" t="s">
        <v>436</v>
      </c>
      <c r="H51" s="16">
        <f t="shared" si="0"/>
        <v>-1.075268817204289E-2</v>
      </c>
    </row>
    <row r="52" spans="2:8">
      <c r="B52" s="15">
        <v>69.5</v>
      </c>
      <c r="C52" s="15">
        <v>69.69</v>
      </c>
      <c r="D52" s="15">
        <v>67.7</v>
      </c>
      <c r="E52" s="15">
        <v>67.98</v>
      </c>
      <c r="F52" s="15">
        <v>14464271</v>
      </c>
      <c r="G52" s="15" t="s">
        <v>435</v>
      </c>
      <c r="H52" s="16">
        <f t="shared" si="0"/>
        <v>2.235951750514853E-2</v>
      </c>
    </row>
    <row r="53" spans="2:8">
      <c r="B53" s="15">
        <v>67.48</v>
      </c>
      <c r="C53" s="15">
        <v>69.08</v>
      </c>
      <c r="D53" s="15">
        <v>66.34</v>
      </c>
      <c r="E53" s="15">
        <v>69</v>
      </c>
      <c r="F53" s="15">
        <v>20179966</v>
      </c>
      <c r="G53" s="15" t="s">
        <v>434</v>
      </c>
      <c r="H53" s="16">
        <f t="shared" si="0"/>
        <v>-2.2028985507246301E-2</v>
      </c>
    </row>
    <row r="54" spans="2:8">
      <c r="B54" s="15">
        <v>69.75</v>
      </c>
      <c r="C54" s="15">
        <v>71.569999999999993</v>
      </c>
      <c r="D54" s="15">
        <v>69.5</v>
      </c>
      <c r="E54" s="15">
        <v>71.099999999999994</v>
      </c>
      <c r="F54" s="15">
        <v>15753699</v>
      </c>
      <c r="G54" s="15" t="s">
        <v>433</v>
      </c>
      <c r="H54" s="16">
        <f t="shared" si="0"/>
        <v>-1.8987341772151778E-2</v>
      </c>
    </row>
    <row r="55" spans="2:8">
      <c r="B55" s="15">
        <v>71.05</v>
      </c>
      <c r="C55" s="15">
        <v>71.12</v>
      </c>
      <c r="D55" s="15">
        <v>69.682000000000002</v>
      </c>
      <c r="E55" s="15">
        <v>70.5</v>
      </c>
      <c r="F55" s="15">
        <v>13601324</v>
      </c>
      <c r="G55" s="15" t="s">
        <v>432</v>
      </c>
      <c r="H55" s="16">
        <f t="shared" si="0"/>
        <v>7.8014184397163788E-3</v>
      </c>
    </row>
    <row r="56" spans="2:8">
      <c r="B56" s="15">
        <v>70.73</v>
      </c>
      <c r="C56" s="15">
        <v>72.55</v>
      </c>
      <c r="D56" s="15">
        <v>70.58</v>
      </c>
      <c r="E56" s="15">
        <v>72.150000000000006</v>
      </c>
      <c r="F56" s="15">
        <v>11661160</v>
      </c>
      <c r="G56" s="15" t="s">
        <v>431</v>
      </c>
      <c r="H56" s="16">
        <f t="shared" si="0"/>
        <v>-1.9681219681219719E-2</v>
      </c>
    </row>
    <row r="57" spans="2:8">
      <c r="B57" s="15">
        <v>72.05</v>
      </c>
      <c r="C57" s="15">
        <v>74.48</v>
      </c>
      <c r="D57" s="15">
        <v>71.77</v>
      </c>
      <c r="E57" s="15">
        <v>74.33</v>
      </c>
      <c r="F57" s="15">
        <v>15296804</v>
      </c>
      <c r="G57" s="15" t="s">
        <v>430</v>
      </c>
      <c r="H57" s="16">
        <f t="shared" si="0"/>
        <v>-3.0674021256558603E-2</v>
      </c>
    </row>
    <row r="58" spans="2:8">
      <c r="B58" s="15">
        <v>74.069999999999993</v>
      </c>
      <c r="C58" s="15">
        <v>77.568299999999994</v>
      </c>
      <c r="D58" s="15">
        <v>72.7</v>
      </c>
      <c r="E58" s="15">
        <v>77.135000000000005</v>
      </c>
      <c r="F58" s="15">
        <v>20647167</v>
      </c>
      <c r="G58" s="15" t="s">
        <v>429</v>
      </c>
      <c r="H58" s="16">
        <f t="shared" si="0"/>
        <v>-3.9735528618655702E-2</v>
      </c>
    </row>
    <row r="59" spans="2:8">
      <c r="B59" s="15">
        <v>75.25</v>
      </c>
      <c r="C59" s="15">
        <v>75.88</v>
      </c>
      <c r="D59" s="15">
        <v>73.97</v>
      </c>
      <c r="E59" s="15">
        <v>75.245000000000005</v>
      </c>
      <c r="F59" s="15">
        <v>12873277</v>
      </c>
      <c r="G59" s="15" t="s">
        <v>428</v>
      </c>
      <c r="H59" s="16">
        <f t="shared" si="0"/>
        <v>6.6449597979856279E-5</v>
      </c>
    </row>
    <row r="60" spans="2:8">
      <c r="B60" s="15">
        <v>74.95</v>
      </c>
      <c r="C60" s="15">
        <v>77.48</v>
      </c>
      <c r="D60" s="15">
        <v>74.75</v>
      </c>
      <c r="E60" s="15">
        <v>77.44</v>
      </c>
      <c r="F60" s="15">
        <v>15171686</v>
      </c>
      <c r="G60" s="15" t="s">
        <v>427</v>
      </c>
      <c r="H60" s="16">
        <f t="shared" si="0"/>
        <v>-3.2153925619834656E-2</v>
      </c>
    </row>
    <row r="61" spans="2:8">
      <c r="B61" s="15">
        <v>77.63</v>
      </c>
      <c r="C61" s="15">
        <v>78.17</v>
      </c>
      <c r="D61" s="15">
        <v>76.849999999999994</v>
      </c>
      <c r="E61" s="15">
        <v>78.12</v>
      </c>
      <c r="F61" s="15">
        <v>9319311</v>
      </c>
      <c r="G61" s="15" t="s">
        <v>426</v>
      </c>
      <c r="H61" s="16">
        <f t="shared" si="0"/>
        <v>-6.2724014336918987E-3</v>
      </c>
    </row>
    <row r="62" spans="2:8">
      <c r="B62" s="15">
        <v>78.36</v>
      </c>
      <c r="C62" s="15">
        <v>79</v>
      </c>
      <c r="D62" s="15">
        <v>77.534999999999997</v>
      </c>
      <c r="E62" s="15">
        <v>78.5</v>
      </c>
      <c r="F62" s="15">
        <v>9082256</v>
      </c>
      <c r="G62" s="15" t="s">
        <v>425</v>
      </c>
      <c r="H62" s="16">
        <f t="shared" si="0"/>
        <v>-1.7834394904459039E-3</v>
      </c>
    </row>
    <row r="63" spans="2:8">
      <c r="B63" s="15">
        <v>78.62</v>
      </c>
      <c r="C63" s="15">
        <v>78.760000000000005</v>
      </c>
      <c r="D63" s="15">
        <v>77.500600000000006</v>
      </c>
      <c r="E63" s="15">
        <v>78.2</v>
      </c>
      <c r="F63" s="15">
        <v>11281243</v>
      </c>
      <c r="G63" s="15" t="s">
        <v>424</v>
      </c>
      <c r="H63" s="16">
        <f t="shared" si="0"/>
        <v>5.3708439897699467E-3</v>
      </c>
    </row>
    <row r="64" spans="2:8">
      <c r="B64" s="15">
        <v>77.97</v>
      </c>
      <c r="C64" s="15">
        <v>78.33</v>
      </c>
      <c r="D64" s="15">
        <v>76.63</v>
      </c>
      <c r="E64" s="15">
        <v>76.900000000000006</v>
      </c>
      <c r="F64" s="15">
        <v>10504560</v>
      </c>
      <c r="G64" s="15" t="s">
        <v>423</v>
      </c>
      <c r="H64" s="16">
        <f t="shared" si="0"/>
        <v>1.3914174252275702E-2</v>
      </c>
    </row>
    <row r="65" spans="2:8">
      <c r="B65" s="15">
        <v>76.59</v>
      </c>
      <c r="C65" s="15">
        <v>76.924999999999997</v>
      </c>
      <c r="D65" s="15">
        <v>75.73</v>
      </c>
      <c r="E65" s="15">
        <v>76.37</v>
      </c>
      <c r="F65" s="15">
        <v>9958597</v>
      </c>
      <c r="G65" s="15" t="s">
        <v>422</v>
      </c>
      <c r="H65" s="16">
        <f t="shared" si="0"/>
        <v>2.8807123215921493E-3</v>
      </c>
    </row>
    <row r="66" spans="2:8">
      <c r="B66" s="15">
        <v>76.27</v>
      </c>
      <c r="C66" s="15">
        <v>76.849999999999994</v>
      </c>
      <c r="D66" s="15">
        <v>75.3</v>
      </c>
      <c r="E66" s="15">
        <v>75.42</v>
      </c>
      <c r="F66" s="15">
        <v>11782529</v>
      </c>
      <c r="G66" s="15" t="s">
        <v>421</v>
      </c>
      <c r="H66" s="16">
        <f t="shared" si="0"/>
        <v>1.1270220100769057E-2</v>
      </c>
    </row>
    <row r="67" spans="2:8">
      <c r="B67" s="15">
        <v>76.209999999999994</v>
      </c>
      <c r="C67" s="15">
        <v>77.849999999999994</v>
      </c>
      <c r="D67" s="15">
        <v>76.040000000000006</v>
      </c>
      <c r="E67" s="15">
        <v>77.814999999999998</v>
      </c>
      <c r="F67" s="15">
        <v>15769395</v>
      </c>
      <c r="G67" s="15" t="s">
        <v>420</v>
      </c>
      <c r="H67" s="16">
        <f t="shared" si="0"/>
        <v>-2.0625843346398609E-2</v>
      </c>
    </row>
    <row r="68" spans="2:8">
      <c r="B68" s="15">
        <v>78.239999999999995</v>
      </c>
      <c r="C68" s="15">
        <v>78.92</v>
      </c>
      <c r="D68" s="15">
        <v>77.61</v>
      </c>
      <c r="E68" s="15">
        <v>78.16</v>
      </c>
      <c r="F68" s="15">
        <v>11815591</v>
      </c>
      <c r="G68" s="15" t="s">
        <v>419</v>
      </c>
      <c r="H68" s="16">
        <f t="shared" si="0"/>
        <v>1.0235414534287557E-3</v>
      </c>
    </row>
    <row r="69" spans="2:8">
      <c r="B69" s="15">
        <v>77.31</v>
      </c>
      <c r="C69" s="15">
        <v>79.489999999999995</v>
      </c>
      <c r="D69" s="15">
        <v>77.23</v>
      </c>
      <c r="E69" s="15">
        <v>79</v>
      </c>
      <c r="F69" s="15">
        <v>13597269</v>
      </c>
      <c r="G69" s="15" t="s">
        <v>418</v>
      </c>
      <c r="H69" s="16">
        <f t="shared" si="0"/>
        <v>-2.1392405063291098E-2</v>
      </c>
    </row>
    <row r="70" spans="2:8">
      <c r="B70" s="15">
        <v>78.569999999999993</v>
      </c>
      <c r="C70" s="15">
        <v>79.739999999999995</v>
      </c>
      <c r="D70" s="15">
        <v>78.11</v>
      </c>
      <c r="E70" s="15">
        <v>79.680000000000007</v>
      </c>
      <c r="F70" s="15">
        <v>14440462</v>
      </c>
      <c r="G70" s="15" t="s">
        <v>417</v>
      </c>
      <c r="H70" s="16">
        <f t="shared" si="0"/>
        <v>-1.3930722891566383E-2</v>
      </c>
    </row>
    <row r="71" spans="2:8">
      <c r="B71" s="15">
        <v>79.2</v>
      </c>
      <c r="C71" s="15">
        <v>79.5</v>
      </c>
      <c r="D71" s="15">
        <v>77.67</v>
      </c>
      <c r="E71" s="15">
        <v>78.209999999999994</v>
      </c>
      <c r="F71" s="15">
        <v>23646046</v>
      </c>
      <c r="G71" s="15" t="s">
        <v>416</v>
      </c>
      <c r="H71" s="16">
        <f t="shared" si="0"/>
        <v>1.2658227848101333E-2</v>
      </c>
    </row>
    <row r="72" spans="2:8">
      <c r="B72" s="15">
        <v>77.724999999999994</v>
      </c>
      <c r="C72" s="15">
        <v>82.69</v>
      </c>
      <c r="D72" s="15">
        <v>77.38</v>
      </c>
      <c r="E72" s="15">
        <v>82.26</v>
      </c>
      <c r="F72" s="15">
        <v>58801889</v>
      </c>
      <c r="G72" s="15" t="s">
        <v>415</v>
      </c>
      <c r="H72" s="16">
        <f t="shared" si="0"/>
        <v>-5.5130075370775744E-2</v>
      </c>
    </row>
    <row r="73" spans="2:8">
      <c r="B73" s="15">
        <v>89.51</v>
      </c>
      <c r="C73" s="15">
        <v>89.71</v>
      </c>
      <c r="D73" s="15">
        <v>86</v>
      </c>
      <c r="E73" s="15">
        <v>86.5</v>
      </c>
      <c r="F73" s="15">
        <v>11215041</v>
      </c>
      <c r="G73" s="15" t="s">
        <v>414</v>
      </c>
      <c r="H73" s="16">
        <f t="shared" si="0"/>
        <v>3.4797687861271687E-2</v>
      </c>
    </row>
    <row r="74" spans="2:8">
      <c r="B74" s="15">
        <v>88.58</v>
      </c>
      <c r="C74" s="15">
        <v>90.4</v>
      </c>
      <c r="D74" s="15">
        <v>88.54</v>
      </c>
      <c r="E74" s="15">
        <v>89.57</v>
      </c>
      <c r="F74" s="15">
        <v>8338934</v>
      </c>
      <c r="G74" s="15" t="s">
        <v>413</v>
      </c>
      <c r="H74" s="16">
        <f t="shared" si="0"/>
        <v>-1.1052807859774472E-2</v>
      </c>
    </row>
    <row r="75" spans="2:8">
      <c r="B75" s="15">
        <v>89.57</v>
      </c>
      <c r="C75" s="15">
        <v>90.924999999999997</v>
      </c>
      <c r="D75" s="15">
        <v>88.84</v>
      </c>
      <c r="E75" s="15">
        <v>89.51</v>
      </c>
      <c r="F75" s="15">
        <v>7708468</v>
      </c>
      <c r="G75" s="15" t="s">
        <v>412</v>
      </c>
      <c r="H75" s="16">
        <f t="shared" si="0"/>
        <v>6.7031616579149578E-4</v>
      </c>
    </row>
    <row r="76" spans="2:8">
      <c r="B76" s="15">
        <v>88.76</v>
      </c>
      <c r="C76" s="15">
        <v>89.415000000000006</v>
      </c>
      <c r="D76" s="15">
        <v>88.17</v>
      </c>
      <c r="E76" s="15">
        <v>88.17</v>
      </c>
      <c r="F76" s="15">
        <v>5234468</v>
      </c>
      <c r="G76" s="15" t="s">
        <v>411</v>
      </c>
      <c r="H76" s="16">
        <f t="shared" si="0"/>
        <v>6.6916184643304177E-3</v>
      </c>
    </row>
    <row r="77" spans="2:8">
      <c r="B77" s="15">
        <v>88.19</v>
      </c>
      <c r="C77" s="15">
        <v>89.83</v>
      </c>
      <c r="D77" s="15">
        <v>86.88</v>
      </c>
      <c r="E77" s="15">
        <v>89.76</v>
      </c>
      <c r="F77" s="15">
        <v>8665994</v>
      </c>
      <c r="G77" s="15" t="s">
        <v>410</v>
      </c>
      <c r="H77" s="16">
        <f t="shared" si="0"/>
        <v>-1.74910873440286E-2</v>
      </c>
    </row>
    <row r="78" spans="2:8">
      <c r="B78" s="15">
        <v>90.24</v>
      </c>
      <c r="C78" s="15">
        <v>90.29</v>
      </c>
      <c r="D78" s="15">
        <v>87.39</v>
      </c>
      <c r="E78" s="15">
        <v>87.545000000000002</v>
      </c>
      <c r="F78" s="15">
        <v>6923826</v>
      </c>
      <c r="G78" s="15" t="s">
        <v>409</v>
      </c>
      <c r="H78" s="16">
        <f t="shared" si="0"/>
        <v>3.0784168142098167E-2</v>
      </c>
    </row>
    <row r="79" spans="2:8">
      <c r="B79" s="15">
        <v>89.11</v>
      </c>
      <c r="C79" s="15">
        <v>90.024000000000001</v>
      </c>
      <c r="D79" s="15">
        <v>88.84</v>
      </c>
      <c r="E79" s="15">
        <v>89.59</v>
      </c>
      <c r="F79" s="15">
        <v>6004674</v>
      </c>
      <c r="G79" s="15" t="s">
        <v>408</v>
      </c>
      <c r="H79" s="16">
        <f t="shared" si="0"/>
        <v>-5.3577408192878595E-3</v>
      </c>
    </row>
    <row r="80" spans="2:8">
      <c r="B80" s="15">
        <v>89.73</v>
      </c>
      <c r="C80" s="15">
        <v>89.78</v>
      </c>
      <c r="D80" s="15">
        <v>88.24</v>
      </c>
      <c r="E80" s="15">
        <v>89.76</v>
      </c>
      <c r="F80" s="15">
        <v>7540610</v>
      </c>
      <c r="G80" s="15" t="s">
        <v>407</v>
      </c>
      <c r="H80" s="16">
        <f t="shared" si="0"/>
        <v>-3.3422459893051037E-4</v>
      </c>
    </row>
    <row r="81" spans="2:8">
      <c r="B81" s="15">
        <v>89.85</v>
      </c>
      <c r="C81" s="15">
        <v>90.37</v>
      </c>
      <c r="D81" s="15">
        <v>89.139799999999994</v>
      </c>
      <c r="E81" s="15">
        <v>90</v>
      </c>
      <c r="F81" s="15">
        <v>7345739</v>
      </c>
      <c r="G81" s="15" t="s">
        <v>406</v>
      </c>
      <c r="H81" s="16">
        <f t="shared" si="0"/>
        <v>-1.6666666666667052E-3</v>
      </c>
    </row>
    <row r="82" spans="2:8">
      <c r="B82" s="15">
        <v>89.77</v>
      </c>
      <c r="C82" s="15">
        <v>92.21</v>
      </c>
      <c r="D82" s="15">
        <v>89.39</v>
      </c>
      <c r="E82" s="15">
        <v>92.21</v>
      </c>
      <c r="F82" s="15">
        <v>12629343</v>
      </c>
      <c r="G82" s="15" t="s">
        <v>405</v>
      </c>
      <c r="H82" s="16">
        <f t="shared" si="0"/>
        <v>-2.646133824964747E-2</v>
      </c>
    </row>
    <row r="83" spans="2:8">
      <c r="B83" s="15">
        <v>91.81</v>
      </c>
      <c r="C83" s="15">
        <v>93.245000000000005</v>
      </c>
      <c r="D83" s="15">
        <v>90.004999999999995</v>
      </c>
      <c r="E83" s="15">
        <v>90.76</v>
      </c>
      <c r="F83" s="15">
        <v>16499703</v>
      </c>
      <c r="G83" s="15" t="s">
        <v>404</v>
      </c>
      <c r="H83" s="16">
        <f t="shared" si="0"/>
        <v>1.1568973115910097E-2</v>
      </c>
    </row>
    <row r="84" spans="2:8">
      <c r="B84" s="15">
        <v>88.92</v>
      </c>
      <c r="C84" s="15">
        <v>90.373000000000005</v>
      </c>
      <c r="D84" s="15">
        <v>88.85</v>
      </c>
      <c r="E84" s="15">
        <v>89.96</v>
      </c>
      <c r="F84" s="15">
        <v>5816351</v>
      </c>
      <c r="G84" s="15" t="s">
        <v>403</v>
      </c>
      <c r="H84" s="16">
        <f t="shared" si="0"/>
        <v>-1.156069364161838E-2</v>
      </c>
    </row>
    <row r="85" spans="2:8">
      <c r="B85" s="15">
        <v>89.64</v>
      </c>
      <c r="C85" s="15">
        <v>90.19</v>
      </c>
      <c r="D85" s="15">
        <v>88.47</v>
      </c>
      <c r="E85" s="15">
        <v>88.72</v>
      </c>
      <c r="F85" s="15">
        <v>10024081</v>
      </c>
      <c r="G85" s="15" t="s">
        <v>402</v>
      </c>
      <c r="H85" s="16">
        <f t="shared" si="0"/>
        <v>1.0369702434625871E-2</v>
      </c>
    </row>
    <row r="86" spans="2:8">
      <c r="B86" s="15">
        <v>87.18</v>
      </c>
      <c r="C86" s="15">
        <v>87.4</v>
      </c>
      <c r="D86" s="15">
        <v>84.75</v>
      </c>
      <c r="E86" s="15">
        <v>85.29</v>
      </c>
      <c r="F86" s="15">
        <v>8958442</v>
      </c>
      <c r="G86" s="15" t="s">
        <v>401</v>
      </c>
      <c r="H86" s="16">
        <f t="shared" si="0"/>
        <v>2.2159690467815629E-2</v>
      </c>
    </row>
    <row r="87" spans="2:8">
      <c r="B87" s="15">
        <v>83.99</v>
      </c>
      <c r="C87" s="15">
        <v>84.12</v>
      </c>
      <c r="D87" s="15">
        <v>81.790000000000006</v>
      </c>
      <c r="E87" s="15">
        <v>82.19</v>
      </c>
      <c r="F87" s="15">
        <v>7402380</v>
      </c>
      <c r="G87" s="15" t="s">
        <v>400</v>
      </c>
      <c r="H87" s="16">
        <f t="shared" si="0"/>
        <v>2.1900474510281098E-2</v>
      </c>
    </row>
    <row r="88" spans="2:8">
      <c r="B88" s="15">
        <v>83.36</v>
      </c>
      <c r="C88" s="15">
        <v>87.09</v>
      </c>
      <c r="D88" s="15">
        <v>82.24</v>
      </c>
      <c r="E88" s="15">
        <v>86.79</v>
      </c>
      <c r="F88" s="15">
        <v>11341216</v>
      </c>
      <c r="G88" s="15" t="s">
        <v>399</v>
      </c>
      <c r="H88" s="16">
        <f t="shared" si="0"/>
        <v>-3.9520682106233496E-2</v>
      </c>
    </row>
    <row r="89" spans="2:8">
      <c r="B89" s="15">
        <v>87.94</v>
      </c>
      <c r="C89" s="15">
        <v>88.23</v>
      </c>
      <c r="D89" s="15">
        <v>86.79</v>
      </c>
      <c r="E89" s="15">
        <v>88.06</v>
      </c>
      <c r="F89" s="15">
        <v>7400030</v>
      </c>
      <c r="G89" s="15" t="s">
        <v>398</v>
      </c>
      <c r="H89" s="16">
        <f t="shared" si="0"/>
        <v>-1.3627072450602684E-3</v>
      </c>
    </row>
    <row r="90" spans="2:8">
      <c r="B90" s="15">
        <v>87.97</v>
      </c>
      <c r="C90" s="15">
        <v>89.97</v>
      </c>
      <c r="D90" s="15">
        <v>87.6</v>
      </c>
      <c r="E90" s="15">
        <v>89.53</v>
      </c>
      <c r="F90" s="15">
        <v>6080796</v>
      </c>
      <c r="G90" s="15" t="s">
        <v>397</v>
      </c>
      <c r="H90" s="16">
        <f t="shared" si="0"/>
        <v>-1.7424327041215215E-2</v>
      </c>
    </row>
    <row r="91" spans="2:8">
      <c r="B91" s="15">
        <v>89.53</v>
      </c>
      <c r="C91" s="15">
        <v>90.09</v>
      </c>
      <c r="D91" s="15">
        <v>87.72</v>
      </c>
      <c r="E91" s="15">
        <v>88.02</v>
      </c>
      <c r="F91" s="15">
        <v>7869184</v>
      </c>
      <c r="G91" s="15" t="s">
        <v>396</v>
      </c>
      <c r="H91" s="16">
        <f t="shared" si="0"/>
        <v>1.7155192001817809E-2</v>
      </c>
    </row>
    <row r="92" spans="2:8">
      <c r="B92" s="15">
        <v>87.6</v>
      </c>
      <c r="C92" s="15">
        <v>87.7</v>
      </c>
      <c r="D92" s="15">
        <v>86.31</v>
      </c>
      <c r="E92" s="15">
        <v>86.73</v>
      </c>
      <c r="F92" s="15">
        <v>6136427</v>
      </c>
      <c r="G92" s="15" t="s">
        <v>395</v>
      </c>
      <c r="H92" s="16">
        <f t="shared" si="0"/>
        <v>1.0031131096506218E-2</v>
      </c>
    </row>
    <row r="93" spans="2:8">
      <c r="B93" s="15">
        <v>86.18</v>
      </c>
      <c r="C93" s="15">
        <v>86.94</v>
      </c>
      <c r="D93" s="15">
        <v>84.82</v>
      </c>
      <c r="E93" s="15">
        <v>85.834999999999994</v>
      </c>
      <c r="F93" s="15">
        <v>6227776</v>
      </c>
      <c r="G93" s="15" t="s">
        <v>394</v>
      </c>
      <c r="H93" s="16">
        <f t="shared" si="0"/>
        <v>4.0193394303025265E-3</v>
      </c>
    </row>
    <row r="94" spans="2:8">
      <c r="B94" s="15">
        <v>85.35</v>
      </c>
      <c r="C94" s="15">
        <v>85.9</v>
      </c>
      <c r="D94" s="15">
        <v>85.05</v>
      </c>
      <c r="E94" s="15">
        <v>85.734999999999999</v>
      </c>
      <c r="F94" s="15">
        <v>4533202</v>
      </c>
      <c r="G94" s="15" t="s">
        <v>393</v>
      </c>
      <c r="H94" s="16">
        <f t="shared" si="0"/>
        <v>-4.490581442817998E-3</v>
      </c>
    </row>
    <row r="95" spans="2:8">
      <c r="B95" s="15">
        <v>85.43</v>
      </c>
      <c r="C95" s="15">
        <v>86.067499999999995</v>
      </c>
      <c r="D95" s="15">
        <v>84.66</v>
      </c>
      <c r="E95" s="15">
        <v>85.69</v>
      </c>
      <c r="F95" s="15">
        <v>5855039</v>
      </c>
      <c r="G95" s="15" t="s">
        <v>392</v>
      </c>
      <c r="H95" s="16">
        <f t="shared" si="0"/>
        <v>-3.0341930213559909E-3</v>
      </c>
    </row>
    <row r="96" spans="2:8">
      <c r="B96" s="15">
        <v>86.86</v>
      </c>
      <c r="C96" s="15">
        <v>87.655000000000001</v>
      </c>
      <c r="D96" s="15">
        <v>86.202699999999993</v>
      </c>
      <c r="E96" s="15">
        <v>87.36</v>
      </c>
      <c r="F96" s="15">
        <v>5124993</v>
      </c>
      <c r="G96" s="15" t="s">
        <v>391</v>
      </c>
      <c r="H96" s="16">
        <f t="shared" si="0"/>
        <v>-5.7234432234432031E-3</v>
      </c>
    </row>
    <row r="97" spans="2:8">
      <c r="B97" s="15">
        <v>88.14</v>
      </c>
      <c r="C97" s="15">
        <v>88.73</v>
      </c>
      <c r="D97" s="15">
        <v>87.26</v>
      </c>
      <c r="E97" s="15">
        <v>87.6</v>
      </c>
      <c r="F97" s="15">
        <v>4802170</v>
      </c>
      <c r="G97" s="15" t="s">
        <v>390</v>
      </c>
      <c r="H97" s="16">
        <f t="shared" si="0"/>
        <v>6.164383561643838E-3</v>
      </c>
    </row>
    <row r="98" spans="2:8">
      <c r="B98" s="15">
        <v>88.25</v>
      </c>
      <c r="C98" s="15">
        <v>88.33</v>
      </c>
      <c r="D98" s="15">
        <v>86.59</v>
      </c>
      <c r="E98" s="15">
        <v>86.9</v>
      </c>
      <c r="F98" s="15">
        <v>3276344</v>
      </c>
      <c r="G98" s="15" t="s">
        <v>389</v>
      </c>
      <c r="H98" s="16">
        <f t="shared" si="0"/>
        <v>1.5535097813578869E-2</v>
      </c>
    </row>
    <row r="99" spans="2:8">
      <c r="B99" s="15">
        <v>86.9</v>
      </c>
      <c r="C99" s="15">
        <v>87.24</v>
      </c>
      <c r="D99" s="15">
        <v>85.97</v>
      </c>
      <c r="E99" s="15">
        <v>86.47</v>
      </c>
      <c r="F99" s="15">
        <v>5633131</v>
      </c>
      <c r="G99" s="15" t="s">
        <v>388</v>
      </c>
      <c r="H99" s="16">
        <f t="shared" si="0"/>
        <v>4.9728229443739558E-3</v>
      </c>
    </row>
    <row r="100" spans="2:8">
      <c r="B100" s="15">
        <v>87.13</v>
      </c>
      <c r="C100" s="15">
        <v>88.23</v>
      </c>
      <c r="D100" s="15">
        <v>84.5</v>
      </c>
      <c r="E100" s="15">
        <v>84.91</v>
      </c>
      <c r="F100" s="15">
        <v>22052710</v>
      </c>
      <c r="G100" s="15" t="s">
        <v>387</v>
      </c>
      <c r="H100" s="16">
        <f t="shared" si="0"/>
        <v>2.6145330349782059E-2</v>
      </c>
    </row>
    <row r="101" spans="2:8">
      <c r="B101" s="15">
        <v>86.78</v>
      </c>
      <c r="C101" s="15">
        <v>88.42</v>
      </c>
      <c r="D101" s="15">
        <v>86.16</v>
      </c>
      <c r="E101" s="15">
        <v>86.28</v>
      </c>
      <c r="F101" s="15">
        <v>9522428</v>
      </c>
      <c r="G101" s="15" t="s">
        <v>386</v>
      </c>
      <c r="H101" s="16">
        <f t="shared" si="0"/>
        <v>5.7950857672692813E-3</v>
      </c>
    </row>
    <row r="102" spans="2:8">
      <c r="B102" s="15">
        <v>85.45</v>
      </c>
      <c r="C102" s="15">
        <v>91.09</v>
      </c>
      <c r="D102" s="15">
        <v>85.176400000000001</v>
      </c>
      <c r="E102" s="15">
        <v>90.694999999999993</v>
      </c>
      <c r="F102" s="15">
        <v>12583697</v>
      </c>
      <c r="G102" s="15" t="s">
        <v>385</v>
      </c>
      <c r="H102" s="16">
        <f t="shared" ref="H102:H165" si="1">B102/E102-1</f>
        <v>-5.7831192458239089E-2</v>
      </c>
    </row>
    <row r="103" spans="2:8">
      <c r="B103" s="15">
        <v>90.86</v>
      </c>
      <c r="C103" s="15">
        <v>92</v>
      </c>
      <c r="D103" s="15">
        <v>90.23</v>
      </c>
      <c r="E103" s="15">
        <v>90.9</v>
      </c>
      <c r="F103" s="15">
        <v>8395584</v>
      </c>
      <c r="G103" s="15" t="s">
        <v>384</v>
      </c>
      <c r="H103" s="16">
        <f t="shared" si="1"/>
        <v>-4.4004400440056379E-4</v>
      </c>
    </row>
    <row r="104" spans="2:8">
      <c r="B104" s="15">
        <v>91.3</v>
      </c>
      <c r="C104" s="15">
        <v>91.46</v>
      </c>
      <c r="D104" s="15">
        <v>89.52</v>
      </c>
      <c r="E104" s="15">
        <v>90.79</v>
      </c>
      <c r="F104" s="15">
        <v>7402470</v>
      </c>
      <c r="G104" s="15" t="s">
        <v>383</v>
      </c>
      <c r="H104" s="16">
        <f t="shared" si="1"/>
        <v>5.6173587399492853E-3</v>
      </c>
    </row>
    <row r="105" spans="2:8">
      <c r="B105" s="15">
        <v>91.02</v>
      </c>
      <c r="C105" s="15">
        <v>91.185000000000002</v>
      </c>
      <c r="D105" s="15">
        <v>89.82</v>
      </c>
      <c r="E105" s="15">
        <v>90.42</v>
      </c>
      <c r="F105" s="15">
        <v>8358050</v>
      </c>
      <c r="G105" s="15" t="s">
        <v>382</v>
      </c>
      <c r="H105" s="16">
        <f t="shared" si="1"/>
        <v>6.6357000663568311E-3</v>
      </c>
    </row>
    <row r="106" spans="2:8">
      <c r="B106" s="15">
        <v>89.4</v>
      </c>
      <c r="C106" s="15">
        <v>91.17</v>
      </c>
      <c r="D106" s="15">
        <v>89.334999999999994</v>
      </c>
      <c r="E106" s="15">
        <v>90.43</v>
      </c>
      <c r="F106" s="15">
        <v>4711138</v>
      </c>
      <c r="G106" s="15" t="s">
        <v>381</v>
      </c>
      <c r="H106" s="16">
        <f t="shared" si="1"/>
        <v>-1.1390025434037443E-2</v>
      </c>
    </row>
    <row r="107" spans="2:8">
      <c r="B107" s="15">
        <v>90.75</v>
      </c>
      <c r="C107" s="15">
        <v>91.03</v>
      </c>
      <c r="D107" s="15">
        <v>87.84</v>
      </c>
      <c r="E107" s="15">
        <v>88.62</v>
      </c>
      <c r="F107" s="15">
        <v>6657199</v>
      </c>
      <c r="G107" s="15" t="s">
        <v>380</v>
      </c>
      <c r="H107" s="16">
        <f t="shared" si="1"/>
        <v>2.4035206499661399E-2</v>
      </c>
    </row>
    <row r="108" spans="2:8">
      <c r="B108" s="15">
        <v>88.76</v>
      </c>
      <c r="C108" s="15">
        <v>90</v>
      </c>
      <c r="D108" s="15">
        <v>88.375</v>
      </c>
      <c r="E108" s="15">
        <v>89.94</v>
      </c>
      <c r="F108" s="15">
        <v>6697466</v>
      </c>
      <c r="G108" s="15" t="s">
        <v>379</v>
      </c>
      <c r="H108" s="16">
        <f t="shared" si="1"/>
        <v>-1.3119857682899583E-2</v>
      </c>
    </row>
    <row r="109" spans="2:8">
      <c r="B109" s="15">
        <v>90</v>
      </c>
      <c r="C109" s="15">
        <v>93.66</v>
      </c>
      <c r="D109" s="15">
        <v>89.73</v>
      </c>
      <c r="E109" s="15">
        <v>92.25</v>
      </c>
      <c r="F109" s="15">
        <v>10714196</v>
      </c>
      <c r="G109" s="15" t="s">
        <v>378</v>
      </c>
      <c r="H109" s="16">
        <f t="shared" si="1"/>
        <v>-2.4390243902439046E-2</v>
      </c>
    </row>
    <row r="110" spans="2:8">
      <c r="B110" s="15">
        <v>89.88</v>
      </c>
      <c r="C110" s="15">
        <v>90.04</v>
      </c>
      <c r="D110" s="15">
        <v>88.545000000000002</v>
      </c>
      <c r="E110" s="15">
        <v>89.49</v>
      </c>
      <c r="F110" s="15">
        <v>6955544</v>
      </c>
      <c r="G110" s="15" t="s">
        <v>377</v>
      </c>
      <c r="H110" s="16">
        <f t="shared" si="1"/>
        <v>4.3580288300368863E-3</v>
      </c>
    </row>
    <row r="111" spans="2:8">
      <c r="B111" s="15">
        <v>89.045000000000002</v>
      </c>
      <c r="C111" s="15">
        <v>90.27</v>
      </c>
      <c r="D111" s="15">
        <v>88.27</v>
      </c>
      <c r="E111" s="15">
        <v>89.59</v>
      </c>
      <c r="F111" s="15">
        <v>9025551</v>
      </c>
      <c r="G111" s="15" t="s">
        <v>376</v>
      </c>
      <c r="H111" s="16">
        <f t="shared" si="1"/>
        <v>-6.0832682218997514E-3</v>
      </c>
    </row>
    <row r="112" spans="2:8">
      <c r="B112" s="15">
        <v>89.33</v>
      </c>
      <c r="C112" s="15">
        <v>90.14</v>
      </c>
      <c r="D112" s="15">
        <v>85.24</v>
      </c>
      <c r="E112" s="15">
        <v>85.68</v>
      </c>
      <c r="F112" s="15">
        <v>15535961</v>
      </c>
      <c r="G112" s="15" t="s">
        <v>375</v>
      </c>
      <c r="H112" s="16">
        <f t="shared" si="1"/>
        <v>4.2600373482726273E-2</v>
      </c>
    </row>
    <row r="113" spans="2:8">
      <c r="B113" s="15">
        <v>85.14</v>
      </c>
      <c r="C113" s="15">
        <v>86.4</v>
      </c>
      <c r="D113" s="15">
        <v>84.614999999999995</v>
      </c>
      <c r="E113" s="15">
        <v>86.4</v>
      </c>
      <c r="F113" s="15">
        <v>8189778</v>
      </c>
      <c r="G113" s="15" t="s">
        <v>374</v>
      </c>
      <c r="H113" s="16">
        <f t="shared" si="1"/>
        <v>-1.4583333333333393E-2</v>
      </c>
    </row>
    <row r="114" spans="2:8">
      <c r="B114" s="15">
        <v>86.53</v>
      </c>
      <c r="C114" s="15">
        <v>87.47</v>
      </c>
      <c r="D114" s="15">
        <v>85.84</v>
      </c>
      <c r="E114" s="15">
        <v>86.55</v>
      </c>
      <c r="F114" s="15">
        <v>7273536</v>
      </c>
      <c r="G114" s="15" t="s">
        <v>373</v>
      </c>
      <c r="H114" s="16">
        <f t="shared" si="1"/>
        <v>-2.3108030040430716E-4</v>
      </c>
    </row>
    <row r="115" spans="2:8">
      <c r="B115" s="15">
        <v>86.77</v>
      </c>
      <c r="C115" s="15">
        <v>87.08</v>
      </c>
      <c r="D115" s="15">
        <v>85.82</v>
      </c>
      <c r="E115" s="15">
        <v>86.39</v>
      </c>
      <c r="F115" s="15">
        <v>4469740</v>
      </c>
      <c r="G115" s="15" t="s">
        <v>372</v>
      </c>
      <c r="H115" s="16">
        <f t="shared" si="1"/>
        <v>4.3986572519967293E-3</v>
      </c>
    </row>
    <row r="116" spans="2:8">
      <c r="B116" s="15">
        <v>86.57</v>
      </c>
      <c r="C116" s="15">
        <v>87.66</v>
      </c>
      <c r="D116" s="15">
        <v>86.27</v>
      </c>
      <c r="E116" s="15">
        <v>87.55</v>
      </c>
      <c r="F116" s="15">
        <v>5477894</v>
      </c>
      <c r="G116" s="15" t="s">
        <v>371</v>
      </c>
      <c r="H116" s="16">
        <f t="shared" si="1"/>
        <v>-1.1193603655054285E-2</v>
      </c>
    </row>
    <row r="117" spans="2:8">
      <c r="B117" s="15">
        <v>86.94</v>
      </c>
      <c r="C117" s="15">
        <v>88.18</v>
      </c>
      <c r="D117" s="15">
        <v>86.9</v>
      </c>
      <c r="E117" s="15">
        <v>87.4</v>
      </c>
      <c r="F117" s="15">
        <v>5610415</v>
      </c>
      <c r="G117" s="15" t="s">
        <v>370</v>
      </c>
      <c r="H117" s="16">
        <f t="shared" si="1"/>
        <v>-5.2631578947369695E-3</v>
      </c>
    </row>
    <row r="118" spans="2:8">
      <c r="B118" s="15">
        <v>87.77</v>
      </c>
      <c r="C118" s="15">
        <v>88.74</v>
      </c>
      <c r="D118" s="15">
        <v>86.97</v>
      </c>
      <c r="E118" s="15">
        <v>87.99</v>
      </c>
      <c r="F118" s="15">
        <v>12998272</v>
      </c>
      <c r="G118" s="15" t="s">
        <v>369</v>
      </c>
      <c r="H118" s="16">
        <f t="shared" si="1"/>
        <v>-2.5002841231958062E-3</v>
      </c>
    </row>
    <row r="119" spans="2:8">
      <c r="B119" s="15">
        <v>86.77</v>
      </c>
      <c r="C119" s="15">
        <v>86.8</v>
      </c>
      <c r="D119" s="15">
        <v>84.57</v>
      </c>
      <c r="E119" s="15">
        <v>84.68</v>
      </c>
      <c r="F119" s="15">
        <v>6785992</v>
      </c>
      <c r="G119" s="15" t="s">
        <v>368</v>
      </c>
      <c r="H119" s="16">
        <f t="shared" si="1"/>
        <v>2.4681152574397514E-2</v>
      </c>
    </row>
    <row r="120" spans="2:8">
      <c r="B120" s="15">
        <v>84.82</v>
      </c>
      <c r="C120" s="15">
        <v>85.49</v>
      </c>
      <c r="D120" s="15">
        <v>84.21</v>
      </c>
      <c r="E120" s="15">
        <v>85.16</v>
      </c>
      <c r="F120" s="15">
        <v>7250051</v>
      </c>
      <c r="G120" s="15" t="s">
        <v>367</v>
      </c>
      <c r="H120" s="16">
        <f t="shared" si="1"/>
        <v>-3.9924847346172188E-3</v>
      </c>
    </row>
    <row r="121" spans="2:8">
      <c r="B121" s="15">
        <v>84.74</v>
      </c>
      <c r="C121" s="15">
        <v>85.6</v>
      </c>
      <c r="D121" s="15">
        <v>84.24</v>
      </c>
      <c r="E121" s="15">
        <v>84.51</v>
      </c>
      <c r="F121" s="15">
        <v>6076348</v>
      </c>
      <c r="G121" s="15" t="s">
        <v>366</v>
      </c>
      <c r="H121" s="16">
        <f t="shared" si="1"/>
        <v>2.7215714116670675E-3</v>
      </c>
    </row>
    <row r="122" spans="2:8">
      <c r="B122" s="15">
        <v>84.09</v>
      </c>
      <c r="C122" s="15">
        <v>84.234999999999999</v>
      </c>
      <c r="D122" s="15">
        <v>82.5</v>
      </c>
      <c r="E122" s="15">
        <v>82.99</v>
      </c>
      <c r="F122" s="15">
        <v>12442731</v>
      </c>
      <c r="G122" s="15" t="s">
        <v>365</v>
      </c>
      <c r="H122" s="16">
        <f t="shared" si="1"/>
        <v>1.3254608989034855E-2</v>
      </c>
    </row>
    <row r="123" spans="2:8">
      <c r="B123" s="15">
        <v>84.67</v>
      </c>
      <c r="C123" s="15">
        <v>86.84</v>
      </c>
      <c r="D123" s="15">
        <v>84.575000000000003</v>
      </c>
      <c r="E123" s="15">
        <v>86.055000000000007</v>
      </c>
      <c r="F123" s="15">
        <v>10152571</v>
      </c>
      <c r="G123" s="15" t="s">
        <v>364</v>
      </c>
      <c r="H123" s="16">
        <f t="shared" si="1"/>
        <v>-1.6094358259252872E-2</v>
      </c>
    </row>
    <row r="124" spans="2:8">
      <c r="B124" s="15">
        <v>85.83</v>
      </c>
      <c r="C124" s="15">
        <v>86.2</v>
      </c>
      <c r="D124" s="15">
        <v>85.101399999999998</v>
      </c>
      <c r="E124" s="15">
        <v>85.35</v>
      </c>
      <c r="F124" s="15">
        <v>8083167</v>
      </c>
      <c r="G124" s="15" t="s">
        <v>363</v>
      </c>
      <c r="H124" s="16">
        <f t="shared" si="1"/>
        <v>5.6239015817223237E-3</v>
      </c>
    </row>
    <row r="125" spans="2:8">
      <c r="B125" s="15">
        <v>85.79</v>
      </c>
      <c r="C125" s="15">
        <v>87.472499999999997</v>
      </c>
      <c r="D125" s="15">
        <v>85.474999999999994</v>
      </c>
      <c r="E125" s="15">
        <v>87.06</v>
      </c>
      <c r="F125" s="15">
        <v>8468252</v>
      </c>
      <c r="G125" s="15" t="s">
        <v>362</v>
      </c>
      <c r="H125" s="16">
        <f t="shared" si="1"/>
        <v>-1.4587640707557914E-2</v>
      </c>
    </row>
    <row r="126" spans="2:8">
      <c r="B126" s="15">
        <v>87.31</v>
      </c>
      <c r="C126" s="15">
        <v>87.9</v>
      </c>
      <c r="D126" s="15">
        <v>86.08</v>
      </c>
      <c r="E126" s="15">
        <v>86.8</v>
      </c>
      <c r="F126" s="15">
        <v>9256571</v>
      </c>
      <c r="G126" s="15" t="s">
        <v>361</v>
      </c>
      <c r="H126" s="16">
        <f t="shared" si="1"/>
        <v>5.8755760368665033E-3</v>
      </c>
    </row>
    <row r="127" spans="2:8">
      <c r="B127" s="15">
        <v>86.4</v>
      </c>
      <c r="C127" s="15">
        <v>87.92</v>
      </c>
      <c r="D127" s="15">
        <v>85.674599999999998</v>
      </c>
      <c r="E127" s="15">
        <v>86.88</v>
      </c>
      <c r="F127" s="15">
        <v>10036908</v>
      </c>
      <c r="G127" s="15" t="s">
        <v>360</v>
      </c>
      <c r="H127" s="16">
        <f t="shared" si="1"/>
        <v>-5.5248618784529135E-3</v>
      </c>
    </row>
    <row r="128" spans="2:8">
      <c r="B128" s="15">
        <v>86.94</v>
      </c>
      <c r="C128" s="15">
        <v>87.47</v>
      </c>
      <c r="D128" s="15">
        <v>83.38</v>
      </c>
      <c r="E128" s="15">
        <v>84.07</v>
      </c>
      <c r="F128" s="15">
        <v>15459383</v>
      </c>
      <c r="G128" s="15" t="s">
        <v>359</v>
      </c>
      <c r="H128" s="16">
        <f t="shared" si="1"/>
        <v>3.4138218151540389E-2</v>
      </c>
    </row>
    <row r="129" spans="2:8">
      <c r="B129" s="15">
        <v>83.01</v>
      </c>
      <c r="C129" s="15">
        <v>83.07</v>
      </c>
      <c r="D129" s="15">
        <v>81.349999999999994</v>
      </c>
      <c r="E129" s="15">
        <v>81.459999999999994</v>
      </c>
      <c r="F129" s="15">
        <v>8144180</v>
      </c>
      <c r="G129" s="15" t="s">
        <v>358</v>
      </c>
      <c r="H129" s="16">
        <f t="shared" si="1"/>
        <v>1.9027743677878961E-2</v>
      </c>
    </row>
    <row r="130" spans="2:8">
      <c r="B130" s="15">
        <v>81.349999999999994</v>
      </c>
      <c r="C130" s="15">
        <v>82.74</v>
      </c>
      <c r="D130" s="15">
        <v>81.13</v>
      </c>
      <c r="E130" s="15">
        <v>81.694999999999993</v>
      </c>
      <c r="F130" s="15">
        <v>7994293</v>
      </c>
      <c r="G130" s="15" t="s">
        <v>357</v>
      </c>
      <c r="H130" s="16">
        <f t="shared" si="1"/>
        <v>-4.2230246649122005E-3</v>
      </c>
    </row>
    <row r="131" spans="2:8">
      <c r="B131" s="15">
        <v>81.41</v>
      </c>
      <c r="C131" s="15">
        <v>81.69</v>
      </c>
      <c r="D131" s="15">
        <v>79.995000000000005</v>
      </c>
      <c r="E131" s="15">
        <v>81.344999999999999</v>
      </c>
      <c r="F131" s="15">
        <v>11546541</v>
      </c>
      <c r="G131" s="15" t="s">
        <v>356</v>
      </c>
      <c r="H131" s="16">
        <f t="shared" si="1"/>
        <v>7.9906570778787156E-4</v>
      </c>
    </row>
    <row r="132" spans="2:8">
      <c r="B132" s="15">
        <v>79.25</v>
      </c>
      <c r="C132" s="15">
        <v>79.41</v>
      </c>
      <c r="D132" s="15">
        <v>77.738</v>
      </c>
      <c r="E132" s="15">
        <v>77.738</v>
      </c>
      <c r="F132" s="15">
        <v>6573919</v>
      </c>
      <c r="G132" s="15" t="s">
        <v>355</v>
      </c>
      <c r="H132" s="16">
        <f t="shared" si="1"/>
        <v>1.944994725874083E-2</v>
      </c>
    </row>
    <row r="133" spans="2:8">
      <c r="B133" s="15">
        <v>78.13</v>
      </c>
      <c r="C133" s="15">
        <v>78.44</v>
      </c>
      <c r="D133" s="15">
        <v>77</v>
      </c>
      <c r="E133" s="15">
        <v>77.260000000000005</v>
      </c>
      <c r="F133" s="15">
        <v>10257036</v>
      </c>
      <c r="G133" s="15" t="s">
        <v>354</v>
      </c>
      <c r="H133" s="16">
        <f t="shared" si="1"/>
        <v>1.1260678229355392E-2</v>
      </c>
    </row>
    <row r="134" spans="2:8">
      <c r="B134" s="15">
        <v>77.25</v>
      </c>
      <c r="C134" s="15">
        <v>78.308899999999994</v>
      </c>
      <c r="D134" s="15">
        <v>76.459999999999994</v>
      </c>
      <c r="E134" s="15">
        <v>77.864999999999995</v>
      </c>
      <c r="F134" s="15">
        <v>16473606</v>
      </c>
      <c r="G134" s="15" t="s">
        <v>353</v>
      </c>
      <c r="H134" s="16">
        <f t="shared" si="1"/>
        <v>-7.8982854941244129E-3</v>
      </c>
    </row>
    <row r="135" spans="2:8">
      <c r="B135" s="15">
        <v>79.3</v>
      </c>
      <c r="C135" s="15">
        <v>79.819999999999993</v>
      </c>
      <c r="D135" s="15">
        <v>78.3</v>
      </c>
      <c r="E135" s="15">
        <v>78.489999999999995</v>
      </c>
      <c r="F135" s="15">
        <v>13919255</v>
      </c>
      <c r="G135" s="15" t="s">
        <v>352</v>
      </c>
      <c r="H135" s="16">
        <f t="shared" si="1"/>
        <v>1.0319785959994832E-2</v>
      </c>
    </row>
    <row r="136" spans="2:8">
      <c r="B136" s="15">
        <v>78.22</v>
      </c>
      <c r="C136" s="15">
        <v>79.709999999999994</v>
      </c>
      <c r="D136" s="15">
        <v>77.989999999999995</v>
      </c>
      <c r="E136" s="15">
        <v>79.03</v>
      </c>
      <c r="F136" s="15">
        <v>14910497</v>
      </c>
      <c r="G136" s="15" t="s">
        <v>351</v>
      </c>
      <c r="H136" s="16">
        <f t="shared" si="1"/>
        <v>-1.0249272428191847E-2</v>
      </c>
    </row>
    <row r="137" spans="2:8">
      <c r="B137" s="15">
        <v>80.28</v>
      </c>
      <c r="C137" s="15">
        <v>81.25</v>
      </c>
      <c r="D137" s="15">
        <v>76.81</v>
      </c>
      <c r="E137" s="15">
        <v>78.040000000000006</v>
      </c>
      <c r="F137" s="15">
        <v>35206386</v>
      </c>
      <c r="G137" s="15" t="s">
        <v>350</v>
      </c>
      <c r="H137" s="16">
        <f t="shared" si="1"/>
        <v>2.8703229113275164E-2</v>
      </c>
    </row>
    <row r="138" spans="2:8">
      <c r="B138" s="15">
        <v>83.59</v>
      </c>
      <c r="C138" s="15">
        <v>83.7</v>
      </c>
      <c r="D138" s="15">
        <v>81.88</v>
      </c>
      <c r="E138" s="15">
        <v>82.03</v>
      </c>
      <c r="F138" s="15">
        <v>15243510</v>
      </c>
      <c r="G138" s="15" t="s">
        <v>349</v>
      </c>
      <c r="H138" s="16">
        <f t="shared" si="1"/>
        <v>1.9017432646592836E-2</v>
      </c>
    </row>
    <row r="139" spans="2:8">
      <c r="B139" s="15">
        <v>81.7</v>
      </c>
      <c r="C139" s="15">
        <v>82.8</v>
      </c>
      <c r="D139" s="15">
        <v>81.400000000000006</v>
      </c>
      <c r="E139" s="15">
        <v>82.01</v>
      </c>
      <c r="F139" s="15">
        <v>7201013</v>
      </c>
      <c r="G139" s="15" t="s">
        <v>348</v>
      </c>
      <c r="H139" s="16">
        <f t="shared" si="1"/>
        <v>-3.7800268259968739E-3</v>
      </c>
    </row>
    <row r="140" spans="2:8">
      <c r="B140" s="15">
        <v>81.39</v>
      </c>
      <c r="C140" s="15">
        <v>82.48</v>
      </c>
      <c r="D140" s="15">
        <v>80.92</v>
      </c>
      <c r="E140" s="15">
        <v>81.234999999999999</v>
      </c>
      <c r="F140" s="15">
        <v>7398779</v>
      </c>
      <c r="G140" s="15" t="s">
        <v>347</v>
      </c>
      <c r="H140" s="16">
        <f t="shared" si="1"/>
        <v>1.9080445620729414E-3</v>
      </c>
    </row>
    <row r="141" spans="2:8">
      <c r="B141" s="15">
        <v>80.83</v>
      </c>
      <c r="C141" s="15">
        <v>82.24</v>
      </c>
      <c r="D141" s="15">
        <v>80.09</v>
      </c>
      <c r="E141" s="15">
        <v>81.239999999999995</v>
      </c>
      <c r="F141" s="15">
        <v>7632139</v>
      </c>
      <c r="G141" s="15" t="s">
        <v>346</v>
      </c>
      <c r="H141" s="16">
        <f t="shared" si="1"/>
        <v>-5.0467749876907941E-3</v>
      </c>
    </row>
    <row r="142" spans="2:8">
      <c r="B142" s="15">
        <v>80.91</v>
      </c>
      <c r="C142" s="15">
        <v>81.42</v>
      </c>
      <c r="D142" s="15">
        <v>80.040000000000006</v>
      </c>
      <c r="E142" s="15">
        <v>80.05</v>
      </c>
      <c r="F142" s="15">
        <v>7571253</v>
      </c>
      <c r="G142" s="15" t="s">
        <v>345</v>
      </c>
      <c r="H142" s="16">
        <f t="shared" si="1"/>
        <v>1.0743285446595863E-2</v>
      </c>
    </row>
    <row r="143" spans="2:8">
      <c r="B143" s="15">
        <v>80.56</v>
      </c>
      <c r="C143" s="15">
        <v>81.36</v>
      </c>
      <c r="D143" s="15">
        <v>80.040000000000006</v>
      </c>
      <c r="E143" s="15">
        <v>80.314999999999998</v>
      </c>
      <c r="F143" s="15">
        <v>7450264</v>
      </c>
      <c r="G143" s="15" t="s">
        <v>344</v>
      </c>
      <c r="H143" s="16">
        <f t="shared" si="1"/>
        <v>3.0504887007409831E-3</v>
      </c>
    </row>
    <row r="144" spans="2:8">
      <c r="B144" s="15">
        <v>80.94</v>
      </c>
      <c r="C144" s="15">
        <v>80.97</v>
      </c>
      <c r="D144" s="15">
        <v>78.94</v>
      </c>
      <c r="E144" s="15">
        <v>79.5</v>
      </c>
      <c r="F144" s="15">
        <v>8844338</v>
      </c>
      <c r="G144" s="15" t="s">
        <v>343</v>
      </c>
      <c r="H144" s="16">
        <f t="shared" si="1"/>
        <v>1.8113207547169718E-2</v>
      </c>
    </row>
    <row r="145" spans="2:8">
      <c r="B145" s="15">
        <v>79.819999999999993</v>
      </c>
      <c r="C145" s="15">
        <v>80.900000000000006</v>
      </c>
      <c r="D145" s="15">
        <v>79.224999999999994</v>
      </c>
      <c r="E145" s="15">
        <v>80.75</v>
      </c>
      <c r="F145" s="15">
        <v>8653971</v>
      </c>
      <c r="G145" s="15" t="s">
        <v>342</v>
      </c>
      <c r="H145" s="16">
        <f t="shared" si="1"/>
        <v>-1.1517027863777174E-2</v>
      </c>
    </row>
    <row r="146" spans="2:8">
      <c r="B146" s="15">
        <v>80.819999999999993</v>
      </c>
      <c r="C146" s="15">
        <v>80.849999999999994</v>
      </c>
      <c r="D146" s="15">
        <v>79.45</v>
      </c>
      <c r="E146" s="15">
        <v>79.81</v>
      </c>
      <c r="F146" s="15">
        <v>5434792</v>
      </c>
      <c r="G146" s="15" t="s">
        <v>341</v>
      </c>
      <c r="H146" s="16">
        <f t="shared" si="1"/>
        <v>1.2655055757423872E-2</v>
      </c>
    </row>
    <row r="147" spans="2:8">
      <c r="B147" s="15">
        <v>79.55</v>
      </c>
      <c r="C147" s="15">
        <v>81.06</v>
      </c>
      <c r="D147" s="15">
        <v>78.650000000000006</v>
      </c>
      <c r="E147" s="15">
        <v>80.150000000000006</v>
      </c>
      <c r="F147" s="15">
        <v>7291606</v>
      </c>
      <c r="G147" s="15" t="s">
        <v>340</v>
      </c>
      <c r="H147" s="16">
        <f t="shared" si="1"/>
        <v>-7.4859638178416121E-3</v>
      </c>
    </row>
    <row r="148" spans="2:8">
      <c r="B148" s="15">
        <v>80.67</v>
      </c>
      <c r="C148" s="15">
        <v>80.98</v>
      </c>
      <c r="D148" s="15">
        <v>79.819999999999993</v>
      </c>
      <c r="E148" s="15">
        <v>80.34</v>
      </c>
      <c r="F148" s="15">
        <v>5865449</v>
      </c>
      <c r="G148" s="15" t="s">
        <v>339</v>
      </c>
      <c r="H148" s="16">
        <f t="shared" si="1"/>
        <v>4.1075429424943799E-3</v>
      </c>
    </row>
    <row r="149" spans="2:8">
      <c r="B149" s="15">
        <v>80.510000000000005</v>
      </c>
      <c r="C149" s="15">
        <v>80.726299999999995</v>
      </c>
      <c r="D149" s="15">
        <v>79.16</v>
      </c>
      <c r="E149" s="15">
        <v>79.540000000000006</v>
      </c>
      <c r="F149" s="15">
        <v>7744777</v>
      </c>
      <c r="G149" s="15" t="s">
        <v>338</v>
      </c>
      <c r="H149" s="16">
        <f t="shared" si="1"/>
        <v>1.2195121951219523E-2</v>
      </c>
    </row>
    <row r="150" spans="2:8">
      <c r="B150" s="15">
        <v>78.98</v>
      </c>
      <c r="C150" s="15">
        <v>80.075000000000003</v>
      </c>
      <c r="D150" s="15">
        <v>78.53</v>
      </c>
      <c r="E150" s="15">
        <v>79.94</v>
      </c>
      <c r="F150" s="15">
        <v>11326106</v>
      </c>
      <c r="G150" s="15" t="s">
        <v>337</v>
      </c>
      <c r="H150" s="16">
        <f t="shared" si="1"/>
        <v>-1.2009006755066221E-2</v>
      </c>
    </row>
    <row r="151" spans="2:8">
      <c r="B151" s="15">
        <v>81.650000000000006</v>
      </c>
      <c r="C151" s="15">
        <v>82</v>
      </c>
      <c r="D151" s="15">
        <v>80.849999999999994</v>
      </c>
      <c r="E151" s="15">
        <v>80.88</v>
      </c>
      <c r="F151" s="15">
        <v>6925969</v>
      </c>
      <c r="G151" s="15" t="s">
        <v>336</v>
      </c>
      <c r="H151" s="16">
        <f t="shared" si="1"/>
        <v>9.5202769535114307E-3</v>
      </c>
    </row>
    <row r="152" spans="2:8">
      <c r="B152" s="15">
        <v>81.16</v>
      </c>
      <c r="C152" s="15">
        <v>81.399900000000002</v>
      </c>
      <c r="D152" s="15">
        <v>79.575000000000003</v>
      </c>
      <c r="E152" s="15">
        <v>79.989999999999995</v>
      </c>
      <c r="F152" s="15">
        <v>8618496</v>
      </c>
      <c r="G152" s="15" t="s">
        <v>335</v>
      </c>
      <c r="H152" s="16">
        <f t="shared" si="1"/>
        <v>1.462682835354423E-2</v>
      </c>
    </row>
    <row r="153" spans="2:8">
      <c r="B153" s="15">
        <v>80.260000000000005</v>
      </c>
      <c r="C153" s="15">
        <v>80.489999999999995</v>
      </c>
      <c r="D153" s="15">
        <v>78.614999999999995</v>
      </c>
      <c r="E153" s="15">
        <v>79.290000000000006</v>
      </c>
      <c r="F153" s="15">
        <v>9206569</v>
      </c>
      <c r="G153" s="15" t="s">
        <v>334</v>
      </c>
      <c r="H153" s="16">
        <f t="shared" si="1"/>
        <v>1.2233572960020256E-2</v>
      </c>
    </row>
    <row r="154" spans="2:8">
      <c r="B154" s="15">
        <v>79.36</v>
      </c>
      <c r="C154" s="15">
        <v>79.53</v>
      </c>
      <c r="D154" s="15">
        <v>77.984999999999999</v>
      </c>
      <c r="E154" s="15">
        <v>78.16</v>
      </c>
      <c r="F154" s="15">
        <v>10083594</v>
      </c>
      <c r="G154" s="15" t="s">
        <v>333</v>
      </c>
      <c r="H154" s="16">
        <f t="shared" si="1"/>
        <v>1.535312180143289E-2</v>
      </c>
    </row>
    <row r="155" spans="2:8">
      <c r="B155" s="15">
        <v>77.31</v>
      </c>
      <c r="C155" s="15">
        <v>77.400000000000006</v>
      </c>
      <c r="D155" s="15">
        <v>76.040000000000006</v>
      </c>
      <c r="E155" s="15">
        <v>76.53</v>
      </c>
      <c r="F155" s="15">
        <v>9121261</v>
      </c>
      <c r="G155" s="15" t="s">
        <v>332</v>
      </c>
      <c r="H155" s="16">
        <f t="shared" si="1"/>
        <v>1.0192081536652298E-2</v>
      </c>
    </row>
    <row r="156" spans="2:8">
      <c r="B156" s="15">
        <v>77.44</v>
      </c>
      <c r="C156" s="15">
        <v>77.77</v>
      </c>
      <c r="D156" s="15">
        <v>76.180000000000007</v>
      </c>
      <c r="E156" s="15">
        <v>77.47</v>
      </c>
      <c r="F156" s="15">
        <v>8073322</v>
      </c>
      <c r="G156" s="15" t="s">
        <v>331</v>
      </c>
      <c r="H156" s="16">
        <f t="shared" si="1"/>
        <v>-3.8724667613265762E-4</v>
      </c>
    </row>
    <row r="157" spans="2:8">
      <c r="B157" s="15">
        <v>77.47</v>
      </c>
      <c r="C157" s="15">
        <v>79.010000000000005</v>
      </c>
      <c r="D157" s="15">
        <v>76.39</v>
      </c>
      <c r="E157" s="15">
        <v>78.209999999999994</v>
      </c>
      <c r="F157" s="15">
        <v>10608717</v>
      </c>
      <c r="G157" s="15" t="s">
        <v>330</v>
      </c>
      <c r="H157" s="16">
        <f t="shared" si="1"/>
        <v>-9.4617056642372077E-3</v>
      </c>
    </row>
    <row r="158" spans="2:8">
      <c r="B158" s="15">
        <v>78.03</v>
      </c>
      <c r="C158" s="15">
        <v>78.595200000000006</v>
      </c>
      <c r="D158" s="15">
        <v>77.239999999999995</v>
      </c>
      <c r="E158" s="15">
        <v>77.87</v>
      </c>
      <c r="F158" s="15">
        <v>6853835</v>
      </c>
      <c r="G158" s="15" t="s">
        <v>329</v>
      </c>
      <c r="H158" s="16">
        <f t="shared" si="1"/>
        <v>2.0547065622189553E-3</v>
      </c>
    </row>
    <row r="159" spans="2:8">
      <c r="B159" s="15">
        <v>77.88</v>
      </c>
      <c r="C159" s="15">
        <v>80.629900000000006</v>
      </c>
      <c r="D159" s="15">
        <v>77.73</v>
      </c>
      <c r="E159" s="15">
        <v>80.400000000000006</v>
      </c>
      <c r="F159" s="15">
        <v>11575282</v>
      </c>
      <c r="G159" s="15" t="s">
        <v>328</v>
      </c>
      <c r="H159" s="16">
        <f t="shared" si="1"/>
        <v>-3.1343283582089709E-2</v>
      </c>
    </row>
    <row r="160" spans="2:8">
      <c r="B160" s="15">
        <v>80.08</v>
      </c>
      <c r="C160" s="15">
        <v>80.430000000000007</v>
      </c>
      <c r="D160" s="15">
        <v>78.47</v>
      </c>
      <c r="E160" s="15">
        <v>78.944999999999993</v>
      </c>
      <c r="F160" s="15">
        <v>13316657</v>
      </c>
      <c r="G160" s="15" t="s">
        <v>327</v>
      </c>
      <c r="H160" s="16">
        <f t="shared" si="1"/>
        <v>1.4377097979606068E-2</v>
      </c>
    </row>
    <row r="161" spans="2:8">
      <c r="B161" s="15">
        <v>77.36</v>
      </c>
      <c r="C161" s="15">
        <v>79.260000000000005</v>
      </c>
      <c r="D161" s="15">
        <v>77.34</v>
      </c>
      <c r="E161" s="15">
        <v>78.23</v>
      </c>
      <c r="F161" s="15">
        <v>13822395</v>
      </c>
      <c r="G161" s="15" t="s">
        <v>326</v>
      </c>
      <c r="H161" s="16">
        <f t="shared" si="1"/>
        <v>-1.1121053304358974E-2</v>
      </c>
    </row>
    <row r="162" spans="2:8">
      <c r="B162" s="15">
        <v>78.34</v>
      </c>
      <c r="C162" s="15">
        <v>78.83</v>
      </c>
      <c r="D162" s="15">
        <v>77.67</v>
      </c>
      <c r="E162" s="15">
        <v>77.88</v>
      </c>
      <c r="F162" s="15">
        <v>14724836</v>
      </c>
      <c r="G162" s="15" t="s">
        <v>325</v>
      </c>
      <c r="H162" s="16">
        <f t="shared" si="1"/>
        <v>5.9065228556756111E-3</v>
      </c>
    </row>
    <row r="163" spans="2:8">
      <c r="B163" s="15">
        <v>77.67</v>
      </c>
      <c r="C163" s="15">
        <v>78.8</v>
      </c>
      <c r="D163" s="15">
        <v>77.349999999999994</v>
      </c>
      <c r="E163" s="15">
        <v>77.53</v>
      </c>
      <c r="F163" s="15">
        <v>12839810</v>
      </c>
      <c r="G163" s="15" t="s">
        <v>324</v>
      </c>
      <c r="H163" s="16">
        <f t="shared" si="1"/>
        <v>1.8057526118921974E-3</v>
      </c>
    </row>
    <row r="164" spans="2:8">
      <c r="B164" s="15">
        <v>76.760000000000005</v>
      </c>
      <c r="C164" s="15">
        <v>77.569999999999993</v>
      </c>
      <c r="D164" s="15">
        <v>75.462000000000003</v>
      </c>
      <c r="E164" s="15">
        <v>77.31</v>
      </c>
      <c r="F164" s="15">
        <v>27274648</v>
      </c>
      <c r="G164" s="15" t="s">
        <v>323</v>
      </c>
      <c r="H164" s="16">
        <f t="shared" si="1"/>
        <v>-7.1142154960548432E-3</v>
      </c>
    </row>
    <row r="165" spans="2:8">
      <c r="B165" s="15">
        <v>77.569999999999993</v>
      </c>
      <c r="C165" s="15">
        <v>78.245000000000005</v>
      </c>
      <c r="D165" s="15">
        <v>74.81</v>
      </c>
      <c r="E165" s="15">
        <v>75</v>
      </c>
      <c r="F165" s="15">
        <v>21662377</v>
      </c>
      <c r="G165" s="15" t="s">
        <v>322</v>
      </c>
      <c r="H165" s="16">
        <f t="shared" si="1"/>
        <v>3.4266666666666667E-2</v>
      </c>
    </row>
    <row r="166" spans="2:8">
      <c r="B166" s="15">
        <v>73.12</v>
      </c>
      <c r="C166" s="15">
        <v>73.87</v>
      </c>
      <c r="D166" s="15">
        <v>71.36</v>
      </c>
      <c r="E166" s="15">
        <v>71.45</v>
      </c>
      <c r="F166" s="15">
        <v>13498163</v>
      </c>
      <c r="G166" s="15" t="s">
        <v>321</v>
      </c>
      <c r="H166" s="16">
        <f t="shared" ref="H166:H229" si="2">B166/E166-1</f>
        <v>2.3372988103568915E-2</v>
      </c>
    </row>
    <row r="167" spans="2:8">
      <c r="B167" s="15">
        <v>71.77</v>
      </c>
      <c r="C167" s="15">
        <v>72.17</v>
      </c>
      <c r="D167" s="15">
        <v>71.12</v>
      </c>
      <c r="E167" s="15">
        <v>71.930000000000007</v>
      </c>
      <c r="F167" s="15">
        <v>6187212</v>
      </c>
      <c r="G167" s="15" t="s">
        <v>320</v>
      </c>
      <c r="H167" s="16">
        <f t="shared" si="2"/>
        <v>-2.224384818573788E-3</v>
      </c>
    </row>
    <row r="168" spans="2:8">
      <c r="B168" s="15">
        <v>71.069999999999993</v>
      </c>
      <c r="C168" s="15">
        <v>71.239999999999995</v>
      </c>
      <c r="D168" s="15">
        <v>70.069900000000004</v>
      </c>
      <c r="E168" s="15">
        <v>70.459999999999994</v>
      </c>
      <c r="F168" s="15">
        <v>6494997</v>
      </c>
      <c r="G168" s="15" t="s">
        <v>319</v>
      </c>
      <c r="H168" s="16">
        <f t="shared" si="2"/>
        <v>8.6573942662504511E-3</v>
      </c>
    </row>
    <row r="169" spans="2:8">
      <c r="B169" s="15">
        <v>70.099999999999994</v>
      </c>
      <c r="C169" s="15">
        <v>70.620199999999997</v>
      </c>
      <c r="D169" s="15">
        <v>69.860100000000003</v>
      </c>
      <c r="E169" s="15">
        <v>70.040000000000006</v>
      </c>
      <c r="F169" s="15">
        <v>7572594</v>
      </c>
      <c r="G169" s="15" t="s">
        <v>318</v>
      </c>
      <c r="H169" s="16">
        <f t="shared" si="2"/>
        <v>8.5665334094775503E-4</v>
      </c>
    </row>
    <row r="170" spans="2:8">
      <c r="B170" s="15">
        <v>70.36</v>
      </c>
      <c r="C170" s="15">
        <v>70.38</v>
      </c>
      <c r="D170" s="15">
        <v>69.040000000000006</v>
      </c>
      <c r="E170" s="15">
        <v>69.14</v>
      </c>
      <c r="F170" s="15">
        <v>8376713</v>
      </c>
      <c r="G170" s="15" t="s">
        <v>317</v>
      </c>
      <c r="H170" s="16">
        <f t="shared" si="2"/>
        <v>1.7645357246167226E-2</v>
      </c>
    </row>
    <row r="171" spans="2:8">
      <c r="B171" s="15">
        <v>69.349999999999994</v>
      </c>
      <c r="C171" s="15">
        <v>69.7</v>
      </c>
      <c r="D171" s="15">
        <v>67.760000000000005</v>
      </c>
      <c r="E171" s="15">
        <v>69.16</v>
      </c>
      <c r="F171" s="15">
        <v>12344870</v>
      </c>
      <c r="G171" s="15" t="s">
        <v>316</v>
      </c>
      <c r="H171" s="16">
        <f t="shared" si="2"/>
        <v>2.7472527472527375E-3</v>
      </c>
    </row>
    <row r="172" spans="2:8">
      <c r="B172" s="15">
        <v>68.849999999999994</v>
      </c>
      <c r="C172" s="15">
        <v>69.739999999999995</v>
      </c>
      <c r="D172" s="15">
        <v>67.150000000000006</v>
      </c>
      <c r="E172" s="15">
        <v>69.34</v>
      </c>
      <c r="F172" s="15">
        <v>12317452</v>
      </c>
      <c r="G172" s="15" t="s">
        <v>315</v>
      </c>
      <c r="H172" s="16">
        <f t="shared" si="2"/>
        <v>-7.0666282088261978E-3</v>
      </c>
    </row>
    <row r="173" spans="2:8">
      <c r="B173" s="15">
        <v>69.349999999999994</v>
      </c>
      <c r="C173" s="15">
        <v>70.650000000000006</v>
      </c>
      <c r="D173" s="15">
        <v>68.25</v>
      </c>
      <c r="E173" s="15">
        <v>70.391999999999996</v>
      </c>
      <c r="F173" s="15">
        <v>11869340</v>
      </c>
      <c r="G173" s="15" t="s">
        <v>314</v>
      </c>
      <c r="H173" s="16">
        <f t="shared" si="2"/>
        <v>-1.4802818502102522E-2</v>
      </c>
    </row>
    <row r="174" spans="2:8">
      <c r="B174" s="15">
        <v>68.89</v>
      </c>
      <c r="C174" s="15">
        <v>72.05</v>
      </c>
      <c r="D174" s="15">
        <v>68.55</v>
      </c>
      <c r="E174" s="15">
        <v>71.94</v>
      </c>
      <c r="F174" s="15">
        <v>12315821</v>
      </c>
      <c r="G174" s="15" t="s">
        <v>313</v>
      </c>
      <c r="H174" s="16">
        <f t="shared" si="2"/>
        <v>-4.2396441479010227E-2</v>
      </c>
    </row>
    <row r="175" spans="2:8">
      <c r="B175" s="15">
        <v>72.03</v>
      </c>
      <c r="C175" s="15">
        <v>74.400000000000006</v>
      </c>
      <c r="D175" s="15">
        <v>71.015000000000001</v>
      </c>
      <c r="E175" s="15">
        <v>73.66</v>
      </c>
      <c r="F175" s="15">
        <v>11473844</v>
      </c>
      <c r="G175" s="15" t="s">
        <v>312</v>
      </c>
      <c r="H175" s="16">
        <f t="shared" si="2"/>
        <v>-2.2128699429812548E-2</v>
      </c>
    </row>
    <row r="176" spans="2:8">
      <c r="B176" s="15">
        <v>72.61</v>
      </c>
      <c r="C176" s="15">
        <v>73.239999999999995</v>
      </c>
      <c r="D176" s="15">
        <v>71.59</v>
      </c>
      <c r="E176" s="15">
        <v>71.605000000000004</v>
      </c>
      <c r="F176" s="15">
        <v>8368990</v>
      </c>
      <c r="G176" s="15" t="s">
        <v>311</v>
      </c>
      <c r="H176" s="16">
        <f t="shared" si="2"/>
        <v>1.4035332728161487E-2</v>
      </c>
    </row>
    <row r="177" spans="2:8">
      <c r="B177" s="15">
        <v>72</v>
      </c>
      <c r="C177" s="15">
        <v>72.948400000000007</v>
      </c>
      <c r="D177" s="15">
        <v>71.400000000000006</v>
      </c>
      <c r="E177" s="15">
        <v>71.754999999999995</v>
      </c>
      <c r="F177" s="15">
        <v>8571345</v>
      </c>
      <c r="G177" s="15" t="s">
        <v>310</v>
      </c>
      <c r="H177" s="16">
        <f t="shared" si="2"/>
        <v>3.4143962093233782E-3</v>
      </c>
    </row>
    <row r="178" spans="2:8">
      <c r="B178" s="15">
        <v>72.430000000000007</v>
      </c>
      <c r="C178" s="15">
        <v>73.69</v>
      </c>
      <c r="D178" s="15">
        <v>71.760000000000005</v>
      </c>
      <c r="E178" s="15">
        <v>73.510000000000005</v>
      </c>
      <c r="F178" s="15">
        <v>9634963</v>
      </c>
      <c r="G178" s="15" t="s">
        <v>309</v>
      </c>
      <c r="H178" s="16">
        <f t="shared" si="2"/>
        <v>-1.4691878655965107E-2</v>
      </c>
    </row>
    <row r="179" spans="2:8">
      <c r="B179" s="15">
        <v>73.16</v>
      </c>
      <c r="C179" s="15">
        <v>73.930000000000007</v>
      </c>
      <c r="D179" s="15">
        <v>71.25</v>
      </c>
      <c r="E179" s="15">
        <v>71.400000000000006</v>
      </c>
      <c r="F179" s="15">
        <v>13181591</v>
      </c>
      <c r="G179" s="15" t="s">
        <v>308</v>
      </c>
      <c r="H179" s="16">
        <f t="shared" si="2"/>
        <v>2.4649859943977503E-2</v>
      </c>
    </row>
    <row r="180" spans="2:8">
      <c r="B180" s="15">
        <v>70.430000000000007</v>
      </c>
      <c r="C180" s="15">
        <v>71.5899</v>
      </c>
      <c r="D180" s="15">
        <v>70.025000000000006</v>
      </c>
      <c r="E180" s="15">
        <v>71.27</v>
      </c>
      <c r="F180" s="15">
        <v>9277660</v>
      </c>
      <c r="G180" s="15" t="s">
        <v>307</v>
      </c>
      <c r="H180" s="16">
        <f t="shared" si="2"/>
        <v>-1.1786165286936878E-2</v>
      </c>
    </row>
    <row r="181" spans="2:8">
      <c r="B181" s="15">
        <v>71.59</v>
      </c>
      <c r="C181" s="15">
        <v>72.349999999999994</v>
      </c>
      <c r="D181" s="15">
        <v>71.3</v>
      </c>
      <c r="E181" s="15">
        <v>71.75</v>
      </c>
      <c r="F181" s="15">
        <v>9396932</v>
      </c>
      <c r="G181" s="15" t="s">
        <v>306</v>
      </c>
      <c r="H181" s="16">
        <f t="shared" si="2"/>
        <v>-2.2299651567944112E-3</v>
      </c>
    </row>
    <row r="182" spans="2:8">
      <c r="B182" s="15">
        <v>72.040000000000006</v>
      </c>
      <c r="C182" s="15">
        <v>73.03</v>
      </c>
      <c r="D182" s="15">
        <v>71.67</v>
      </c>
      <c r="E182" s="15">
        <v>72.069999999999993</v>
      </c>
      <c r="F182" s="15">
        <v>9062957</v>
      </c>
      <c r="G182" s="15" t="s">
        <v>305</v>
      </c>
      <c r="H182" s="16">
        <f t="shared" si="2"/>
        <v>-4.162619675314172E-4</v>
      </c>
    </row>
    <row r="183" spans="2:8">
      <c r="B183" s="15">
        <v>71.7</v>
      </c>
      <c r="C183" s="15">
        <v>72.069900000000004</v>
      </c>
      <c r="D183" s="15">
        <v>70.84</v>
      </c>
      <c r="E183" s="15">
        <v>72</v>
      </c>
      <c r="F183" s="15">
        <v>8222231</v>
      </c>
      <c r="G183" s="15" t="s">
        <v>304</v>
      </c>
      <c r="H183" s="16">
        <f t="shared" si="2"/>
        <v>-4.1666666666666519E-3</v>
      </c>
    </row>
    <row r="184" spans="2:8">
      <c r="B184" s="15">
        <v>71.52</v>
      </c>
      <c r="C184" s="15">
        <v>73.25</v>
      </c>
      <c r="D184" s="15">
        <v>70.92</v>
      </c>
      <c r="E184" s="15">
        <v>71.739999999999995</v>
      </c>
      <c r="F184" s="15">
        <v>11811123</v>
      </c>
      <c r="G184" s="15" t="s">
        <v>303</v>
      </c>
      <c r="H184" s="16">
        <f t="shared" si="2"/>
        <v>-3.0666294954000417E-3</v>
      </c>
    </row>
    <row r="185" spans="2:8">
      <c r="B185" s="15">
        <v>71.459999999999994</v>
      </c>
      <c r="C185" s="15">
        <v>72.77</v>
      </c>
      <c r="D185" s="15">
        <v>70.87</v>
      </c>
      <c r="E185" s="15">
        <v>72.064999999999998</v>
      </c>
      <c r="F185" s="15">
        <v>10455485</v>
      </c>
      <c r="G185" s="15" t="s">
        <v>302</v>
      </c>
      <c r="H185" s="16">
        <f t="shared" si="2"/>
        <v>-8.3951987788802862E-3</v>
      </c>
    </row>
    <row r="186" spans="2:8">
      <c r="B186" s="15">
        <v>71.89</v>
      </c>
      <c r="C186" s="15">
        <v>72.56</v>
      </c>
      <c r="D186" s="15">
        <v>69.430000000000007</v>
      </c>
      <c r="E186" s="15">
        <v>70</v>
      </c>
      <c r="F186" s="15">
        <v>23545969</v>
      </c>
      <c r="G186" s="15" t="s">
        <v>301</v>
      </c>
      <c r="H186" s="16">
        <f t="shared" si="2"/>
        <v>2.6999999999999913E-2</v>
      </c>
    </row>
    <row r="187" spans="2:8">
      <c r="B187" s="15">
        <v>69.430000000000007</v>
      </c>
      <c r="C187" s="15">
        <v>69.459999999999994</v>
      </c>
      <c r="D187" s="15">
        <v>68.17</v>
      </c>
      <c r="E187" s="15">
        <v>68.22</v>
      </c>
      <c r="F187" s="15">
        <v>9578068</v>
      </c>
      <c r="G187" s="15" t="s">
        <v>300</v>
      </c>
      <c r="H187" s="16">
        <f t="shared" si="2"/>
        <v>1.7736734095573192E-2</v>
      </c>
    </row>
    <row r="188" spans="2:8">
      <c r="B188" s="15">
        <v>67.959999999999994</v>
      </c>
      <c r="C188" s="15">
        <v>68.55</v>
      </c>
      <c r="D188" s="15">
        <v>67.37</v>
      </c>
      <c r="E188" s="15">
        <v>67.37</v>
      </c>
      <c r="F188" s="15">
        <v>9526778</v>
      </c>
      <c r="G188" s="15" t="s">
        <v>299</v>
      </c>
      <c r="H188" s="16">
        <f t="shared" si="2"/>
        <v>8.7576072435799901E-3</v>
      </c>
    </row>
    <row r="189" spans="2:8">
      <c r="B189" s="15">
        <v>67.94</v>
      </c>
      <c r="C189" s="15">
        <v>68.12</v>
      </c>
      <c r="D189" s="15">
        <v>67.05</v>
      </c>
      <c r="E189" s="15">
        <v>67.16</v>
      </c>
      <c r="F189" s="15">
        <v>12968279</v>
      </c>
      <c r="G189" s="15" t="s">
        <v>298</v>
      </c>
      <c r="H189" s="16">
        <f t="shared" si="2"/>
        <v>1.1614055985705862E-2</v>
      </c>
    </row>
    <row r="190" spans="2:8">
      <c r="B190" s="15">
        <v>66.14</v>
      </c>
      <c r="C190" s="15">
        <v>66.39</v>
      </c>
      <c r="D190" s="15">
        <v>64.66</v>
      </c>
      <c r="E190" s="15">
        <v>65.06</v>
      </c>
      <c r="F190" s="15">
        <v>8944776</v>
      </c>
      <c r="G190" s="15" t="s">
        <v>297</v>
      </c>
      <c r="H190" s="16">
        <f t="shared" si="2"/>
        <v>1.6600061481709227E-2</v>
      </c>
    </row>
    <row r="191" spans="2:8">
      <c r="B191" s="15">
        <v>65.11</v>
      </c>
      <c r="C191" s="15">
        <v>65.64</v>
      </c>
      <c r="D191" s="15">
        <v>63.72</v>
      </c>
      <c r="E191" s="15">
        <v>64</v>
      </c>
      <c r="F191" s="15">
        <v>8638603</v>
      </c>
      <c r="G191" s="15" t="s">
        <v>296</v>
      </c>
      <c r="H191" s="16">
        <f t="shared" si="2"/>
        <v>1.7343749999999991E-2</v>
      </c>
    </row>
    <row r="192" spans="2:8">
      <c r="B192" s="15">
        <v>63.46</v>
      </c>
      <c r="C192" s="15">
        <v>65.13</v>
      </c>
      <c r="D192" s="15">
        <v>63.284999999999997</v>
      </c>
      <c r="E192" s="15">
        <v>64.95</v>
      </c>
      <c r="F192" s="15">
        <v>7519467</v>
      </c>
      <c r="G192" s="15" t="s">
        <v>295</v>
      </c>
      <c r="H192" s="16">
        <f t="shared" si="2"/>
        <v>-2.2940723633564364E-2</v>
      </c>
    </row>
    <row r="193" spans="2:8">
      <c r="B193" s="15">
        <v>64.72</v>
      </c>
      <c r="C193" s="15">
        <v>65.5</v>
      </c>
      <c r="D193" s="15">
        <v>64.47</v>
      </c>
      <c r="E193" s="15">
        <v>64.8</v>
      </c>
      <c r="F193" s="15">
        <v>8605324</v>
      </c>
      <c r="G193" s="15" t="s">
        <v>294</v>
      </c>
      <c r="H193" s="16">
        <f t="shared" si="2"/>
        <v>-1.2345679012345512E-3</v>
      </c>
    </row>
    <row r="194" spans="2:8">
      <c r="B194" s="15">
        <v>64.28</v>
      </c>
      <c r="C194" s="15">
        <v>64.674999999999997</v>
      </c>
      <c r="D194" s="15">
        <v>63.1</v>
      </c>
      <c r="E194" s="15">
        <v>63.55</v>
      </c>
      <c r="F194" s="15">
        <v>9761208</v>
      </c>
      <c r="G194" s="15" t="s">
        <v>293</v>
      </c>
      <c r="H194" s="16">
        <f t="shared" si="2"/>
        <v>1.14870180959874E-2</v>
      </c>
    </row>
    <row r="195" spans="2:8">
      <c r="B195" s="15">
        <v>62.74</v>
      </c>
      <c r="C195" s="15">
        <v>65.010000000000005</v>
      </c>
      <c r="D195" s="15">
        <v>62.64</v>
      </c>
      <c r="E195" s="15">
        <v>63.344999999999999</v>
      </c>
      <c r="F195" s="15">
        <v>13464354</v>
      </c>
      <c r="G195" s="15" t="s">
        <v>292</v>
      </c>
      <c r="H195" s="16">
        <f t="shared" si="2"/>
        <v>-9.5508722077511932E-3</v>
      </c>
    </row>
    <row r="196" spans="2:8">
      <c r="B196" s="15">
        <v>62.75</v>
      </c>
      <c r="C196" s="15">
        <v>63.58</v>
      </c>
      <c r="D196" s="15">
        <v>60.3</v>
      </c>
      <c r="E196" s="15">
        <v>60.6</v>
      </c>
      <c r="F196" s="15">
        <v>14358874</v>
      </c>
      <c r="G196" s="15" t="s">
        <v>291</v>
      </c>
      <c r="H196" s="16">
        <f t="shared" si="2"/>
        <v>3.5478547854785436E-2</v>
      </c>
    </row>
    <row r="197" spans="2:8">
      <c r="B197" s="15">
        <v>60.46</v>
      </c>
      <c r="C197" s="15">
        <v>61.055</v>
      </c>
      <c r="D197" s="15">
        <v>58.65</v>
      </c>
      <c r="E197" s="15">
        <v>60.7</v>
      </c>
      <c r="F197" s="15">
        <v>17445401</v>
      </c>
      <c r="G197" s="15" t="s">
        <v>290</v>
      </c>
      <c r="H197" s="16">
        <f t="shared" si="2"/>
        <v>-3.9538714991763646E-3</v>
      </c>
    </row>
    <row r="198" spans="2:8">
      <c r="B198" s="15">
        <v>61.98</v>
      </c>
      <c r="C198" s="15">
        <v>64.040000000000006</v>
      </c>
      <c r="D198" s="15">
        <v>60.89</v>
      </c>
      <c r="E198" s="15">
        <v>64</v>
      </c>
      <c r="F198" s="15">
        <v>23117055</v>
      </c>
      <c r="G198" s="15" t="s">
        <v>289</v>
      </c>
      <c r="H198" s="16">
        <f t="shared" si="2"/>
        <v>-3.1562500000000049E-2</v>
      </c>
    </row>
    <row r="199" spans="2:8">
      <c r="B199" s="15">
        <v>65.31</v>
      </c>
      <c r="C199" s="15">
        <v>67.3</v>
      </c>
      <c r="D199" s="15">
        <v>65.02</v>
      </c>
      <c r="E199" s="15">
        <v>65.78</v>
      </c>
      <c r="F199" s="15">
        <v>19086364</v>
      </c>
      <c r="G199" s="15" t="s">
        <v>288</v>
      </c>
      <c r="H199" s="16">
        <f t="shared" si="2"/>
        <v>-7.1450288841593546E-3</v>
      </c>
    </row>
    <row r="200" spans="2:8">
      <c r="B200" s="15">
        <v>65.78</v>
      </c>
      <c r="C200" s="15">
        <v>66.989999999999995</v>
      </c>
      <c r="D200" s="15">
        <v>64.17</v>
      </c>
      <c r="E200" s="15">
        <v>65</v>
      </c>
      <c r="F200" s="15">
        <v>25825919</v>
      </c>
      <c r="G200" s="15" t="s">
        <v>287</v>
      </c>
      <c r="H200" s="16">
        <f t="shared" si="2"/>
        <v>1.2000000000000011E-2</v>
      </c>
    </row>
    <row r="201" spans="2:8">
      <c r="B201" s="15">
        <v>64</v>
      </c>
      <c r="C201" s="15">
        <v>65.06</v>
      </c>
      <c r="D201" s="15">
        <v>62.43</v>
      </c>
      <c r="E201" s="15">
        <v>62.774999999999999</v>
      </c>
      <c r="F201" s="15">
        <v>44232794</v>
      </c>
      <c r="G201" s="15" t="s">
        <v>286</v>
      </c>
      <c r="H201" s="16">
        <f t="shared" si="2"/>
        <v>1.9514137793707809E-2</v>
      </c>
    </row>
    <row r="202" spans="2:8">
      <c r="B202" s="15">
        <v>58.94</v>
      </c>
      <c r="C202" s="15">
        <v>59.1</v>
      </c>
      <c r="D202" s="15">
        <v>58.07</v>
      </c>
      <c r="E202" s="15">
        <v>58.5</v>
      </c>
      <c r="F202" s="15">
        <v>12346842</v>
      </c>
      <c r="G202" s="15" t="s">
        <v>285</v>
      </c>
      <c r="H202" s="16">
        <f t="shared" si="2"/>
        <v>7.5213675213674502E-3</v>
      </c>
    </row>
    <row r="203" spans="2:8">
      <c r="B203" s="15">
        <v>58.29</v>
      </c>
      <c r="C203" s="15">
        <v>58.31</v>
      </c>
      <c r="D203" s="15">
        <v>56.97</v>
      </c>
      <c r="E203" s="15">
        <v>57.6</v>
      </c>
      <c r="F203" s="15">
        <v>11323434</v>
      </c>
      <c r="G203" s="15" t="s">
        <v>284</v>
      </c>
      <c r="H203" s="16">
        <f t="shared" si="2"/>
        <v>1.1979166666666652E-2</v>
      </c>
    </row>
    <row r="204" spans="2:8">
      <c r="B204" s="15">
        <v>57.22</v>
      </c>
      <c r="C204" s="15">
        <v>58.65</v>
      </c>
      <c r="D204" s="15">
        <v>57.2</v>
      </c>
      <c r="E204" s="15">
        <v>58.16</v>
      </c>
      <c r="F204" s="15">
        <v>12515747</v>
      </c>
      <c r="G204" s="15" t="s">
        <v>283</v>
      </c>
      <c r="H204" s="16">
        <f t="shared" si="2"/>
        <v>-1.6162310866574936E-2</v>
      </c>
    </row>
    <row r="205" spans="2:8">
      <c r="B205" s="15">
        <v>58.07</v>
      </c>
      <c r="C205" s="15">
        <v>59.66</v>
      </c>
      <c r="D205" s="15">
        <v>57.98</v>
      </c>
      <c r="E205" s="15">
        <v>59.55</v>
      </c>
      <c r="F205" s="15">
        <v>11801729</v>
      </c>
      <c r="G205" s="15" t="s">
        <v>282</v>
      </c>
      <c r="H205" s="16">
        <f t="shared" si="2"/>
        <v>-2.4853064651553236E-2</v>
      </c>
    </row>
    <row r="206" spans="2:8">
      <c r="B206" s="15">
        <v>59.71</v>
      </c>
      <c r="C206" s="15">
        <v>60.95</v>
      </c>
      <c r="D206" s="15">
        <v>59.69</v>
      </c>
      <c r="E206" s="15">
        <v>60.72</v>
      </c>
      <c r="F206" s="15">
        <v>7572010</v>
      </c>
      <c r="G206" s="15" t="s">
        <v>281</v>
      </c>
      <c r="H206" s="16">
        <f t="shared" si="2"/>
        <v>-1.6633728590250252E-2</v>
      </c>
    </row>
    <row r="207" spans="2:8">
      <c r="B207" s="15">
        <v>60.77</v>
      </c>
      <c r="C207" s="15">
        <v>60.79</v>
      </c>
      <c r="D207" s="15">
        <v>59.52</v>
      </c>
      <c r="E207" s="15">
        <v>59.9</v>
      </c>
      <c r="F207" s="15">
        <v>7489501</v>
      </c>
      <c r="G207" s="15" t="s">
        <v>280</v>
      </c>
      <c r="H207" s="16">
        <f t="shared" si="2"/>
        <v>1.4524207011686219E-2</v>
      </c>
    </row>
    <row r="208" spans="2:8">
      <c r="B208" s="15">
        <v>59.33</v>
      </c>
      <c r="C208" s="15">
        <v>59.83</v>
      </c>
      <c r="D208" s="15">
        <v>58.75</v>
      </c>
      <c r="E208" s="15">
        <v>59.81</v>
      </c>
      <c r="F208" s="15">
        <v>9352934</v>
      </c>
      <c r="G208" s="15" t="s">
        <v>279</v>
      </c>
      <c r="H208" s="16">
        <f t="shared" si="2"/>
        <v>-8.0254138103996731E-3</v>
      </c>
    </row>
    <row r="209" spans="2:8">
      <c r="B209" s="15">
        <v>60</v>
      </c>
      <c r="C209" s="15">
        <v>61.33</v>
      </c>
      <c r="D209" s="15">
        <v>59.94</v>
      </c>
      <c r="E209" s="15">
        <v>60.55</v>
      </c>
      <c r="F209" s="15">
        <v>9102024</v>
      </c>
      <c r="G209" s="15" t="s">
        <v>278</v>
      </c>
      <c r="H209" s="16">
        <f t="shared" si="2"/>
        <v>-9.0834021469858861E-3</v>
      </c>
    </row>
    <row r="210" spans="2:8">
      <c r="B210" s="15">
        <v>61.24</v>
      </c>
      <c r="C210" s="15">
        <v>61.84</v>
      </c>
      <c r="D210" s="15">
        <v>60.655000000000001</v>
      </c>
      <c r="E210" s="15">
        <v>61.11</v>
      </c>
      <c r="F210" s="15">
        <v>8322110</v>
      </c>
      <c r="G210" s="15" t="s">
        <v>277</v>
      </c>
      <c r="H210" s="16">
        <f t="shared" si="2"/>
        <v>2.1273114056619136E-3</v>
      </c>
    </row>
    <row r="211" spans="2:8">
      <c r="B211" s="15">
        <v>61.81</v>
      </c>
      <c r="C211" s="15">
        <v>62.02</v>
      </c>
      <c r="D211" s="15">
        <v>60.68</v>
      </c>
      <c r="E211" s="15">
        <v>60.8</v>
      </c>
      <c r="F211" s="15">
        <v>9198845</v>
      </c>
      <c r="G211" s="15" t="s">
        <v>276</v>
      </c>
      <c r="H211" s="16">
        <f t="shared" si="2"/>
        <v>1.661184210526323E-2</v>
      </c>
    </row>
    <row r="212" spans="2:8">
      <c r="B212" s="15">
        <v>60.47</v>
      </c>
      <c r="C212" s="15">
        <v>61.02</v>
      </c>
      <c r="D212" s="15">
        <v>59.82</v>
      </c>
      <c r="E212" s="15">
        <v>60.25</v>
      </c>
      <c r="F212" s="15">
        <v>9442989</v>
      </c>
      <c r="G212" s="15" t="s">
        <v>275</v>
      </c>
      <c r="H212" s="16">
        <f t="shared" si="2"/>
        <v>3.6514522821575746E-3</v>
      </c>
    </row>
    <row r="213" spans="2:8">
      <c r="B213" s="15">
        <v>60.27</v>
      </c>
      <c r="C213" s="15">
        <v>60.52</v>
      </c>
      <c r="D213" s="15">
        <v>59.78</v>
      </c>
      <c r="E213" s="15">
        <v>60.39</v>
      </c>
      <c r="F213" s="15">
        <v>8166185</v>
      </c>
      <c r="G213" s="15" t="s">
        <v>274</v>
      </c>
      <c r="H213" s="16">
        <f t="shared" si="2"/>
        <v>-1.9870839542970309E-3</v>
      </c>
    </row>
    <row r="214" spans="2:8">
      <c r="B214" s="15">
        <v>59.99</v>
      </c>
      <c r="C214" s="15">
        <v>60.93</v>
      </c>
      <c r="D214" s="15">
        <v>59.43</v>
      </c>
      <c r="E214" s="15">
        <v>59.55</v>
      </c>
      <c r="F214" s="15">
        <v>13081969</v>
      </c>
      <c r="G214" s="15" t="s">
        <v>273</v>
      </c>
      <c r="H214" s="16">
        <f t="shared" si="2"/>
        <v>7.3887489504618209E-3</v>
      </c>
    </row>
    <row r="215" spans="2:8">
      <c r="B215" s="15">
        <v>58.9</v>
      </c>
      <c r="C215" s="15">
        <v>59.31</v>
      </c>
      <c r="D215" s="15">
        <v>58.2</v>
      </c>
      <c r="E215" s="15">
        <v>59.09</v>
      </c>
      <c r="F215" s="15">
        <v>7697110</v>
      </c>
      <c r="G215" s="15" t="s">
        <v>272</v>
      </c>
      <c r="H215" s="16">
        <f t="shared" si="2"/>
        <v>-3.2154340836013651E-3</v>
      </c>
    </row>
    <row r="216" spans="2:8">
      <c r="B216" s="15">
        <v>59</v>
      </c>
      <c r="C216" s="15">
        <v>59.7</v>
      </c>
      <c r="D216" s="15">
        <v>58.42</v>
      </c>
      <c r="E216" s="15">
        <v>58.9</v>
      </c>
      <c r="F216" s="15">
        <v>8477370</v>
      </c>
      <c r="G216" s="15" t="s">
        <v>271</v>
      </c>
      <c r="H216" s="16">
        <f t="shared" si="2"/>
        <v>1.6977928692700761E-3</v>
      </c>
    </row>
    <row r="217" spans="2:8">
      <c r="B217" s="15">
        <v>59.09</v>
      </c>
      <c r="C217" s="15">
        <v>60.029899999999998</v>
      </c>
      <c r="D217" s="15">
        <v>58.63</v>
      </c>
      <c r="E217" s="15">
        <v>59.72</v>
      </c>
      <c r="F217" s="15">
        <v>10320364</v>
      </c>
      <c r="G217" s="15" t="s">
        <v>270</v>
      </c>
      <c r="H217" s="16">
        <f t="shared" si="2"/>
        <v>-1.0549229738780919E-2</v>
      </c>
    </row>
    <row r="218" spans="2:8">
      <c r="B218" s="15">
        <v>59.76</v>
      </c>
      <c r="C218" s="15">
        <v>60.16</v>
      </c>
      <c r="D218" s="15">
        <v>58.83</v>
      </c>
      <c r="E218" s="15">
        <v>59.38</v>
      </c>
      <c r="F218" s="15">
        <v>12243845</v>
      </c>
      <c r="G218" s="15" t="s">
        <v>269</v>
      </c>
      <c r="H218" s="16">
        <f t="shared" si="2"/>
        <v>6.3994610980127042E-3</v>
      </c>
    </row>
    <row r="219" spans="2:8">
      <c r="B219" s="15">
        <v>59.64</v>
      </c>
      <c r="C219" s="15">
        <v>60.01</v>
      </c>
      <c r="D219" s="15">
        <v>58.895000000000003</v>
      </c>
      <c r="E219" s="15">
        <v>59.03</v>
      </c>
      <c r="F219" s="15">
        <v>6908317</v>
      </c>
      <c r="G219" s="15" t="s">
        <v>268</v>
      </c>
      <c r="H219" s="16">
        <f t="shared" si="2"/>
        <v>1.0333728612569759E-2</v>
      </c>
    </row>
    <row r="220" spans="2:8">
      <c r="B220" s="15">
        <v>58.97</v>
      </c>
      <c r="C220" s="15">
        <v>59.27</v>
      </c>
      <c r="D220" s="15">
        <v>58.32</v>
      </c>
      <c r="E220" s="15">
        <v>58.78</v>
      </c>
      <c r="F220" s="15">
        <v>13231566</v>
      </c>
      <c r="G220" s="15" t="s">
        <v>267</v>
      </c>
      <c r="H220" s="16">
        <f t="shared" si="2"/>
        <v>3.2323919700578685E-3</v>
      </c>
    </row>
    <row r="221" spans="2:8">
      <c r="B221" s="15">
        <v>57.81</v>
      </c>
      <c r="C221" s="15">
        <v>58.365000000000002</v>
      </c>
      <c r="D221" s="15">
        <v>57.03</v>
      </c>
      <c r="E221" s="15">
        <v>58.36</v>
      </c>
      <c r="F221" s="15">
        <v>12237467</v>
      </c>
      <c r="G221" s="15" t="s">
        <v>266</v>
      </c>
      <c r="H221" s="16">
        <f t="shared" si="2"/>
        <v>-9.4242631939683852E-3</v>
      </c>
    </row>
    <row r="222" spans="2:8">
      <c r="B222" s="15">
        <v>58.03</v>
      </c>
      <c r="C222" s="15">
        <v>58.76</v>
      </c>
      <c r="D222" s="15">
        <v>57.9</v>
      </c>
      <c r="E222" s="15">
        <v>58.32</v>
      </c>
      <c r="F222" s="15">
        <v>28102011</v>
      </c>
      <c r="G222" s="15" t="s">
        <v>265</v>
      </c>
      <c r="H222" s="16">
        <f t="shared" si="2"/>
        <v>-4.9725651577503527E-3</v>
      </c>
    </row>
    <row r="223" spans="2:8">
      <c r="B223" s="15">
        <v>58.37</v>
      </c>
      <c r="C223" s="15">
        <v>58.49</v>
      </c>
      <c r="D223" s="15">
        <v>57.21</v>
      </c>
      <c r="E223" s="15">
        <v>58.48</v>
      </c>
      <c r="F223" s="15">
        <v>11648923</v>
      </c>
      <c r="G223" s="15" t="s">
        <v>264</v>
      </c>
      <c r="H223" s="16">
        <f t="shared" si="2"/>
        <v>-1.8809849521204125E-3</v>
      </c>
    </row>
    <row r="224" spans="2:8">
      <c r="B224" s="15">
        <v>58.26</v>
      </c>
      <c r="C224" s="15">
        <v>59.75</v>
      </c>
      <c r="D224" s="15">
        <v>58.03</v>
      </c>
      <c r="E224" s="15">
        <v>59.74</v>
      </c>
      <c r="F224" s="15">
        <v>12599367</v>
      </c>
      <c r="G224" s="15" t="s">
        <v>263</v>
      </c>
      <c r="H224" s="16">
        <f t="shared" si="2"/>
        <v>-2.4774020756612058E-2</v>
      </c>
    </row>
    <row r="225" spans="2:8">
      <c r="B225" s="15">
        <v>59.33</v>
      </c>
      <c r="C225" s="15">
        <v>59.57</v>
      </c>
      <c r="D225" s="15">
        <v>58.97</v>
      </c>
      <c r="E225" s="15">
        <v>59.57</v>
      </c>
      <c r="F225" s="15">
        <v>9359170</v>
      </c>
      <c r="G225" s="15" t="s">
        <v>262</v>
      </c>
      <c r="H225" s="16">
        <f t="shared" si="2"/>
        <v>-4.028873594090987E-3</v>
      </c>
    </row>
    <row r="226" spans="2:8">
      <c r="B226" s="15">
        <v>59.49</v>
      </c>
      <c r="C226" s="15">
        <v>60.56</v>
      </c>
      <c r="D226" s="15">
        <v>59.46</v>
      </c>
      <c r="E226" s="15">
        <v>60</v>
      </c>
      <c r="F226" s="15">
        <v>10464729</v>
      </c>
      <c r="G226" s="15" t="s">
        <v>261</v>
      </c>
      <c r="H226" s="16">
        <f t="shared" si="2"/>
        <v>-8.499999999999952E-3</v>
      </c>
    </row>
    <row r="227" spans="2:8">
      <c r="B227" s="15">
        <v>60.61</v>
      </c>
      <c r="C227" s="15">
        <v>60.76</v>
      </c>
      <c r="D227" s="15">
        <v>59.67</v>
      </c>
      <c r="E227" s="15">
        <v>59.92</v>
      </c>
      <c r="F227" s="15">
        <v>18888289</v>
      </c>
      <c r="G227" s="15" t="s">
        <v>260</v>
      </c>
      <c r="H227" s="16">
        <f t="shared" si="2"/>
        <v>1.1515353805073403E-2</v>
      </c>
    </row>
    <row r="228" spans="2:8">
      <c r="B228" s="15">
        <v>59.8</v>
      </c>
      <c r="C228" s="15">
        <v>60</v>
      </c>
      <c r="D228" s="15">
        <v>58.79</v>
      </c>
      <c r="E228" s="15">
        <v>59.25</v>
      </c>
      <c r="F228" s="15">
        <v>12928493</v>
      </c>
      <c r="G228" s="15" t="s">
        <v>259</v>
      </c>
      <c r="H228" s="16">
        <f t="shared" si="2"/>
        <v>9.2827004219409037E-3</v>
      </c>
    </row>
    <row r="229" spans="2:8">
      <c r="B229" s="15">
        <v>59.12</v>
      </c>
      <c r="C229" s="15">
        <v>60.11</v>
      </c>
      <c r="D229" s="15">
        <v>59.03</v>
      </c>
      <c r="E229" s="15">
        <v>59.92</v>
      </c>
      <c r="F229" s="15">
        <v>13500311</v>
      </c>
      <c r="G229" s="15" t="s">
        <v>258</v>
      </c>
      <c r="H229" s="16">
        <f t="shared" si="2"/>
        <v>-1.3351134846461998E-2</v>
      </c>
    </row>
    <row r="230" spans="2:8">
      <c r="B230" s="15">
        <v>60.13</v>
      </c>
      <c r="C230" s="15">
        <v>60.64</v>
      </c>
      <c r="D230" s="15">
        <v>59.480499999999999</v>
      </c>
      <c r="E230" s="15">
        <v>60.37</v>
      </c>
      <c r="F230" s="15">
        <v>13558487</v>
      </c>
      <c r="G230" s="15" t="s">
        <v>257</v>
      </c>
      <c r="H230" s="16">
        <f t="shared" ref="H230:H287" si="3">B230/E230-1</f>
        <v>-3.9754845121748872E-3</v>
      </c>
    </row>
    <row r="231" spans="2:8">
      <c r="B231" s="15">
        <v>60.634999999999998</v>
      </c>
      <c r="C231" s="15">
        <v>61.64</v>
      </c>
      <c r="D231" s="15">
        <v>60.31</v>
      </c>
      <c r="E231" s="15">
        <v>61.29</v>
      </c>
      <c r="F231" s="15">
        <v>10366037</v>
      </c>
      <c r="G231" s="15" t="s">
        <v>256</v>
      </c>
      <c r="H231" s="16">
        <f t="shared" si="3"/>
        <v>-1.0686898352096574E-2</v>
      </c>
    </row>
    <row r="232" spans="2:8">
      <c r="B232" s="15">
        <v>61.54</v>
      </c>
      <c r="C232" s="15">
        <v>63.625</v>
      </c>
      <c r="D232" s="15">
        <v>61.52</v>
      </c>
      <c r="E232" s="15">
        <v>63.12</v>
      </c>
      <c r="F232" s="15">
        <v>11985383</v>
      </c>
      <c r="G232" s="15" t="s">
        <v>255</v>
      </c>
      <c r="H232" s="16">
        <f t="shared" si="3"/>
        <v>-2.5031685678073456E-2</v>
      </c>
    </row>
    <row r="233" spans="2:8">
      <c r="B233" s="15">
        <v>63.43</v>
      </c>
      <c r="C233" s="15">
        <v>65.86</v>
      </c>
      <c r="D233" s="15">
        <v>62.9</v>
      </c>
      <c r="E233" s="15">
        <v>65.459999999999994</v>
      </c>
      <c r="F233" s="15">
        <v>14137513</v>
      </c>
      <c r="G233" s="15" t="s">
        <v>254</v>
      </c>
      <c r="H233" s="16">
        <f t="shared" si="3"/>
        <v>-3.101130461350432E-2</v>
      </c>
    </row>
    <row r="234" spans="2:8">
      <c r="B234" s="15">
        <v>64.77</v>
      </c>
      <c r="C234" s="15">
        <v>67.150000000000006</v>
      </c>
      <c r="D234" s="15">
        <v>64.405000000000001</v>
      </c>
      <c r="E234" s="15">
        <v>67.13</v>
      </c>
      <c r="F234" s="15">
        <v>15108667</v>
      </c>
      <c r="G234" s="15" t="s">
        <v>253</v>
      </c>
      <c r="H234" s="16">
        <f t="shared" si="3"/>
        <v>-3.5155668106658711E-2</v>
      </c>
    </row>
    <row r="235" spans="2:8">
      <c r="B235" s="15">
        <v>67.09</v>
      </c>
      <c r="C235" s="15">
        <v>67.489999999999995</v>
      </c>
      <c r="D235" s="15">
        <v>65.8</v>
      </c>
      <c r="E235" s="15">
        <v>66.97</v>
      </c>
      <c r="F235" s="15">
        <v>11978817</v>
      </c>
      <c r="G235" s="15" t="s">
        <v>252</v>
      </c>
      <c r="H235" s="16">
        <f t="shared" si="3"/>
        <v>1.7918470957145605E-3</v>
      </c>
    </row>
    <row r="236" spans="2:8">
      <c r="B236" s="15">
        <v>67.3</v>
      </c>
      <c r="C236" s="15">
        <v>68.298500000000004</v>
      </c>
      <c r="D236" s="15">
        <v>66.2</v>
      </c>
      <c r="E236" s="15">
        <v>66.5</v>
      </c>
      <c r="F236" s="15">
        <v>13194960</v>
      </c>
      <c r="G236" s="15" t="s">
        <v>251</v>
      </c>
      <c r="H236" s="16">
        <f t="shared" si="3"/>
        <v>1.2030075187969835E-2</v>
      </c>
    </row>
    <row r="237" spans="2:8">
      <c r="B237" s="15">
        <v>67.02</v>
      </c>
      <c r="C237" s="15">
        <v>67.819999999999993</v>
      </c>
      <c r="D237" s="15">
        <v>64.17</v>
      </c>
      <c r="E237" s="15">
        <v>64.284999999999997</v>
      </c>
      <c r="F237" s="15">
        <v>22068792</v>
      </c>
      <c r="G237" s="15" t="s">
        <v>250</v>
      </c>
      <c r="H237" s="16">
        <f t="shared" si="3"/>
        <v>4.2544917165746376E-2</v>
      </c>
    </row>
    <row r="238" spans="2:8">
      <c r="B238" s="15">
        <v>63.53</v>
      </c>
      <c r="C238" s="15">
        <v>63.81</v>
      </c>
      <c r="D238" s="15">
        <v>62.85</v>
      </c>
      <c r="E238" s="15">
        <v>63.76</v>
      </c>
      <c r="F238" s="15">
        <v>8846106</v>
      </c>
      <c r="G238" s="15" t="s">
        <v>249</v>
      </c>
      <c r="H238" s="16">
        <f t="shared" si="3"/>
        <v>-3.6072772898367855E-3</v>
      </c>
    </row>
    <row r="239" spans="2:8">
      <c r="B239" s="15">
        <v>63.33</v>
      </c>
      <c r="C239" s="15">
        <v>64.13</v>
      </c>
      <c r="D239" s="15">
        <v>63.03</v>
      </c>
      <c r="E239" s="15">
        <v>63.14</v>
      </c>
      <c r="F239" s="15">
        <v>9046058</v>
      </c>
      <c r="G239" s="15" t="s">
        <v>248</v>
      </c>
      <c r="H239" s="16">
        <f t="shared" si="3"/>
        <v>3.0091859360150686E-3</v>
      </c>
    </row>
    <row r="240" spans="2:8">
      <c r="B240" s="15">
        <v>63.46</v>
      </c>
      <c r="C240" s="15">
        <v>63.52</v>
      </c>
      <c r="D240" s="15">
        <v>62.58</v>
      </c>
      <c r="E240" s="15">
        <v>63.04</v>
      </c>
      <c r="F240" s="15">
        <v>9039816</v>
      </c>
      <c r="G240" s="15" t="s">
        <v>247</v>
      </c>
      <c r="H240" s="16">
        <f t="shared" si="3"/>
        <v>6.6624365482232939E-3</v>
      </c>
    </row>
    <row r="241" spans="2:8">
      <c r="B241" s="15">
        <v>62.99</v>
      </c>
      <c r="C241" s="15">
        <v>63.56</v>
      </c>
      <c r="D241" s="15">
        <v>61.77</v>
      </c>
      <c r="E241" s="15">
        <v>62.73</v>
      </c>
      <c r="F241" s="15">
        <v>14269038</v>
      </c>
      <c r="G241" s="15" t="s">
        <v>246</v>
      </c>
      <c r="H241" s="16">
        <f t="shared" si="3"/>
        <v>4.1447473298263926E-3</v>
      </c>
    </row>
    <row r="242" spans="2:8">
      <c r="B242" s="15">
        <v>62.51</v>
      </c>
      <c r="C242" s="15">
        <v>63.34</v>
      </c>
      <c r="D242" s="15">
        <v>62.13</v>
      </c>
      <c r="E242" s="15">
        <v>62.77</v>
      </c>
      <c r="F242" s="15">
        <v>11874710</v>
      </c>
      <c r="G242" s="15" t="s">
        <v>245</v>
      </c>
      <c r="H242" s="16">
        <f t="shared" si="3"/>
        <v>-4.1421061016410077E-3</v>
      </c>
    </row>
    <row r="243" spans="2:8">
      <c r="B243" s="15">
        <v>61.05</v>
      </c>
      <c r="C243" s="15">
        <v>61.59</v>
      </c>
      <c r="D243" s="15">
        <v>60.85</v>
      </c>
      <c r="E243" s="15">
        <v>61.23</v>
      </c>
      <c r="F243" s="15">
        <v>8142812</v>
      </c>
      <c r="G243" s="15" t="s">
        <v>244</v>
      </c>
      <c r="H243" s="16">
        <f t="shared" si="3"/>
        <v>-2.9397354238118734E-3</v>
      </c>
    </row>
    <row r="244" spans="2:8">
      <c r="B244" s="15">
        <v>62.17</v>
      </c>
      <c r="C244" s="15">
        <v>62.87</v>
      </c>
      <c r="D244" s="15">
        <v>61.75</v>
      </c>
      <c r="E244" s="15">
        <v>62.3</v>
      </c>
      <c r="F244" s="15">
        <v>11159562</v>
      </c>
      <c r="G244" s="15" t="s">
        <v>243</v>
      </c>
      <c r="H244" s="16">
        <f t="shared" si="3"/>
        <v>-2.0866773675761729E-3</v>
      </c>
    </row>
    <row r="245" spans="2:8">
      <c r="B245" s="15">
        <v>61.64</v>
      </c>
      <c r="C245" s="15">
        <v>62.06</v>
      </c>
      <c r="D245" s="15">
        <v>61.27</v>
      </c>
      <c r="E245" s="15">
        <v>61.95</v>
      </c>
      <c r="F245" s="15">
        <v>8176776</v>
      </c>
      <c r="G245" s="15" t="s">
        <v>242</v>
      </c>
      <c r="H245" s="16">
        <f t="shared" si="3"/>
        <v>-5.0040355125101632E-3</v>
      </c>
    </row>
    <row r="246" spans="2:8">
      <c r="B246" s="15">
        <v>61.58</v>
      </c>
      <c r="C246" s="15">
        <v>62.685000000000002</v>
      </c>
      <c r="D246" s="15">
        <v>61.220100000000002</v>
      </c>
      <c r="E246" s="15">
        <v>62.54</v>
      </c>
      <c r="F246" s="15">
        <v>10533414</v>
      </c>
      <c r="G246" s="15" t="s">
        <v>241</v>
      </c>
      <c r="H246" s="16">
        <f t="shared" si="3"/>
        <v>-1.5350175887432038E-2</v>
      </c>
    </row>
    <row r="247" spans="2:8">
      <c r="B247" s="15">
        <v>62.19</v>
      </c>
      <c r="C247" s="15">
        <v>63.91</v>
      </c>
      <c r="D247" s="15">
        <v>61.844999999999999</v>
      </c>
      <c r="E247" s="15">
        <v>63.79</v>
      </c>
      <c r="F247" s="15">
        <v>14532237</v>
      </c>
      <c r="G247" s="15" t="s">
        <v>240</v>
      </c>
      <c r="H247" s="16">
        <f t="shared" si="3"/>
        <v>-2.5082301301144416E-2</v>
      </c>
    </row>
    <row r="248" spans="2:8">
      <c r="B248" s="15">
        <v>64.099999999999994</v>
      </c>
      <c r="C248" s="15">
        <v>64.69</v>
      </c>
      <c r="D248" s="15">
        <v>63.7</v>
      </c>
      <c r="E248" s="15">
        <v>64.39</v>
      </c>
      <c r="F248" s="15">
        <v>6576018</v>
      </c>
      <c r="G248" s="15" t="s">
        <v>239</v>
      </c>
      <c r="H248" s="16">
        <f t="shared" si="3"/>
        <v>-4.5038049386552093E-3</v>
      </c>
    </row>
    <row r="249" spans="2:8">
      <c r="B249" s="15">
        <v>64.77</v>
      </c>
      <c r="C249" s="15">
        <v>65.034999999999997</v>
      </c>
      <c r="D249" s="15">
        <v>63.77</v>
      </c>
      <c r="E249" s="15">
        <v>64.528000000000006</v>
      </c>
      <c r="F249" s="15">
        <v>6429049</v>
      </c>
      <c r="G249" s="15" t="s">
        <v>238</v>
      </c>
      <c r="H249" s="16">
        <f t="shared" si="3"/>
        <v>3.7503099429703202E-3</v>
      </c>
    </row>
    <row r="250" spans="2:8">
      <c r="B250" s="15">
        <v>64.48</v>
      </c>
      <c r="C250" s="15">
        <v>64.709999999999994</v>
      </c>
      <c r="D250" s="15">
        <v>63.844999999999999</v>
      </c>
      <c r="E250" s="15">
        <v>64.08</v>
      </c>
      <c r="F250" s="15">
        <v>8204812</v>
      </c>
      <c r="G250" s="15" t="s">
        <v>237</v>
      </c>
      <c r="H250" s="16">
        <f t="shared" si="3"/>
        <v>6.2421972534332237E-3</v>
      </c>
    </row>
    <row r="251" spans="2:8">
      <c r="B251" s="15">
        <v>64.099999999999994</v>
      </c>
      <c r="C251" s="15">
        <v>64.430000000000007</v>
      </c>
      <c r="D251" s="15">
        <v>63.420099999999998</v>
      </c>
      <c r="E251" s="15">
        <v>63.59</v>
      </c>
      <c r="F251" s="15">
        <v>8113565</v>
      </c>
      <c r="G251" s="15" t="s">
        <v>236</v>
      </c>
      <c r="H251" s="16">
        <f t="shared" si="3"/>
        <v>8.0201289510928309E-3</v>
      </c>
    </row>
    <row r="252" spans="2:8">
      <c r="B252" s="15">
        <v>63.9</v>
      </c>
      <c r="C252" s="15">
        <v>65.53</v>
      </c>
      <c r="D252" s="15">
        <v>63.48</v>
      </c>
      <c r="E252" s="15">
        <v>65.11</v>
      </c>
      <c r="F252" s="15">
        <v>10972601</v>
      </c>
      <c r="G252" s="15" t="s">
        <v>235</v>
      </c>
      <c r="H252" s="16">
        <f t="shared" si="3"/>
        <v>-1.8583934879434771E-2</v>
      </c>
    </row>
    <row r="253" spans="2:8">
      <c r="B253" s="15">
        <v>64.58</v>
      </c>
      <c r="C253" s="15">
        <v>64.86</v>
      </c>
      <c r="D253" s="15">
        <v>64.27</v>
      </c>
      <c r="E253" s="15">
        <v>64.39</v>
      </c>
      <c r="F253" s="15">
        <v>7556453</v>
      </c>
      <c r="G253" s="15" t="s">
        <v>234</v>
      </c>
      <c r="H253" s="16">
        <f t="shared" si="3"/>
        <v>2.950768752912003E-3</v>
      </c>
    </row>
    <row r="254" spans="2:8">
      <c r="B254" s="15">
        <v>63.95</v>
      </c>
      <c r="C254" s="15">
        <v>64.430000000000007</v>
      </c>
      <c r="D254" s="15">
        <v>63.19</v>
      </c>
      <c r="E254" s="15">
        <v>63.435000000000002</v>
      </c>
      <c r="F254" s="15">
        <v>7311644</v>
      </c>
      <c r="G254" s="15" t="s">
        <v>233</v>
      </c>
      <c r="H254" s="16">
        <f t="shared" si="3"/>
        <v>8.1185465437061399E-3</v>
      </c>
    </row>
    <row r="255" spans="2:8">
      <c r="B255" s="15">
        <v>62.93</v>
      </c>
      <c r="C255" s="15">
        <v>64.94</v>
      </c>
      <c r="D255" s="15">
        <v>62.88</v>
      </c>
      <c r="E255" s="15">
        <v>64.59</v>
      </c>
      <c r="F255" s="15">
        <v>8745768</v>
      </c>
      <c r="G255" s="15" t="s">
        <v>232</v>
      </c>
      <c r="H255" s="16">
        <f t="shared" si="3"/>
        <v>-2.570057284409355E-2</v>
      </c>
    </row>
    <row r="256" spans="2:8">
      <c r="B256" s="15">
        <v>64.45</v>
      </c>
      <c r="C256" s="15">
        <v>64.47</v>
      </c>
      <c r="D256" s="15">
        <v>63.41</v>
      </c>
      <c r="E256" s="15">
        <v>63.87</v>
      </c>
      <c r="F256" s="15">
        <v>8368668</v>
      </c>
      <c r="G256" s="15" t="s">
        <v>231</v>
      </c>
      <c r="H256" s="16">
        <f t="shared" si="3"/>
        <v>9.0809456708940139E-3</v>
      </c>
    </row>
    <row r="257" spans="2:8">
      <c r="B257" s="15">
        <v>63.81</v>
      </c>
      <c r="C257" s="15">
        <v>65.7</v>
      </c>
      <c r="D257" s="15">
        <v>63.77</v>
      </c>
      <c r="E257" s="15">
        <v>65.459999999999994</v>
      </c>
      <c r="F257" s="15">
        <v>11183819</v>
      </c>
      <c r="G257" s="15" t="s">
        <v>230</v>
      </c>
      <c r="H257" s="16">
        <f t="shared" si="3"/>
        <v>-2.5206232813932083E-2</v>
      </c>
    </row>
    <row r="258" spans="2:8">
      <c r="B258" s="15">
        <v>65.92</v>
      </c>
      <c r="C258" s="15">
        <v>66.77</v>
      </c>
      <c r="D258" s="15">
        <v>65.77</v>
      </c>
      <c r="E258" s="15">
        <v>66.08</v>
      </c>
      <c r="F258" s="15">
        <v>9232204</v>
      </c>
      <c r="G258" s="15" t="s">
        <v>229</v>
      </c>
      <c r="H258" s="16">
        <f t="shared" si="3"/>
        <v>-2.421307506053183E-3</v>
      </c>
    </row>
    <row r="259" spans="2:8">
      <c r="B259" s="15">
        <v>65.61</v>
      </c>
      <c r="C259" s="15">
        <v>66.099999999999994</v>
      </c>
      <c r="D259" s="15">
        <v>64.95</v>
      </c>
      <c r="E259" s="15">
        <v>66</v>
      </c>
      <c r="F259" s="15">
        <v>11257563</v>
      </c>
      <c r="G259" s="15" t="s">
        <v>228</v>
      </c>
      <c r="H259" s="16">
        <f t="shared" si="3"/>
        <v>-5.9090909090908639E-3</v>
      </c>
    </row>
    <row r="260" spans="2:8">
      <c r="B260" s="15">
        <v>65.7</v>
      </c>
      <c r="C260" s="15">
        <v>67.89</v>
      </c>
      <c r="D260" s="15">
        <v>64.72</v>
      </c>
      <c r="E260" s="15">
        <v>67.64</v>
      </c>
      <c r="F260" s="15">
        <v>15435157</v>
      </c>
      <c r="G260" s="15" t="s">
        <v>227</v>
      </c>
      <c r="H260" s="16">
        <f t="shared" si="3"/>
        <v>-2.8681253696037801E-2</v>
      </c>
    </row>
    <row r="261" spans="2:8">
      <c r="B261" s="15">
        <v>66.98</v>
      </c>
      <c r="C261" s="15">
        <v>67.44</v>
      </c>
      <c r="D261" s="15">
        <v>65.83</v>
      </c>
      <c r="E261" s="15">
        <v>66.7</v>
      </c>
      <c r="F261" s="15">
        <v>14480564</v>
      </c>
      <c r="G261" s="15" t="s">
        <v>226</v>
      </c>
      <c r="H261" s="16">
        <f t="shared" si="3"/>
        <v>4.1979010494752611E-3</v>
      </c>
    </row>
    <row r="262" spans="2:8">
      <c r="B262" s="15">
        <v>66.14</v>
      </c>
      <c r="C262" s="15">
        <v>67.8</v>
      </c>
      <c r="D262" s="15">
        <v>65.489999999999995</v>
      </c>
      <c r="E262" s="15">
        <v>67</v>
      </c>
      <c r="F262" s="15">
        <v>17966526</v>
      </c>
      <c r="G262" s="15" t="s">
        <v>225</v>
      </c>
      <c r="H262" s="16">
        <f t="shared" si="3"/>
        <v>-1.2835820895522376E-2</v>
      </c>
    </row>
    <row r="263" spans="2:8">
      <c r="B263" s="15">
        <v>67.92</v>
      </c>
      <c r="C263" s="15">
        <v>70.661799999999999</v>
      </c>
      <c r="D263" s="15">
        <v>67.22</v>
      </c>
      <c r="E263" s="15">
        <v>70</v>
      </c>
      <c r="F263" s="15">
        <v>43903402</v>
      </c>
      <c r="G263" s="15" t="s">
        <v>224</v>
      </c>
      <c r="H263" s="16">
        <f t="shared" si="3"/>
        <v>-2.9714285714285693E-2</v>
      </c>
    </row>
    <row r="264" spans="2:8">
      <c r="B264" s="15">
        <v>66.989999999999995</v>
      </c>
      <c r="C264" s="15">
        <v>67.55</v>
      </c>
      <c r="D264" s="15">
        <v>66</v>
      </c>
      <c r="E264" s="15">
        <v>66</v>
      </c>
      <c r="F264" s="15">
        <v>19142390</v>
      </c>
      <c r="G264" s="15" t="s">
        <v>223</v>
      </c>
      <c r="H264" s="16">
        <f t="shared" si="3"/>
        <v>1.4999999999999902E-2</v>
      </c>
    </row>
    <row r="265" spans="2:8">
      <c r="B265" s="15">
        <v>65.959999999999994</v>
      </c>
      <c r="C265" s="15">
        <v>66.3</v>
      </c>
      <c r="D265" s="15">
        <v>63.75</v>
      </c>
      <c r="E265" s="15">
        <v>64.13</v>
      </c>
      <c r="F265" s="15">
        <v>14200886</v>
      </c>
      <c r="G265" s="15" t="s">
        <v>222</v>
      </c>
      <c r="H265" s="16">
        <f t="shared" si="3"/>
        <v>2.8535786683299591E-2</v>
      </c>
    </row>
    <row r="266" spans="2:8">
      <c r="B266" s="15">
        <v>64.099999999999994</v>
      </c>
      <c r="C266" s="15">
        <v>64.400499999999994</v>
      </c>
      <c r="D266" s="15">
        <v>62.95</v>
      </c>
      <c r="E266" s="15">
        <v>63.47</v>
      </c>
      <c r="F266" s="15">
        <v>11711244</v>
      </c>
      <c r="G266" s="15" t="s">
        <v>221</v>
      </c>
      <c r="H266" s="16">
        <f t="shared" si="3"/>
        <v>9.9259492673704486E-3</v>
      </c>
    </row>
    <row r="267" spans="2:8">
      <c r="B267" s="15">
        <v>64.84</v>
      </c>
      <c r="C267" s="15">
        <v>65.09</v>
      </c>
      <c r="D267" s="15">
        <v>64.02</v>
      </c>
      <c r="E267" s="15">
        <v>64.11</v>
      </c>
      <c r="F267" s="15">
        <v>8189112</v>
      </c>
      <c r="G267" s="15" t="s">
        <v>220</v>
      </c>
      <c r="H267" s="16">
        <f t="shared" si="3"/>
        <v>1.1386679145219292E-2</v>
      </c>
    </row>
    <row r="268" spans="2:8">
      <c r="B268" s="15">
        <v>64.430000000000007</v>
      </c>
      <c r="C268" s="15">
        <v>64.7</v>
      </c>
      <c r="D268" s="15">
        <v>63.2</v>
      </c>
      <c r="E268" s="15">
        <v>63.38</v>
      </c>
      <c r="F268" s="15">
        <v>9912958</v>
      </c>
      <c r="G268" s="15" t="s">
        <v>219</v>
      </c>
      <c r="H268" s="16">
        <f t="shared" si="3"/>
        <v>1.6566740296623639E-2</v>
      </c>
    </row>
    <row r="269" spans="2:8">
      <c r="B269" s="15">
        <v>63.19</v>
      </c>
      <c r="C269" s="15">
        <v>63.634999999999998</v>
      </c>
      <c r="D269" s="15">
        <v>62.48</v>
      </c>
      <c r="E269" s="15">
        <v>63.04</v>
      </c>
      <c r="F269" s="15">
        <v>9958232</v>
      </c>
      <c r="G269" s="15" t="s">
        <v>218</v>
      </c>
      <c r="H269" s="16">
        <f t="shared" si="3"/>
        <v>2.3794416243654304E-3</v>
      </c>
    </row>
    <row r="270" spans="2:8">
      <c r="B270" s="15">
        <v>62.31</v>
      </c>
      <c r="C270" s="15">
        <v>62.460099999999997</v>
      </c>
      <c r="D270" s="15">
        <v>61.725000000000001</v>
      </c>
      <c r="E270" s="15">
        <v>62</v>
      </c>
      <c r="F270" s="15">
        <v>13177880</v>
      </c>
      <c r="G270" s="15" t="s">
        <v>217</v>
      </c>
      <c r="H270" s="16">
        <f t="shared" si="3"/>
        <v>5.0000000000001155E-3</v>
      </c>
    </row>
    <row r="271" spans="2:8">
      <c r="B271" s="15">
        <v>62.1</v>
      </c>
      <c r="C271" s="15">
        <v>64.03</v>
      </c>
      <c r="D271" s="15">
        <v>61.95</v>
      </c>
      <c r="E271" s="15">
        <v>63.85</v>
      </c>
      <c r="F271" s="15">
        <v>9240022</v>
      </c>
      <c r="G271" s="15" t="s">
        <v>216</v>
      </c>
      <c r="H271" s="16">
        <f t="shared" si="3"/>
        <v>-2.7407987470634332E-2</v>
      </c>
    </row>
    <row r="272" spans="2:8">
      <c r="B272" s="15">
        <v>63.26</v>
      </c>
      <c r="C272" s="15">
        <v>63.97</v>
      </c>
      <c r="D272" s="15">
        <v>62.58</v>
      </c>
      <c r="E272" s="15">
        <v>63.78</v>
      </c>
      <c r="F272" s="15">
        <v>8000869</v>
      </c>
      <c r="G272" s="15" t="s">
        <v>215</v>
      </c>
      <c r="H272" s="16">
        <f t="shared" si="3"/>
        <v>-8.153026026967769E-3</v>
      </c>
    </row>
    <row r="273" spans="2:8">
      <c r="B273" s="15">
        <v>63.43</v>
      </c>
      <c r="C273" s="15">
        <v>64.209999999999994</v>
      </c>
      <c r="D273" s="15">
        <v>62.92</v>
      </c>
      <c r="E273" s="15">
        <v>62.99</v>
      </c>
      <c r="F273" s="15">
        <v>9912670</v>
      </c>
      <c r="G273" s="15" t="s">
        <v>214</v>
      </c>
      <c r="H273" s="16">
        <f t="shared" si="3"/>
        <v>6.9852357517066199E-3</v>
      </c>
    </row>
    <row r="274" spans="2:8">
      <c r="B274" s="15">
        <v>63.51</v>
      </c>
      <c r="C274" s="15">
        <v>65.47</v>
      </c>
      <c r="D274" s="15">
        <v>63.25</v>
      </c>
      <c r="E274" s="15">
        <v>65.06</v>
      </c>
      <c r="F274" s="15">
        <v>11008660</v>
      </c>
      <c r="G274" s="15" t="s">
        <v>213</v>
      </c>
      <c r="H274" s="16">
        <f t="shared" si="3"/>
        <v>-2.382416231171236E-2</v>
      </c>
    </row>
    <row r="275" spans="2:8">
      <c r="B275" s="15">
        <v>64.59</v>
      </c>
      <c r="C275" s="15">
        <v>65.97</v>
      </c>
      <c r="D275" s="15">
        <v>64.16</v>
      </c>
      <c r="E275" s="15">
        <v>65.38</v>
      </c>
      <c r="F275" s="15">
        <v>9933991</v>
      </c>
      <c r="G275" s="15" t="s">
        <v>212</v>
      </c>
      <c r="H275" s="16">
        <f t="shared" si="3"/>
        <v>-1.2083205873355651E-2</v>
      </c>
    </row>
    <row r="276" spans="2:8">
      <c r="B276" s="15">
        <v>65.8</v>
      </c>
      <c r="C276" s="15">
        <v>66.377499999999998</v>
      </c>
      <c r="D276" s="15">
        <v>64.680000000000007</v>
      </c>
      <c r="E276" s="15">
        <v>65.844999999999999</v>
      </c>
      <c r="F276" s="15">
        <v>8785482</v>
      </c>
      <c r="G276" s="15" t="s">
        <v>211</v>
      </c>
      <c r="H276" s="16">
        <f t="shared" si="3"/>
        <v>-6.8342319082692615E-4</v>
      </c>
    </row>
    <row r="277" spans="2:8">
      <c r="B277" s="15">
        <v>65.88</v>
      </c>
      <c r="C277" s="15">
        <v>66.19</v>
      </c>
      <c r="D277" s="15">
        <v>65.05</v>
      </c>
      <c r="E277" s="15">
        <v>65.12</v>
      </c>
      <c r="F277" s="15">
        <v>8566270</v>
      </c>
      <c r="G277" s="15" t="s">
        <v>210</v>
      </c>
      <c r="H277" s="16">
        <f t="shared" si="3"/>
        <v>1.167076167076142E-2</v>
      </c>
    </row>
    <row r="278" spans="2:8">
      <c r="B278" s="15">
        <v>67</v>
      </c>
      <c r="C278" s="15">
        <v>67.260000000000005</v>
      </c>
      <c r="D278" s="15">
        <v>66.385000000000005</v>
      </c>
      <c r="E278" s="15">
        <v>66.95</v>
      </c>
      <c r="F278" s="15">
        <v>8459879</v>
      </c>
      <c r="G278" s="15" t="s">
        <v>209</v>
      </c>
      <c r="H278" s="16">
        <f t="shared" si="3"/>
        <v>7.468259895444529E-4</v>
      </c>
    </row>
    <row r="279" spans="2:8">
      <c r="B279" s="15">
        <v>66.34</v>
      </c>
      <c r="C279" s="15">
        <v>66.7</v>
      </c>
      <c r="D279" s="15">
        <v>65.33</v>
      </c>
      <c r="E279" s="15">
        <v>65.53</v>
      </c>
      <c r="F279" s="15">
        <v>8421432</v>
      </c>
      <c r="G279" s="15" t="s">
        <v>208</v>
      </c>
      <c r="H279" s="16">
        <f t="shared" si="3"/>
        <v>1.2360750801159837E-2</v>
      </c>
    </row>
    <row r="280" spans="2:8">
      <c r="B280" s="15">
        <v>65.150000000000006</v>
      </c>
      <c r="C280" s="15">
        <v>65.47</v>
      </c>
      <c r="D280" s="15">
        <v>64.06</v>
      </c>
      <c r="E280" s="15">
        <v>64.7</v>
      </c>
      <c r="F280" s="15">
        <v>8062301</v>
      </c>
      <c r="G280" s="15" t="s">
        <v>207</v>
      </c>
      <c r="H280" s="16">
        <f t="shared" si="3"/>
        <v>6.9551777434313511E-3</v>
      </c>
    </row>
    <row r="281" spans="2:8">
      <c r="B281" s="15">
        <v>64.540000000000006</v>
      </c>
      <c r="C281" s="15">
        <v>66.36</v>
      </c>
      <c r="D281" s="15">
        <v>64.34</v>
      </c>
      <c r="E281" s="15">
        <v>65.989999999999995</v>
      </c>
      <c r="F281" s="15">
        <v>9933370</v>
      </c>
      <c r="G281" s="15" t="s">
        <v>206</v>
      </c>
      <c r="H281" s="16">
        <f t="shared" si="3"/>
        <v>-2.1973026216093205E-2</v>
      </c>
    </row>
    <row r="282" spans="2:8">
      <c r="B282" s="15">
        <v>65.34</v>
      </c>
      <c r="C282" s="15">
        <v>65.454999999999998</v>
      </c>
      <c r="D282" s="15">
        <v>64.41</v>
      </c>
      <c r="E282" s="15">
        <v>64.48</v>
      </c>
      <c r="F282" s="15">
        <v>7176112</v>
      </c>
      <c r="G282" s="15" t="s">
        <v>205</v>
      </c>
      <c r="H282" s="16">
        <f t="shared" si="3"/>
        <v>1.3337468982630218E-2</v>
      </c>
    </row>
    <row r="283" spans="2:8">
      <c r="B283" s="15">
        <v>64.66</v>
      </c>
      <c r="C283" s="15">
        <v>64.84</v>
      </c>
      <c r="D283" s="15">
        <v>63.55</v>
      </c>
      <c r="E283" s="15">
        <v>63.95</v>
      </c>
      <c r="F283" s="15">
        <v>10329272</v>
      </c>
      <c r="G283" s="15" t="s">
        <v>204</v>
      </c>
      <c r="H283" s="16">
        <f t="shared" si="3"/>
        <v>1.110242376856907E-2</v>
      </c>
    </row>
    <row r="284" spans="2:8">
      <c r="B284" s="15">
        <v>65.03</v>
      </c>
      <c r="C284" s="15">
        <v>67.361000000000004</v>
      </c>
      <c r="D284" s="15">
        <v>65</v>
      </c>
      <c r="E284" s="15">
        <v>67</v>
      </c>
      <c r="F284" s="15">
        <v>9840525</v>
      </c>
      <c r="G284" s="15" t="s">
        <v>203</v>
      </c>
      <c r="H284" s="16">
        <f t="shared" si="3"/>
        <v>-2.9402985074626797E-2</v>
      </c>
    </row>
    <row r="285" spans="2:8">
      <c r="B285" s="15">
        <v>66.989999999999995</v>
      </c>
      <c r="C285" s="15">
        <v>67.72</v>
      </c>
      <c r="D285" s="15">
        <v>66.430000000000007</v>
      </c>
      <c r="E285" s="15">
        <v>66.87</v>
      </c>
      <c r="F285" s="15">
        <v>10775822</v>
      </c>
      <c r="G285" s="15" t="s">
        <v>202</v>
      </c>
      <c r="H285" s="16">
        <f t="shared" si="3"/>
        <v>1.7945266935843751E-3</v>
      </c>
    </row>
    <row r="286" spans="2:8">
      <c r="B286" s="15">
        <v>66.569999999999993</v>
      </c>
      <c r="C286" s="15">
        <v>68.209999999999994</v>
      </c>
      <c r="D286" s="15">
        <v>66.14</v>
      </c>
      <c r="E286" s="15">
        <v>67.72</v>
      </c>
      <c r="F286" s="15">
        <v>10591212</v>
      </c>
      <c r="G286" s="15" t="s">
        <v>201</v>
      </c>
      <c r="H286" s="16">
        <f t="shared" si="3"/>
        <v>-1.698168930891919E-2</v>
      </c>
    </row>
    <row r="287" spans="2:8">
      <c r="B287" s="15">
        <v>66.67</v>
      </c>
      <c r="C287" s="15">
        <v>67.97</v>
      </c>
      <c r="D287" s="15">
        <v>66.5</v>
      </c>
      <c r="E287" s="15">
        <v>66.739999999999995</v>
      </c>
      <c r="F287" s="15">
        <v>14826401</v>
      </c>
      <c r="G287" s="15" t="s">
        <v>200</v>
      </c>
      <c r="H287" s="16">
        <f t="shared" si="3"/>
        <v>-1.0488462691038425E-3</v>
      </c>
    </row>
  </sheetData>
  <sortState xmlns:xlrd2="http://schemas.microsoft.com/office/spreadsheetml/2017/richdata2" ref="E33:E57">
    <sortCondition ref="E33"/>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AACE-EE9E-4F2C-A7C0-C5D5A0D36CED}">
  <dimension ref="B2:B4"/>
  <sheetViews>
    <sheetView workbookViewId="0">
      <selection activeCell="B6" sqref="B6"/>
    </sheetView>
  </sheetViews>
  <sheetFormatPr defaultColWidth="9.140625" defaultRowHeight="14.25"/>
  <cols>
    <col min="1" max="1" width="2.85546875" style="1" customWidth="1"/>
    <col min="2" max="16384" width="9.140625" style="1"/>
  </cols>
  <sheetData>
    <row r="2" spans="2:2">
      <c r="B2" s="1" t="s">
        <v>461</v>
      </c>
    </row>
    <row r="4" spans="2:2">
      <c r="B4" s="1" t="s">
        <v>462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59133-2A19-4C47-8521-C57917F0B730}">
  <dimension ref="B3:B5"/>
  <sheetViews>
    <sheetView workbookViewId="0">
      <selection sqref="A1:XFD1048576"/>
    </sheetView>
  </sheetViews>
  <sheetFormatPr defaultColWidth="9.140625" defaultRowHeight="14.25"/>
  <cols>
    <col min="1" max="1" width="2.85546875" style="1" customWidth="1"/>
    <col min="2" max="16384" width="9.140625" style="1"/>
  </cols>
  <sheetData>
    <row r="3" spans="2:2">
      <c r="B3" s="1" t="s">
        <v>198</v>
      </c>
    </row>
    <row r="5" spans="2:2">
      <c r="B5" s="1" t="s">
        <v>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40CD-D4D5-4367-8669-48E79242DE40}">
  <dimension ref="A1"/>
  <sheetViews>
    <sheetView workbookViewId="0">
      <selection sqref="A1:XFD104857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25C-0073-4DCD-A5BC-7D924C7CBCCF}">
  <dimension ref="A1"/>
  <sheetViews>
    <sheetView workbookViewId="0">
      <selection sqref="A1:XFD1048576"/>
    </sheetView>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B650C-1C33-4136-9366-0416F785C764}">
  <dimension ref="A1"/>
  <sheetViews>
    <sheetView workbookViewId="0">
      <selection sqref="A1:XFD1048576"/>
    </sheetView>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6116F-0CC9-482B-B718-5B102FDF7657}">
  <dimension ref="A1"/>
  <sheetViews>
    <sheetView workbookViewId="0">
      <selection sqref="A1:XFD1048576"/>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Main | Overview</vt:lpstr>
      <vt:lpstr>Model</vt:lpstr>
      <vt:lpstr>Notes | Quant Analysis</vt:lpstr>
      <vt:lpstr>Balance Sheet Scope</vt:lpstr>
      <vt:lpstr>Cash Flow Scope</vt:lpstr>
      <vt:lpstr>PayPal</vt:lpstr>
      <vt:lpstr>PayPal Credit</vt:lpstr>
      <vt:lpstr>Braintree</vt:lpstr>
      <vt:lpstr>Venmo</vt:lpstr>
      <vt:lpstr>Xoom</vt:lpstr>
      <vt:lpstr>Hyperwallet</vt:lpstr>
      <vt:lpstr>Honey</vt:lpstr>
      <vt:lpstr>Paidy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2025-05-24T04:51:11Z</dcterms:modified>
</cp:coreProperties>
</file>