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F58B7716-6ED6-4C55-A6E4-09C3A81CCFE6}" xr6:coauthVersionLast="47" xr6:coauthVersionMax="47" xr10:uidLastSave="{00000000-0000-0000-0000-000000000000}"/>
  <bookViews>
    <workbookView xWindow="39345" yWindow="2565" windowWidth="14400" windowHeight="14010" xr2:uid="{00000000-000D-0000-FFFF-FFFF00000000}"/>
  </bookViews>
  <sheets>
    <sheet name="Main | Overview" sheetId="1" r:id="rId1"/>
    <sheet name="Model" sheetId="2" r:id="rId2"/>
    <sheet name="Notes | Quant Analysis" sheetId="4" r:id="rId3"/>
    <sheet name="Markets | Product Lines" sheetId="5" r:id="rId4"/>
    <sheet name="Management" sheetId="6" r:id="rId5"/>
    <sheet name="Clinical Trial Channel" sheetId="7" r:id="rId6"/>
    <sheet name="M&amp;A Scop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20" i="2" l="1"/>
  <c r="BO20" i="2"/>
  <c r="BN20" i="2"/>
  <c r="BM20" i="2"/>
  <c r="BL20" i="2"/>
  <c r="BK20" i="2"/>
  <c r="BJ20" i="2"/>
  <c r="BI20" i="2"/>
  <c r="BH20" i="2"/>
  <c r="BG20" i="2"/>
  <c r="BF20" i="2"/>
  <c r="BE20" i="2"/>
  <c r="BD20" i="2"/>
  <c r="BC20" i="2"/>
  <c r="BB20" i="2"/>
  <c r="BA20" i="2"/>
  <c r="BQ20" i="2"/>
  <c r="BQ104" i="2"/>
  <c r="BQ102" i="2"/>
  <c r="BQ101" i="2"/>
  <c r="BQ103" i="2" s="1"/>
  <c r="BQ91" i="2"/>
  <c r="BQ81" i="2"/>
  <c r="BQ37" i="2"/>
  <c r="BQ36" i="2"/>
  <c r="BQ35" i="2"/>
  <c r="BQ34" i="2"/>
  <c r="BQ27" i="2"/>
  <c r="BQ40" i="2" s="1"/>
  <c r="BQ13" i="2"/>
  <c r="BQ6" i="2"/>
  <c r="BQ19" i="2" s="1"/>
  <c r="AW102" i="2"/>
  <c r="AX102" i="2" s="1"/>
  <c r="AX101" i="2"/>
  <c r="BA102" i="2"/>
  <c r="BB102" i="2" s="1"/>
  <c r="BC102" i="2" s="1"/>
  <c r="AZ104" i="2"/>
  <c r="AY104" i="2"/>
  <c r="AX104" i="2"/>
  <c r="AW104" i="2"/>
  <c r="AZ58" i="2"/>
  <c r="AZ56" i="2"/>
  <c r="AZ54" i="2"/>
  <c r="AZ53" i="2"/>
  <c r="AZ51" i="2"/>
  <c r="AZ50" i="2"/>
  <c r="AZ49" i="2"/>
  <c r="AZ48" i="2"/>
  <c r="AZ47" i="2"/>
  <c r="AZ46" i="2"/>
  <c r="AZ45" i="2"/>
  <c r="AZ44" i="2"/>
  <c r="AZ43" i="2"/>
  <c r="AZ41" i="2"/>
  <c r="AW27" i="2"/>
  <c r="AW11" i="2"/>
  <c r="AW13" i="2" s="1"/>
  <c r="AX27" i="2"/>
  <c r="AY27" i="2"/>
  <c r="AZ8" i="2"/>
  <c r="AZ7" i="2"/>
  <c r="AY11" i="2"/>
  <c r="AY13" i="2" s="1"/>
  <c r="AX11" i="2"/>
  <c r="AX13" i="2" s="1"/>
  <c r="AY6" i="2"/>
  <c r="AX6" i="2"/>
  <c r="AW6" i="2"/>
  <c r="AZ12" i="2"/>
  <c r="CO74" i="2"/>
  <c r="BD58" i="2"/>
  <c r="BD56" i="2"/>
  <c r="BD54" i="2"/>
  <c r="BD53" i="2"/>
  <c r="BD51" i="2"/>
  <c r="BD50" i="2"/>
  <c r="BD49" i="2"/>
  <c r="BD48" i="2"/>
  <c r="BD47" i="2"/>
  <c r="BD46" i="2"/>
  <c r="BD45" i="2"/>
  <c r="BD44" i="2"/>
  <c r="BD43" i="2"/>
  <c r="BD41" i="2"/>
  <c r="BD26" i="2"/>
  <c r="BD25" i="2"/>
  <c r="BD24" i="2"/>
  <c r="BD23" i="2"/>
  <c r="AZ26" i="2"/>
  <c r="AZ25" i="2"/>
  <c r="AZ24" i="2"/>
  <c r="AZ23" i="2"/>
  <c r="AZ27" i="2" s="1"/>
  <c r="BH58" i="2"/>
  <c r="BH56" i="2"/>
  <c r="BH54" i="2"/>
  <c r="BH53" i="2"/>
  <c r="BH51" i="2"/>
  <c r="BH50" i="2"/>
  <c r="BH49" i="2"/>
  <c r="BH48" i="2"/>
  <c r="BH47" i="2"/>
  <c r="BH46" i="2"/>
  <c r="BH45" i="2"/>
  <c r="BH44" i="2"/>
  <c r="BH43" i="2"/>
  <c r="BH41" i="2"/>
  <c r="BH26" i="2"/>
  <c r="BH25" i="2"/>
  <c r="BH24" i="2"/>
  <c r="BH23" i="2"/>
  <c r="AZ10" i="2"/>
  <c r="AZ9" i="2"/>
  <c r="AZ5" i="2"/>
  <c r="AZ4" i="2"/>
  <c r="AZ3" i="2"/>
  <c r="BD10" i="2"/>
  <c r="BD9" i="2"/>
  <c r="BD8" i="2"/>
  <c r="BD7" i="2"/>
  <c r="BD5" i="2"/>
  <c r="BD4" i="2"/>
  <c r="BD3" i="2"/>
  <c r="BH12" i="2"/>
  <c r="BH10" i="2"/>
  <c r="BH9" i="2"/>
  <c r="BH8" i="2"/>
  <c r="BH7" i="2"/>
  <c r="BH5" i="2"/>
  <c r="BH4" i="2"/>
  <c r="BH3" i="2"/>
  <c r="BA27" i="2"/>
  <c r="BA12" i="2"/>
  <c r="BD12" i="2" s="1"/>
  <c r="BB101" i="2"/>
  <c r="BC101" i="2" s="1"/>
  <c r="BF101" i="2"/>
  <c r="BG101" i="2" s="1"/>
  <c r="BD104" i="2"/>
  <c r="BC104" i="2"/>
  <c r="BB104" i="2"/>
  <c r="BA104" i="2"/>
  <c r="BK91" i="2"/>
  <c r="BJ91" i="2"/>
  <c r="BI91" i="2"/>
  <c r="BH91" i="2"/>
  <c r="BG91" i="2"/>
  <c r="BF91" i="2"/>
  <c r="BE91" i="2"/>
  <c r="BD91" i="2"/>
  <c r="BC91" i="2"/>
  <c r="BB91" i="2"/>
  <c r="BA91" i="2"/>
  <c r="AZ91"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AV55" i="2"/>
  <c r="AV57" i="2" s="1"/>
  <c r="AV60" i="2" s="1"/>
  <c r="AU55" i="2"/>
  <c r="AU57" i="2" s="1"/>
  <c r="AU60" i="2" s="1"/>
  <c r="AT55" i="2"/>
  <c r="AT57" i="2" s="1"/>
  <c r="AT60" i="2" s="1"/>
  <c r="AS55" i="2"/>
  <c r="AS57" i="2" s="1"/>
  <c r="AS60" i="2" s="1"/>
  <c r="AR55" i="2"/>
  <c r="AR57" i="2" s="1"/>
  <c r="AR60" i="2" s="1"/>
  <c r="AQ55" i="2"/>
  <c r="AQ57" i="2" s="1"/>
  <c r="AQ60" i="2" s="1"/>
  <c r="AP55" i="2"/>
  <c r="AP57" i="2" s="1"/>
  <c r="AP60" i="2" s="1"/>
  <c r="AO55" i="2"/>
  <c r="AO57" i="2" s="1"/>
  <c r="AO60" i="2" s="1"/>
  <c r="AN55" i="2"/>
  <c r="AN57" i="2" s="1"/>
  <c r="AN60" i="2" s="1"/>
  <c r="AM55" i="2"/>
  <c r="AM57" i="2" s="1"/>
  <c r="AM60" i="2" s="1"/>
  <c r="AL55" i="2"/>
  <c r="AL57" i="2" s="1"/>
  <c r="AL60" i="2" s="1"/>
  <c r="AK55" i="2"/>
  <c r="AK57" i="2" s="1"/>
  <c r="AK60" i="2" s="1"/>
  <c r="AJ55" i="2"/>
  <c r="AJ57" i="2" s="1"/>
  <c r="AJ60" i="2" s="1"/>
  <c r="AI55" i="2"/>
  <c r="AI57" i="2" s="1"/>
  <c r="AI60" i="2" s="1"/>
  <c r="AH55" i="2"/>
  <c r="AH57" i="2" s="1"/>
  <c r="AH60" i="2" s="1"/>
  <c r="AG55" i="2"/>
  <c r="AG57" i="2" s="1"/>
  <c r="AG60" i="2" s="1"/>
  <c r="AF55" i="2"/>
  <c r="AF57" i="2" s="1"/>
  <c r="AF60" i="2" s="1"/>
  <c r="AE55" i="2"/>
  <c r="AE57" i="2" s="1"/>
  <c r="AE60" i="2" s="1"/>
  <c r="AD55" i="2"/>
  <c r="AD57" i="2" s="1"/>
  <c r="AD60" i="2" s="1"/>
  <c r="AC55" i="2"/>
  <c r="AC57" i="2" s="1"/>
  <c r="AC60" i="2" s="1"/>
  <c r="AB55" i="2"/>
  <c r="AB57" i="2" s="1"/>
  <c r="AB60" i="2" s="1"/>
  <c r="AA55" i="2"/>
  <c r="AA57" i="2" s="1"/>
  <c r="AA60" i="2" s="1"/>
  <c r="Z55" i="2"/>
  <c r="Z57" i="2" s="1"/>
  <c r="Z60" i="2" s="1"/>
  <c r="Y55" i="2"/>
  <c r="Y57" i="2" s="1"/>
  <c r="Y60" i="2" s="1"/>
  <c r="X55" i="2"/>
  <c r="X57" i="2" s="1"/>
  <c r="X60" i="2" s="1"/>
  <c r="W55" i="2"/>
  <c r="W57" i="2" s="1"/>
  <c r="W60" i="2" s="1"/>
  <c r="V55" i="2"/>
  <c r="V57" i="2" s="1"/>
  <c r="V60" i="2" s="1"/>
  <c r="U55" i="2"/>
  <c r="U57" i="2" s="1"/>
  <c r="U60" i="2" s="1"/>
  <c r="T55" i="2"/>
  <c r="T57" i="2" s="1"/>
  <c r="T60" i="2" s="1"/>
  <c r="S55" i="2"/>
  <c r="S57" i="2" s="1"/>
  <c r="S60" i="2" s="1"/>
  <c r="R55" i="2"/>
  <c r="R57" i="2" s="1"/>
  <c r="R60" i="2" s="1"/>
  <c r="Q55" i="2"/>
  <c r="Q57" i="2" s="1"/>
  <c r="Q60" i="2" s="1"/>
  <c r="P55" i="2"/>
  <c r="P57" i="2" s="1"/>
  <c r="P60" i="2" s="1"/>
  <c r="O55" i="2"/>
  <c r="O57" i="2" s="1"/>
  <c r="O60" i="2" s="1"/>
  <c r="N55" i="2"/>
  <c r="N57" i="2" s="1"/>
  <c r="N60" i="2" s="1"/>
  <c r="M55" i="2"/>
  <c r="M57" i="2" s="1"/>
  <c r="M60" i="2" s="1"/>
  <c r="L55" i="2"/>
  <c r="L57" i="2" s="1"/>
  <c r="L60" i="2" s="1"/>
  <c r="K55" i="2"/>
  <c r="K57" i="2" s="1"/>
  <c r="K60" i="2" s="1"/>
  <c r="J55" i="2"/>
  <c r="J57" i="2" s="1"/>
  <c r="J60" i="2" s="1"/>
  <c r="I55" i="2"/>
  <c r="I57" i="2" s="1"/>
  <c r="I60" i="2" s="1"/>
  <c r="H55" i="2"/>
  <c r="H57" i="2" s="1"/>
  <c r="H60" i="2" s="1"/>
  <c r="G55" i="2"/>
  <c r="G57" i="2" s="1"/>
  <c r="G60" i="2" s="1"/>
  <c r="F55" i="2"/>
  <c r="F57" i="2" s="1"/>
  <c r="F60" i="2" s="1"/>
  <c r="E55" i="2"/>
  <c r="E57" i="2" s="1"/>
  <c r="E60" i="2" s="1"/>
  <c r="D55" i="2"/>
  <c r="D57" i="2" s="1"/>
  <c r="D60" i="2" s="1"/>
  <c r="C55" i="2"/>
  <c r="C57" i="2" s="1"/>
  <c r="C60" i="2" s="1"/>
  <c r="BQ105" i="2" l="1"/>
  <c r="BQ31" i="2"/>
  <c r="BQ32" i="2"/>
  <c r="BQ66" i="2"/>
  <c r="BQ42" i="2"/>
  <c r="BQ65" i="2"/>
  <c r="BQ29" i="2"/>
  <c r="BQ38" i="2"/>
  <c r="BQ30" i="2"/>
  <c r="BQ14" i="2"/>
  <c r="BD27" i="2"/>
  <c r="BD6" i="2"/>
  <c r="BA103" i="2"/>
  <c r="BA105" i="2" s="1"/>
  <c r="AW14" i="2"/>
  <c r="AW17" i="2" s="1"/>
  <c r="AY101" i="2"/>
  <c r="AZ101" i="2" s="1"/>
  <c r="BH27" i="2"/>
  <c r="BH40" i="2" s="1"/>
  <c r="AW103" i="2"/>
  <c r="AW105" i="2" s="1"/>
  <c r="AY102" i="2"/>
  <c r="AZ102" i="2" s="1"/>
  <c r="AX14" i="2"/>
  <c r="AX17" i="2" s="1"/>
  <c r="AY14" i="2"/>
  <c r="AY17" i="2" s="1"/>
  <c r="AZ6" i="2"/>
  <c r="BH101" i="2"/>
  <c r="BH42" i="2"/>
  <c r="BH52" i="2" s="1"/>
  <c r="BH55" i="2" s="1"/>
  <c r="BH57" i="2" s="1"/>
  <c r="BH60" i="2" s="1"/>
  <c r="BH62" i="2" s="1"/>
  <c r="BD101" i="2"/>
  <c r="BD102" i="2"/>
  <c r="AZ11" i="2"/>
  <c r="AZ13" i="2" s="1"/>
  <c r="BD11" i="2"/>
  <c r="BD13" i="2" s="1"/>
  <c r="BD14" i="2" s="1"/>
  <c r="BH11" i="2"/>
  <c r="BH13" i="2" s="1"/>
  <c r="BH6" i="2"/>
  <c r="BH14" i="2" s="1"/>
  <c r="BB103" i="2"/>
  <c r="BB105" i="2" s="1"/>
  <c r="BQ21" i="2" l="1"/>
  <c r="BQ17" i="2"/>
  <c r="BQ16" i="2"/>
  <c r="BQ64" i="2"/>
  <c r="BQ52" i="2"/>
  <c r="AZ14" i="2"/>
  <c r="AY103" i="2"/>
  <c r="AY105" i="2" s="1"/>
  <c r="AX103" i="2"/>
  <c r="AX105" i="2" s="1"/>
  <c r="AW16" i="2"/>
  <c r="AX16" i="2"/>
  <c r="AY16" i="2"/>
  <c r="BC103" i="2"/>
  <c r="BC105" i="2" s="1"/>
  <c r="BQ55" i="2" l="1"/>
  <c r="BQ57" i="2" s="1"/>
  <c r="BQ67" i="2"/>
  <c r="AZ103" i="2"/>
  <c r="AZ105" i="2" s="1"/>
  <c r="BD103" i="2"/>
  <c r="BD105" i="2" s="1"/>
  <c r="BQ60" i="2" l="1"/>
  <c r="BQ62" i="2" s="1"/>
  <c r="BQ68" i="2"/>
  <c r="BH104" i="2" l="1"/>
  <c r="BG104" i="2"/>
  <c r="BF104" i="2"/>
  <c r="BE104" i="2"/>
  <c r="BE102" i="2"/>
  <c r="BE103" i="2" s="1"/>
  <c r="BE105" i="2" s="1"/>
  <c r="BJ101" i="2"/>
  <c r="BK101" i="2" s="1"/>
  <c r="BL101" i="2" s="1"/>
  <c r="BN101" i="2"/>
  <c r="BO101" i="2" s="1"/>
  <c r="BP101" i="2" s="1"/>
  <c r="CS101" i="2" s="1"/>
  <c r="BM102" i="2"/>
  <c r="BN102" i="2" s="1"/>
  <c r="BO102" i="2" s="1"/>
  <c r="BI102" i="2"/>
  <c r="BJ102" i="2" s="1"/>
  <c r="BL104" i="2"/>
  <c r="BP104" i="2"/>
  <c r="BI104" i="2"/>
  <c r="BM104" i="2"/>
  <c r="BL81" i="2"/>
  <c r="CR81" i="2" s="1"/>
  <c r="BP91" i="2"/>
  <c r="CS91" i="2" s="1"/>
  <c r="BM91" i="2"/>
  <c r="BL58" i="2"/>
  <c r="BL56" i="2"/>
  <c r="BL54" i="2"/>
  <c r="BL53" i="2"/>
  <c r="BL41" i="2"/>
  <c r="BL51" i="2"/>
  <c r="BL50" i="2"/>
  <c r="BL49" i="2"/>
  <c r="BL48" i="2"/>
  <c r="BL47" i="2"/>
  <c r="BL46" i="2"/>
  <c r="BL45" i="2"/>
  <c r="BL44" i="2"/>
  <c r="BL43" i="2"/>
  <c r="BL26" i="2"/>
  <c r="BL25" i="2"/>
  <c r="BL24" i="2"/>
  <c r="BL23" i="2"/>
  <c r="BP59" i="2"/>
  <c r="BP58" i="2"/>
  <c r="BP56" i="2"/>
  <c r="BP54" i="2"/>
  <c r="BP53" i="2"/>
  <c r="BP26" i="2"/>
  <c r="BP51" i="2"/>
  <c r="BP50" i="2"/>
  <c r="BP49" i="2"/>
  <c r="BP48" i="2"/>
  <c r="BP47" i="2"/>
  <c r="BP46" i="2"/>
  <c r="BP45" i="2"/>
  <c r="BP44" i="2"/>
  <c r="BP43" i="2"/>
  <c r="BP41" i="2"/>
  <c r="BP12" i="2"/>
  <c r="BL12" i="2"/>
  <c r="BL10" i="2"/>
  <c r="BL9" i="2"/>
  <c r="BL8" i="2"/>
  <c r="BL7" i="2"/>
  <c r="BL5" i="2"/>
  <c r="BL4" i="2"/>
  <c r="BL3" i="2"/>
  <c r="CN26" i="2"/>
  <c r="CN25" i="2"/>
  <c r="CN24" i="2"/>
  <c r="CN23" i="2"/>
  <c r="BP25" i="2"/>
  <c r="BP24" i="2"/>
  <c r="BP23" i="2"/>
  <c r="BP10" i="2"/>
  <c r="BP4" i="2"/>
  <c r="BP9" i="2"/>
  <c r="BP8" i="2"/>
  <c r="BP7" i="2"/>
  <c r="BP5" i="2"/>
  <c r="BP3" i="2"/>
  <c r="BJ104" i="2"/>
  <c r="BN104" i="2"/>
  <c r="BN91" i="2"/>
  <c r="BK104" i="2"/>
  <c r="BO104" i="2"/>
  <c r="BL91" i="2"/>
  <c r="CR91" i="2" s="1"/>
  <c r="BO91" i="2"/>
  <c r="CO91" i="2"/>
  <c r="CO90" i="2"/>
  <c r="CO89" i="2"/>
  <c r="CO88" i="2"/>
  <c r="CO87" i="2"/>
  <c r="CO86" i="2"/>
  <c r="CO85" i="2"/>
  <c r="CO84" i="2"/>
  <c r="CO83" i="2"/>
  <c r="CO80" i="2"/>
  <c r="CO79" i="2"/>
  <c r="CO78" i="2"/>
  <c r="CO77" i="2"/>
  <c r="CO76" i="2"/>
  <c r="CO75" i="2"/>
  <c r="CO73" i="2"/>
  <c r="CO72" i="2"/>
  <c r="CO71" i="2"/>
  <c r="CO70" i="2"/>
  <c r="CP91" i="2"/>
  <c r="CP90" i="2"/>
  <c r="CP89" i="2"/>
  <c r="CP88" i="2"/>
  <c r="CP87" i="2"/>
  <c r="CP86" i="2"/>
  <c r="CP85" i="2"/>
  <c r="CP84" i="2"/>
  <c r="CP83" i="2"/>
  <c r="CP80" i="2"/>
  <c r="CP79" i="2"/>
  <c r="CP78" i="2"/>
  <c r="CP77" i="2"/>
  <c r="CP76" i="2"/>
  <c r="CP75" i="2"/>
  <c r="CP73" i="2"/>
  <c r="CP72" i="2"/>
  <c r="CP71" i="2"/>
  <c r="CP70" i="2"/>
  <c r="CQ91" i="2"/>
  <c r="CQ90" i="2"/>
  <c r="CQ89" i="2"/>
  <c r="CQ88" i="2"/>
  <c r="CQ87" i="2"/>
  <c r="CQ86" i="2"/>
  <c r="CQ85" i="2"/>
  <c r="CQ84" i="2"/>
  <c r="CQ83" i="2"/>
  <c r="CQ80" i="2"/>
  <c r="CQ79" i="2"/>
  <c r="CQ78" i="2"/>
  <c r="CQ77" i="2"/>
  <c r="CQ76" i="2"/>
  <c r="CQ75" i="2"/>
  <c r="CQ73" i="2"/>
  <c r="CQ72" i="2"/>
  <c r="CQ71" i="2"/>
  <c r="CQ70" i="2"/>
  <c r="CR90" i="2"/>
  <c r="CR89" i="2"/>
  <c r="CR88" i="2"/>
  <c r="CR87" i="2"/>
  <c r="CR86" i="2"/>
  <c r="CR85" i="2"/>
  <c r="CR84" i="2"/>
  <c r="CR83" i="2"/>
  <c r="CR80" i="2"/>
  <c r="CR79" i="2"/>
  <c r="CR78" i="2"/>
  <c r="CR77" i="2"/>
  <c r="CR76" i="2"/>
  <c r="CR75" i="2"/>
  <c r="CR73" i="2"/>
  <c r="CR72" i="2"/>
  <c r="CR71" i="2"/>
  <c r="CR70" i="2"/>
  <c r="CO105" i="2"/>
  <c r="CO104" i="2"/>
  <c r="CO103" i="2"/>
  <c r="CO102" i="2"/>
  <c r="CO101" i="2"/>
  <c r="CP105" i="2"/>
  <c r="CP104" i="2"/>
  <c r="CP103" i="2"/>
  <c r="CP102" i="2"/>
  <c r="CP101" i="2"/>
  <c r="CS90" i="2"/>
  <c r="CS89" i="2"/>
  <c r="CS88" i="2"/>
  <c r="CS87" i="2"/>
  <c r="CS86" i="2"/>
  <c r="CS85" i="2"/>
  <c r="CS84" i="2"/>
  <c r="CS83" i="2"/>
  <c r="CS80" i="2"/>
  <c r="CS79" i="2"/>
  <c r="CS78" i="2"/>
  <c r="CS77" i="2"/>
  <c r="CS76" i="2"/>
  <c r="CS75" i="2"/>
  <c r="CS73" i="2"/>
  <c r="CS72" i="2"/>
  <c r="CS71" i="2"/>
  <c r="CS70" i="2"/>
  <c r="AW32" i="2"/>
  <c r="AW31" i="2"/>
  <c r="AW30" i="2"/>
  <c r="AW29" i="2"/>
  <c r="BO81" i="2"/>
  <c r="BN81" i="2"/>
  <c r="BM81" i="2"/>
  <c r="BK81" i="2"/>
  <c r="BJ81" i="2"/>
  <c r="BI81" i="2"/>
  <c r="BH81" i="2"/>
  <c r="CQ81" i="2" s="1"/>
  <c r="BG81" i="2"/>
  <c r="BF81" i="2"/>
  <c r="BE81" i="2"/>
  <c r="BD81" i="2"/>
  <c r="CP81" i="2" s="1"/>
  <c r="BC81" i="2"/>
  <c r="BB81" i="2"/>
  <c r="BA81" i="2"/>
  <c r="AZ81" i="2"/>
  <c r="CO81" i="2" s="1"/>
  <c r="BP81" i="2"/>
  <c r="CS81" i="2" s="1"/>
  <c r="AW40" i="2"/>
  <c r="AW42" i="2" s="1"/>
  <c r="AW52" i="2" s="1"/>
  <c r="AW55" i="2" s="1"/>
  <c r="AW57" i="2" s="1"/>
  <c r="AW60" i="2" s="1"/>
  <c r="AW62" i="2" s="1"/>
  <c r="BI103" i="2" l="1"/>
  <c r="BI105" i="2" s="1"/>
  <c r="BO103" i="2"/>
  <c r="BO105" i="2" s="1"/>
  <c r="BK102" i="2"/>
  <c r="BL102" i="2" s="1"/>
  <c r="BF102" i="2"/>
  <c r="BF103" i="2" s="1"/>
  <c r="CQ104" i="2"/>
  <c r="CQ101" i="2"/>
  <c r="CR101" i="2"/>
  <c r="BP102" i="2"/>
  <c r="CS102" i="2" s="1"/>
  <c r="BN103" i="2"/>
  <c r="BN105" i="2" s="1"/>
  <c r="BM103" i="2"/>
  <c r="BM105" i="2" s="1"/>
  <c r="BJ103" i="2"/>
  <c r="BJ105" i="2" s="1"/>
  <c r="CS104" i="2"/>
  <c r="CR104"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61" i="2"/>
  <c r="CS59" i="2"/>
  <c r="CS58" i="2"/>
  <c r="CS56" i="2"/>
  <c r="CS54" i="2"/>
  <c r="CS53" i="2"/>
  <c r="CS51" i="2"/>
  <c r="CS50" i="2"/>
  <c r="CS49" i="2"/>
  <c r="CS48" i="2"/>
  <c r="CS47" i="2"/>
  <c r="CS46" i="2"/>
  <c r="CS45" i="2"/>
  <c r="CS44" i="2"/>
  <c r="CS43" i="2"/>
  <c r="CS41" i="2"/>
  <c r="CN12" i="2"/>
  <c r="CN10" i="2"/>
  <c r="CN9" i="2"/>
  <c r="CN8" i="2"/>
  <c r="CN7" i="2"/>
  <c r="CN5" i="2"/>
  <c r="CN4" i="2"/>
  <c r="CN3" i="2"/>
  <c r="CO26" i="2"/>
  <c r="CO25" i="2"/>
  <c r="CO24" i="2"/>
  <c r="CO23" i="2"/>
  <c r="CO12" i="2"/>
  <c r="CO10" i="2"/>
  <c r="CO9" i="2"/>
  <c r="CO8" i="2"/>
  <c r="CO7" i="2"/>
  <c r="CO5" i="2"/>
  <c r="CO4" i="2"/>
  <c r="CO3" i="2"/>
  <c r="CP26" i="2"/>
  <c r="CP25" i="2"/>
  <c r="CP24" i="2"/>
  <c r="CP23" i="2"/>
  <c r="CP12" i="2"/>
  <c r="CP10" i="2"/>
  <c r="CP9" i="2"/>
  <c r="CP8" i="2"/>
  <c r="CP7" i="2"/>
  <c r="CP5" i="2"/>
  <c r="CP4" i="2"/>
  <c r="CP3" i="2"/>
  <c r="CQ26" i="2"/>
  <c r="CQ25" i="2"/>
  <c r="CQ24" i="2"/>
  <c r="CQ23" i="2"/>
  <c r="CQ12" i="2"/>
  <c r="CQ10" i="2"/>
  <c r="CQ9" i="2"/>
  <c r="CQ8" i="2"/>
  <c r="CQ7" i="2"/>
  <c r="CQ5" i="2"/>
  <c r="CQ4" i="2"/>
  <c r="CQ3" i="2"/>
  <c r="CS26" i="2"/>
  <c r="CS25" i="2"/>
  <c r="CS24" i="2"/>
  <c r="CS23" i="2"/>
  <c r="CS12" i="2"/>
  <c r="CS10" i="2"/>
  <c r="CS9" i="2"/>
  <c r="CS8" i="2"/>
  <c r="CS7" i="2"/>
  <c r="CS5" i="2"/>
  <c r="CS4" i="2"/>
  <c r="CS3" i="2"/>
  <c r="CR26" i="2"/>
  <c r="CR25" i="2"/>
  <c r="CR24" i="2"/>
  <c r="CR23" i="2"/>
  <c r="CR12" i="2"/>
  <c r="CR10" i="2"/>
  <c r="CR9" i="2"/>
  <c r="CR8" i="2"/>
  <c r="CR7" i="2"/>
  <c r="CR5" i="2"/>
  <c r="CR4" i="2"/>
  <c r="CR3"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O37" i="2"/>
  <c r="BN37" i="2"/>
  <c r="BM37" i="2"/>
  <c r="BL37" i="2"/>
  <c r="BK37" i="2"/>
  <c r="BJ37" i="2"/>
  <c r="BI37" i="2"/>
  <c r="BH37" i="2"/>
  <c r="BG37" i="2"/>
  <c r="BF37" i="2"/>
  <c r="BE37" i="2"/>
  <c r="BD37" i="2"/>
  <c r="BC37" i="2"/>
  <c r="BB37" i="2"/>
  <c r="BA37" i="2"/>
  <c r="BO36" i="2"/>
  <c r="BN36" i="2"/>
  <c r="BM36" i="2"/>
  <c r="BL36" i="2"/>
  <c r="BK36" i="2"/>
  <c r="BJ36" i="2"/>
  <c r="BI36" i="2"/>
  <c r="BH36" i="2"/>
  <c r="BG36" i="2"/>
  <c r="BF36" i="2"/>
  <c r="BE36" i="2"/>
  <c r="BD36" i="2"/>
  <c r="BC36" i="2"/>
  <c r="BB36" i="2"/>
  <c r="BA36" i="2"/>
  <c r="BO35" i="2"/>
  <c r="BN35" i="2"/>
  <c r="BM35" i="2"/>
  <c r="BL35" i="2"/>
  <c r="BK35" i="2"/>
  <c r="BJ35" i="2"/>
  <c r="BI35" i="2"/>
  <c r="BH35" i="2"/>
  <c r="BG35" i="2"/>
  <c r="BF35" i="2"/>
  <c r="BE35" i="2"/>
  <c r="BD35" i="2"/>
  <c r="BC35" i="2"/>
  <c r="BB35" i="2"/>
  <c r="BA35" i="2"/>
  <c r="BO34" i="2"/>
  <c r="BN34" i="2"/>
  <c r="BM34" i="2"/>
  <c r="BL34" i="2"/>
  <c r="BK34" i="2"/>
  <c r="BJ34" i="2"/>
  <c r="BI34" i="2"/>
  <c r="BH34" i="2"/>
  <c r="BG34" i="2"/>
  <c r="BF34" i="2"/>
  <c r="BE34" i="2"/>
  <c r="BD34" i="2"/>
  <c r="BC34" i="2"/>
  <c r="BB34" i="2"/>
  <c r="BA34" i="2"/>
  <c r="BP37" i="2"/>
  <c r="BP36" i="2"/>
  <c r="BP35" i="2"/>
  <c r="BP34" i="2"/>
  <c r="BO27" i="2"/>
  <c r="BN27" i="2"/>
  <c r="BM27" i="2"/>
  <c r="BL27" i="2"/>
  <c r="BK27" i="2"/>
  <c r="BK40" i="2" s="1"/>
  <c r="BK42" i="2" s="1"/>
  <c r="BJ27" i="2"/>
  <c r="BI27" i="2"/>
  <c r="BG27" i="2"/>
  <c r="BF27" i="2"/>
  <c r="BE27" i="2"/>
  <c r="BC27" i="2"/>
  <c r="BB27" i="2"/>
  <c r="BP27" i="2"/>
  <c r="BO6" i="2"/>
  <c r="BN6" i="2"/>
  <c r="BM6" i="2"/>
  <c r="BL6" i="2"/>
  <c r="BK6" i="2"/>
  <c r="BJ6" i="2"/>
  <c r="BI6" i="2"/>
  <c r="BG6" i="2"/>
  <c r="BF6" i="2"/>
  <c r="BE6" i="2"/>
  <c r="BC6" i="2"/>
  <c r="BB6" i="2"/>
  <c r="BA6" i="2"/>
  <c r="CR61" i="2"/>
  <c r="CQ61" i="2"/>
  <c r="CP61" i="2"/>
  <c r="CO61" i="2"/>
  <c r="CR59" i="2"/>
  <c r="CQ59" i="2"/>
  <c r="CP59" i="2"/>
  <c r="CO59" i="2"/>
  <c r="CR58" i="2"/>
  <c r="CQ58" i="2"/>
  <c r="CP58" i="2"/>
  <c r="CO58" i="2"/>
  <c r="CR51" i="2"/>
  <c r="CQ51" i="2"/>
  <c r="CP51" i="2"/>
  <c r="CO51" i="2"/>
  <c r="CR50" i="2"/>
  <c r="CQ50" i="2"/>
  <c r="CP50" i="2"/>
  <c r="CO50" i="2"/>
  <c r="CR49" i="2"/>
  <c r="CQ49" i="2"/>
  <c r="CP49" i="2"/>
  <c r="CO49" i="2"/>
  <c r="CR48" i="2"/>
  <c r="CQ48" i="2"/>
  <c r="CP48" i="2"/>
  <c r="CO48" i="2"/>
  <c r="CR47" i="2"/>
  <c r="CQ47" i="2"/>
  <c r="CP47" i="2"/>
  <c r="CO47" i="2"/>
  <c r="CR46" i="2"/>
  <c r="CQ46" i="2"/>
  <c r="CP46" i="2"/>
  <c r="CO46" i="2"/>
  <c r="CR45" i="2"/>
  <c r="CQ45" i="2"/>
  <c r="CP45" i="2"/>
  <c r="CO45" i="2"/>
  <c r="BG102" i="2" l="1"/>
  <c r="BG103" i="2" s="1"/>
  <c r="BG105" i="2" s="1"/>
  <c r="BK103" i="2"/>
  <c r="BK105" i="2" s="1"/>
  <c r="BA14" i="2"/>
  <c r="BH102" i="2"/>
  <c r="CR102" i="2"/>
  <c r="AX30" i="2"/>
  <c r="CN27" i="2"/>
  <c r="CN31" i="2" s="1"/>
  <c r="BF14" i="2"/>
  <c r="BF16" i="2" s="1"/>
  <c r="BF105" i="2"/>
  <c r="CQ102" i="2"/>
  <c r="BH103" i="2"/>
  <c r="BH105" i="2" s="1"/>
  <c r="CQ105" i="2" s="1"/>
  <c r="CR103" i="2"/>
  <c r="BL103" i="2"/>
  <c r="BL105" i="2" s="1"/>
  <c r="CR105" i="2" s="1"/>
  <c r="BP103" i="2"/>
  <c r="BP105" i="2" s="1"/>
  <c r="CS103" i="2"/>
  <c r="BG19" i="2"/>
  <c r="CS105" i="2"/>
  <c r="BB38" i="2"/>
  <c r="CP36" i="2"/>
  <c r="BA30" i="2"/>
  <c r="BA40" i="2"/>
  <c r="BA42" i="2" s="1"/>
  <c r="BA52" i="2" s="1"/>
  <c r="BA55" i="2" s="1"/>
  <c r="BA57" i="2" s="1"/>
  <c r="BA60" i="2" s="1"/>
  <c r="BA62" i="2" s="1"/>
  <c r="BC32" i="2"/>
  <c r="BC40" i="2"/>
  <c r="BC42" i="2" s="1"/>
  <c r="BC52" i="2" s="1"/>
  <c r="BC55" i="2" s="1"/>
  <c r="BC57" i="2" s="1"/>
  <c r="BC60" i="2" s="1"/>
  <c r="BC62" i="2" s="1"/>
  <c r="BK32" i="2"/>
  <c r="BA38" i="2"/>
  <c r="BD32" i="2"/>
  <c r="BD40" i="2"/>
  <c r="BD42" i="2" s="1"/>
  <c r="BD52" i="2" s="1"/>
  <c r="BD55" i="2" s="1"/>
  <c r="BD57" i="2" s="1"/>
  <c r="BD60" i="2" s="1"/>
  <c r="BB32" i="2"/>
  <c r="BB40" i="2"/>
  <c r="BB42" i="2" s="1"/>
  <c r="BB52" i="2" s="1"/>
  <c r="BB55" i="2" s="1"/>
  <c r="BB57" i="2" s="1"/>
  <c r="BB60" i="2" s="1"/>
  <c r="BB62" i="2" s="1"/>
  <c r="BE32" i="2"/>
  <c r="BE40" i="2"/>
  <c r="BE42" i="2" s="1"/>
  <c r="BE52" i="2" s="1"/>
  <c r="BE55" i="2" s="1"/>
  <c r="BE57" i="2" s="1"/>
  <c r="BE60" i="2" s="1"/>
  <c r="AX32" i="2"/>
  <c r="AX40" i="2"/>
  <c r="AX42" i="2" s="1"/>
  <c r="AX52" i="2" s="1"/>
  <c r="AX55" i="2" s="1"/>
  <c r="AX57" i="2" s="1"/>
  <c r="AX60" i="2" s="1"/>
  <c r="BF32" i="2"/>
  <c r="BF40" i="2"/>
  <c r="BF42" i="2" s="1"/>
  <c r="BF52" i="2" s="1"/>
  <c r="BF55" i="2" s="1"/>
  <c r="BF57" i="2" s="1"/>
  <c r="BF60" i="2" s="1"/>
  <c r="BF62" i="2" s="1"/>
  <c r="AY32" i="2"/>
  <c r="AY40" i="2"/>
  <c r="AY42" i="2" s="1"/>
  <c r="AY52" i="2" s="1"/>
  <c r="AY55" i="2" s="1"/>
  <c r="AY57" i="2" s="1"/>
  <c r="AY60" i="2" s="1"/>
  <c r="AY62" i="2" s="1"/>
  <c r="BG32" i="2"/>
  <c r="BG40" i="2"/>
  <c r="BG42" i="2" s="1"/>
  <c r="BG52" i="2" s="1"/>
  <c r="BG55" i="2" s="1"/>
  <c r="BG57" i="2" s="1"/>
  <c r="BG60" i="2" s="1"/>
  <c r="BG62" i="2" s="1"/>
  <c r="BO32" i="2"/>
  <c r="BO40" i="2"/>
  <c r="AZ31" i="2"/>
  <c r="AZ40" i="2"/>
  <c r="BH31" i="2"/>
  <c r="BL32" i="2"/>
  <c r="BL40" i="2"/>
  <c r="BL42" i="2" s="1"/>
  <c r="BL52" i="2" s="1"/>
  <c r="BL55" i="2" s="1"/>
  <c r="BL57" i="2" s="1"/>
  <c r="BL60" i="2" s="1"/>
  <c r="BL62" i="2" s="1"/>
  <c r="BP31" i="2"/>
  <c r="BP40" i="2"/>
  <c r="BP42" i="2" s="1"/>
  <c r="BP52" i="2" s="1"/>
  <c r="BP55" i="2" s="1"/>
  <c r="BP57" i="2" s="1"/>
  <c r="BP60" i="2" s="1"/>
  <c r="BP62" i="2" s="1"/>
  <c r="BP14" i="2"/>
  <c r="BP17" i="2" s="1"/>
  <c r="CQ35" i="2"/>
  <c r="BI30" i="2"/>
  <c r="BI40" i="2"/>
  <c r="BI42" i="2" s="1"/>
  <c r="BI52" i="2" s="1"/>
  <c r="BI55" i="2" s="1"/>
  <c r="BI57" i="2" s="1"/>
  <c r="BI60" i="2" s="1"/>
  <c r="BI62" i="2" s="1"/>
  <c r="BI38" i="2"/>
  <c r="CO11" i="2"/>
  <c r="CO13" i="2" s="1"/>
  <c r="CO6" i="2"/>
  <c r="BM32" i="2"/>
  <c r="BM40" i="2"/>
  <c r="BM42" i="2" s="1"/>
  <c r="BM52" i="2" s="1"/>
  <c r="BM55" i="2" s="1"/>
  <c r="BM57" i="2" s="1"/>
  <c r="BM60" i="2" s="1"/>
  <c r="BM62" i="2" s="1"/>
  <c r="CR37" i="2"/>
  <c r="CR36" i="2"/>
  <c r="CR35" i="2"/>
  <c r="CS34" i="2"/>
  <c r="BJ32" i="2"/>
  <c r="BJ40" i="2"/>
  <c r="CP27" i="2"/>
  <c r="CP31" i="2" s="1"/>
  <c r="BJ38" i="2"/>
  <c r="BN32" i="2"/>
  <c r="BN40" i="2"/>
  <c r="CP11" i="2"/>
  <c r="CP13" i="2" s="1"/>
  <c r="CS6" i="2"/>
  <c r="BN14" i="2"/>
  <c r="BN17" i="2" s="1"/>
  <c r="CR34" i="2"/>
  <c r="BO29" i="2"/>
  <c r="CS11" i="2"/>
  <c r="CS13" i="2" s="1"/>
  <c r="CR6" i="2"/>
  <c r="BO19" i="2"/>
  <c r="CR11" i="2"/>
  <c r="CR13" i="2" s="1"/>
  <c r="CQ11" i="2"/>
  <c r="CQ13" i="2" s="1"/>
  <c r="CN11" i="2"/>
  <c r="CN13" i="2" s="1"/>
  <c r="BB30" i="2"/>
  <c r="BC38" i="2"/>
  <c r="BK38" i="2"/>
  <c r="CS35" i="2"/>
  <c r="CQ36" i="2"/>
  <c r="CO27" i="2"/>
  <c r="BC30" i="2"/>
  <c r="BM31" i="2"/>
  <c r="BD38" i="2"/>
  <c r="BL38" i="2"/>
  <c r="CS36" i="2"/>
  <c r="CQ6" i="2"/>
  <c r="CP6" i="2"/>
  <c r="BN30" i="2"/>
  <c r="BE38" i="2"/>
  <c r="BM38" i="2"/>
  <c r="CS37" i="2"/>
  <c r="CN6" i="2"/>
  <c r="AY29" i="2"/>
  <c r="BF38" i="2"/>
  <c r="BN38" i="2"/>
  <c r="CS27" i="2"/>
  <c r="CS30" i="2" s="1"/>
  <c r="CP35" i="2"/>
  <c r="BP38" i="2"/>
  <c r="CO37" i="2"/>
  <c r="BB29" i="2"/>
  <c r="BG38" i="2"/>
  <c r="BO38" i="2"/>
  <c r="AZ16" i="2"/>
  <c r="BC29" i="2"/>
  <c r="BH38" i="2"/>
  <c r="CQ27" i="2"/>
  <c r="CP37" i="2"/>
  <c r="CO35" i="2"/>
  <c r="CO34" i="2"/>
  <c r="CO36" i="2"/>
  <c r="CP34" i="2"/>
  <c r="CQ37" i="2"/>
  <c r="CQ34" i="2"/>
  <c r="BF29" i="2"/>
  <c r="BE30" i="2"/>
  <c r="BA31" i="2"/>
  <c r="CR27" i="2"/>
  <c r="BP29" i="2"/>
  <c r="BG29" i="2"/>
  <c r="BF30" i="2"/>
  <c r="BB31" i="2"/>
  <c r="BP30" i="2"/>
  <c r="BJ29" i="2"/>
  <c r="BJ30" i="2"/>
  <c r="BE31" i="2"/>
  <c r="BP32" i="2"/>
  <c r="BK29" i="2"/>
  <c r="BK30" i="2"/>
  <c r="BI31" i="2"/>
  <c r="BE14" i="2"/>
  <c r="BE17" i="2" s="1"/>
  <c r="BM14" i="2"/>
  <c r="BM17" i="2" s="1"/>
  <c r="AX29" i="2"/>
  <c r="BN29" i="2"/>
  <c r="BM30" i="2"/>
  <c r="BJ31" i="2"/>
  <c r="BL29" i="2"/>
  <c r="BI32" i="2"/>
  <c r="BE29" i="2"/>
  <c r="BM29" i="2"/>
  <c r="BD30" i="2"/>
  <c r="BL30" i="2"/>
  <c r="BC31" i="2"/>
  <c r="BK31" i="2"/>
  <c r="BD29" i="2"/>
  <c r="BA32" i="2"/>
  <c r="BH19" i="2"/>
  <c r="BG14" i="2"/>
  <c r="BG17" i="2" s="1"/>
  <c r="BD31" i="2"/>
  <c r="BL31" i="2"/>
  <c r="AZ32" i="2"/>
  <c r="BI19" i="2"/>
  <c r="BB19" i="2"/>
  <c r="BJ19" i="2"/>
  <c r="BO14" i="2"/>
  <c r="BO17" i="2" s="1"/>
  <c r="AZ29" i="2"/>
  <c r="BH29" i="2"/>
  <c r="AY30" i="2"/>
  <c r="BG30" i="2"/>
  <c r="BO30" i="2"/>
  <c r="AX31" i="2"/>
  <c r="BF31" i="2"/>
  <c r="BN31" i="2"/>
  <c r="BA19" i="2"/>
  <c r="BC19" i="2"/>
  <c r="BK19" i="2"/>
  <c r="BA29" i="2"/>
  <c r="BI29" i="2"/>
  <c r="AZ30" i="2"/>
  <c r="BH30" i="2"/>
  <c r="AY31" i="2"/>
  <c r="BG31" i="2"/>
  <c r="BO31" i="2"/>
  <c r="BH32" i="2"/>
  <c r="BD19" i="2"/>
  <c r="BL19" i="2"/>
  <c r="BI14" i="2"/>
  <c r="BE19" i="2"/>
  <c r="BM19" i="2"/>
  <c r="BJ14" i="2"/>
  <c r="BF19" i="2"/>
  <c r="BN19" i="2"/>
  <c r="BB14" i="2"/>
  <c r="BB21" i="2" s="1"/>
  <c r="BC14" i="2"/>
  <c r="BK14" i="2"/>
  <c r="BK16" i="2" s="1"/>
  <c r="BL14" i="2"/>
  <c r="BP19" i="2"/>
  <c r="AZ42" i="2" l="1"/>
  <c r="AZ52" i="2" s="1"/>
  <c r="AZ55" i="2" s="1"/>
  <c r="AZ57" i="2" s="1"/>
  <c r="AZ60" i="2" s="1"/>
  <c r="AZ62" i="2" s="1"/>
  <c r="BE62" i="2"/>
  <c r="CQ62" i="2" s="1"/>
  <c r="CQ60" i="2"/>
  <c r="AX62" i="2"/>
  <c r="CO60" i="2"/>
  <c r="BN42" i="2"/>
  <c r="BN64" i="2" s="1"/>
  <c r="BD62" i="2"/>
  <c r="CP62" i="2" s="1"/>
  <c r="CP60" i="2"/>
  <c r="BJ42" i="2"/>
  <c r="BJ52" i="2" s="1"/>
  <c r="BO42" i="2"/>
  <c r="BO64" i="2" s="1"/>
  <c r="CN32" i="2"/>
  <c r="CN30" i="2"/>
  <c r="CO38" i="2"/>
  <c r="BF17" i="2"/>
  <c r="BJ21" i="2"/>
  <c r="CN29" i="2"/>
  <c r="CQ103" i="2"/>
  <c r="BO66" i="2"/>
  <c r="BO65" i="2"/>
  <c r="BN16" i="2"/>
  <c r="CO19" i="2"/>
  <c r="BK65" i="2"/>
  <c r="BK66" i="2"/>
  <c r="BG67" i="2"/>
  <c r="BG65" i="2"/>
  <c r="BG68" i="2"/>
  <c r="BG64" i="2"/>
  <c r="BG66" i="2"/>
  <c r="BE67" i="2"/>
  <c r="BE64" i="2"/>
  <c r="BE68" i="2"/>
  <c r="BE65" i="2"/>
  <c r="BE66" i="2"/>
  <c r="AX67" i="2"/>
  <c r="AX64" i="2"/>
  <c r="AX65" i="2"/>
  <c r="AX66" i="2"/>
  <c r="AX68" i="2"/>
  <c r="BC68" i="2"/>
  <c r="BC66" i="2"/>
  <c r="BC67" i="2"/>
  <c r="BC64" i="2"/>
  <c r="BC65" i="2"/>
  <c r="BH65" i="2"/>
  <c r="BH68" i="2"/>
  <c r="BH66" i="2"/>
  <c r="BH64" i="2"/>
  <c r="BH67" i="2"/>
  <c r="AY65" i="2"/>
  <c r="AY67" i="2"/>
  <c r="AY68" i="2"/>
  <c r="AY66" i="2"/>
  <c r="AY64" i="2"/>
  <c r="BB68" i="2"/>
  <c r="BB65" i="2"/>
  <c r="BB66" i="2"/>
  <c r="BB67" i="2"/>
  <c r="BB64" i="2"/>
  <c r="BA65" i="2"/>
  <c r="BA68" i="2"/>
  <c r="BA66" i="2"/>
  <c r="BA67" i="2"/>
  <c r="BA64" i="2"/>
  <c r="AZ65" i="2"/>
  <c r="AZ68" i="2"/>
  <c r="AZ66" i="2"/>
  <c r="BF67" i="2"/>
  <c r="BF64" i="2"/>
  <c r="BF65" i="2"/>
  <c r="BF66" i="2"/>
  <c r="BF68" i="2"/>
  <c r="BD66" i="2"/>
  <c r="BD67" i="2"/>
  <c r="BD64" i="2"/>
  <c r="BD68" i="2"/>
  <c r="BD65" i="2"/>
  <c r="BL68" i="2"/>
  <c r="BL67" i="2"/>
  <c r="BL66" i="2"/>
  <c r="BL65" i="2"/>
  <c r="BL64" i="2"/>
  <c r="BP64" i="2"/>
  <c r="BP68" i="2"/>
  <c r="BP67" i="2"/>
  <c r="BP66" i="2"/>
  <c r="BP65" i="2"/>
  <c r="CO31" i="2"/>
  <c r="CP32" i="2"/>
  <c r="CO30" i="2"/>
  <c r="CO29" i="2"/>
  <c r="BI68" i="2"/>
  <c r="BI66" i="2"/>
  <c r="BI67" i="2"/>
  <c r="BI65" i="2"/>
  <c r="BI64" i="2"/>
  <c r="CO14" i="2"/>
  <c r="CO16" i="2" s="1"/>
  <c r="CS40" i="2"/>
  <c r="BM68" i="2"/>
  <c r="BM64" i="2"/>
  <c r="BM65" i="2"/>
  <c r="BM66" i="2"/>
  <c r="BM67" i="2"/>
  <c r="CS14" i="2"/>
  <c r="CS17" i="2" s="1"/>
  <c r="BM16" i="2"/>
  <c r="CS19" i="2"/>
  <c r="CS32" i="2"/>
  <c r="CP30" i="2"/>
  <c r="CP29" i="2"/>
  <c r="CP38" i="2"/>
  <c r="BJ66" i="2"/>
  <c r="BJ65" i="2"/>
  <c r="BN65" i="2"/>
  <c r="BN66" i="2"/>
  <c r="CQ14" i="2"/>
  <c r="CQ16" i="2" s="1"/>
  <c r="BE16" i="2"/>
  <c r="CQ20" i="2"/>
  <c r="CR19" i="2"/>
  <c r="CO20" i="2"/>
  <c r="CN14" i="2"/>
  <c r="CN16" i="2" s="1"/>
  <c r="CR20" i="2"/>
  <c r="CS20" i="2"/>
  <c r="CR14" i="2"/>
  <c r="CR16" i="2" s="1"/>
  <c r="BH16" i="2"/>
  <c r="BH17" i="2"/>
  <c r="CP14" i="2"/>
  <c r="CP20" i="2"/>
  <c r="BG21" i="2"/>
  <c r="BH21" i="2"/>
  <c r="AZ17" i="2"/>
  <c r="BP16" i="2"/>
  <c r="BO16" i="2"/>
  <c r="CQ19" i="2"/>
  <c r="CQ38" i="2"/>
  <c r="CQ30" i="2"/>
  <c r="CQ32" i="2"/>
  <c r="CQ31" i="2"/>
  <c r="CS38" i="2"/>
  <c r="BJ16" i="2"/>
  <c r="CS31" i="2"/>
  <c r="CP19" i="2"/>
  <c r="CR30" i="2"/>
  <c r="CR38" i="2"/>
  <c r="CQ29" i="2"/>
  <c r="BA21" i="2"/>
  <c r="CO32" i="2"/>
  <c r="CS29" i="2"/>
  <c r="BI21" i="2"/>
  <c r="CR31" i="2"/>
  <c r="CR29" i="2"/>
  <c r="CR32" i="2"/>
  <c r="BI16" i="2"/>
  <c r="BA16" i="2"/>
  <c r="BG16" i="2"/>
  <c r="BB16" i="2"/>
  <c r="BM21" i="2"/>
  <c r="BL17" i="2"/>
  <c r="BL21" i="2"/>
  <c r="BE21" i="2"/>
  <c r="BD16" i="2"/>
  <c r="BI17" i="2"/>
  <c r="BA17" i="2"/>
  <c r="BJ17" i="2"/>
  <c r="BN21" i="2"/>
  <c r="BP21" i="2"/>
  <c r="BB17" i="2"/>
  <c r="BC16" i="2"/>
  <c r="BF21" i="2"/>
  <c r="BK17" i="2"/>
  <c r="BK21" i="2"/>
  <c r="BD17" i="2"/>
  <c r="BD21" i="2"/>
  <c r="BO21" i="2"/>
  <c r="BC17" i="2"/>
  <c r="BC21" i="2"/>
  <c r="BL16" i="2"/>
  <c r="AZ64" i="2" l="1"/>
  <c r="AZ67" i="2"/>
  <c r="CS42" i="2"/>
  <c r="CS64" i="2" s="1"/>
  <c r="BO52" i="2"/>
  <c r="BO55" i="2" s="1"/>
  <c r="BO57" i="2" s="1"/>
  <c r="BO60" i="2" s="1"/>
  <c r="BN52" i="2"/>
  <c r="CO62" i="2"/>
  <c r="BJ55" i="2"/>
  <c r="BJ57" i="2" s="1"/>
  <c r="BJ60" i="2" s="1"/>
  <c r="BJ62" i="2" s="1"/>
  <c r="BJ67" i="2"/>
  <c r="BJ64" i="2"/>
  <c r="BK64" i="2"/>
  <c r="BK52" i="2"/>
  <c r="BK55" i="2" s="1"/>
  <c r="BK57" i="2" s="1"/>
  <c r="CN17" i="2"/>
  <c r="CO21" i="2"/>
  <c r="CO17" i="2"/>
  <c r="CP21" i="2"/>
  <c r="CS66" i="2"/>
  <c r="CS65" i="2"/>
  <c r="CS16" i="2"/>
  <c r="CP16" i="2"/>
  <c r="CP17" i="2"/>
  <c r="CQ17" i="2"/>
  <c r="CQ21" i="2"/>
  <c r="CR17" i="2"/>
  <c r="CR21" i="2"/>
  <c r="CS21" i="2"/>
  <c r="CS52" i="2" l="1"/>
  <c r="CS67" i="2" s="1"/>
  <c r="BO67" i="2"/>
  <c r="BN67" i="2"/>
  <c r="BN55" i="2"/>
  <c r="BJ68" i="2"/>
  <c r="BO68" i="2"/>
  <c r="BK60" i="2"/>
  <c r="BK67" i="2"/>
  <c r="CR52" i="2"/>
  <c r="BN57" i="2" l="1"/>
  <c r="CS55" i="2"/>
  <c r="BK68" i="2"/>
  <c r="BO62" i="2"/>
  <c r="BN60" i="2" l="1"/>
  <c r="BN68" i="2"/>
  <c r="CS57" i="2"/>
  <c r="CS68" i="2" s="1"/>
  <c r="BK62" i="2"/>
  <c r="CR62" i="2" s="1"/>
  <c r="CR60" i="2"/>
  <c r="BN62" i="2" l="1"/>
  <c r="CS62" i="2" s="1"/>
  <c r="CS60" i="2"/>
  <c r="C8" i="1" l="1"/>
  <c r="CR57" i="2" l="1"/>
  <c r="CR56" i="2"/>
  <c r="CR55" i="2"/>
  <c r="CR54" i="2"/>
  <c r="CR44" i="2"/>
  <c r="CR43" i="2"/>
  <c r="CR42" i="2"/>
  <c r="CR41" i="2"/>
  <c r="CR40" i="2"/>
  <c r="CQ57" i="2"/>
  <c r="CQ56" i="2"/>
  <c r="CQ55" i="2"/>
  <c r="CQ54" i="2"/>
  <c r="CQ52" i="2"/>
  <c r="CQ44" i="2"/>
  <c r="CQ43" i="2"/>
  <c r="CQ42" i="2"/>
  <c r="CQ41" i="2"/>
  <c r="CQ40" i="2"/>
  <c r="CP57" i="2"/>
  <c r="CP56" i="2"/>
  <c r="CP55" i="2"/>
  <c r="CP54" i="2"/>
  <c r="CP52" i="2"/>
  <c r="CP44" i="2"/>
  <c r="CP43" i="2"/>
  <c r="CP42" i="2"/>
  <c r="CP41" i="2"/>
  <c r="CP40" i="2"/>
  <c r="CO57" i="2"/>
  <c r="CO56" i="2"/>
  <c r="CO55" i="2"/>
  <c r="CO54" i="2"/>
  <c r="CO52" i="2"/>
  <c r="CO44" i="2"/>
  <c r="CO43" i="2"/>
  <c r="CO42" i="2"/>
  <c r="CO41" i="2"/>
  <c r="CO40" i="2"/>
  <c r="CN57" i="2"/>
  <c r="CN56" i="2"/>
  <c r="CN55" i="2"/>
  <c r="CN54" i="2"/>
  <c r="CN52" i="2"/>
  <c r="CN44" i="2"/>
  <c r="CN43" i="2"/>
  <c r="CN42" i="2"/>
  <c r="CN41" i="2"/>
  <c r="CN40" i="2"/>
  <c r="CM57" i="2"/>
  <c r="CM56" i="2"/>
  <c r="CM55" i="2"/>
  <c r="CM54" i="2"/>
  <c r="CM52" i="2"/>
  <c r="CM44" i="2"/>
  <c r="CM43" i="2"/>
  <c r="CM42" i="2"/>
  <c r="CM41" i="2"/>
  <c r="CM40" i="2"/>
  <c r="CL57" i="2"/>
  <c r="CL56" i="2"/>
  <c r="CL55" i="2"/>
  <c r="CL54" i="2"/>
  <c r="CL52" i="2"/>
  <c r="CL44" i="2"/>
  <c r="CL43" i="2"/>
  <c r="CL42" i="2"/>
  <c r="CL41" i="2"/>
  <c r="CL40" i="2"/>
  <c r="CK57" i="2"/>
  <c r="CK56" i="2"/>
  <c r="CK55" i="2"/>
  <c r="CK54" i="2"/>
  <c r="CK52" i="2"/>
  <c r="CK44" i="2"/>
  <c r="CK43" i="2"/>
  <c r="CK42" i="2"/>
  <c r="CK41" i="2"/>
  <c r="CK40" i="2"/>
  <c r="CJ57" i="2"/>
  <c r="CJ56" i="2"/>
  <c r="CJ55" i="2"/>
  <c r="CJ54" i="2"/>
  <c r="CJ52" i="2"/>
  <c r="CJ44" i="2"/>
  <c r="CJ43" i="2"/>
  <c r="CJ42" i="2"/>
  <c r="CJ41" i="2"/>
  <c r="CJ40" i="2"/>
  <c r="CI57" i="2"/>
  <c r="CI56" i="2"/>
  <c r="CI55" i="2"/>
  <c r="CI54" i="2"/>
  <c r="CI52" i="2"/>
  <c r="CI44" i="2"/>
  <c r="CI43" i="2"/>
  <c r="CI42" i="2"/>
  <c r="CI41" i="2"/>
  <c r="CI40" i="2"/>
  <c r="CH57" i="2"/>
  <c r="CH56" i="2"/>
  <c r="CH55" i="2"/>
  <c r="CH54" i="2"/>
  <c r="CH52" i="2"/>
  <c r="CH44" i="2"/>
  <c r="CH43" i="2"/>
  <c r="CH42" i="2"/>
  <c r="CH41" i="2"/>
  <c r="CH40" i="2"/>
  <c r="CG57" i="2"/>
  <c r="CG56" i="2"/>
  <c r="CG55" i="2"/>
  <c r="CG54" i="2"/>
  <c r="CG52" i="2"/>
  <c r="CG44" i="2"/>
  <c r="CG43" i="2"/>
  <c r="CG42" i="2"/>
  <c r="CG41" i="2"/>
  <c r="CG40" i="2"/>
  <c r="CF57" i="2"/>
  <c r="CF56" i="2"/>
  <c r="CF55" i="2"/>
  <c r="CF54" i="2"/>
  <c r="CF52" i="2"/>
  <c r="CF44" i="2"/>
  <c r="CF43" i="2"/>
  <c r="CF42" i="2"/>
  <c r="CF41" i="2"/>
  <c r="CF40" i="2"/>
  <c r="CE57" i="2"/>
  <c r="CE56" i="2"/>
  <c r="CE55" i="2"/>
  <c r="CE54" i="2"/>
  <c r="CE52" i="2"/>
  <c r="CE44" i="2"/>
  <c r="CE43" i="2"/>
  <c r="CE42" i="2"/>
  <c r="CE41" i="2"/>
  <c r="CE40" i="2"/>
  <c r="CD57" i="2"/>
  <c r="CD56" i="2"/>
  <c r="CD55" i="2"/>
  <c r="CD54" i="2"/>
  <c r="CD52" i="2"/>
  <c r="CD44" i="2"/>
  <c r="CD43" i="2"/>
  <c r="CD42" i="2"/>
  <c r="CD41" i="2"/>
  <c r="CD40"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CJ67" i="2" l="1"/>
  <c r="CR67" i="2"/>
  <c r="CG64" i="2"/>
  <c r="CD66" i="2"/>
  <c r="CG65" i="2"/>
  <c r="CJ64" i="2"/>
  <c r="CJ68" i="2"/>
  <c r="CL66" i="2"/>
  <c r="CO65" i="2"/>
  <c r="CR64" i="2"/>
  <c r="CR68" i="2"/>
  <c r="CL68" i="2"/>
  <c r="CD65" i="2"/>
  <c r="CG66" i="2"/>
  <c r="CJ65" i="2"/>
  <c r="CO66" i="2"/>
  <c r="CR65" i="2"/>
  <c r="CG68" i="2"/>
  <c r="CO64" i="2"/>
  <c r="CD67" i="2"/>
  <c r="CF66" i="2"/>
  <c r="CJ66" i="2"/>
  <c r="CL67" i="2"/>
  <c r="CM65" i="2"/>
  <c r="CN66" i="2"/>
  <c r="CR66" i="2"/>
  <c r="CL64" i="2"/>
  <c r="CG67" i="2"/>
  <c r="CO67" i="2"/>
  <c r="CP68" i="2"/>
  <c r="CK65" i="2"/>
  <c r="CN68" i="2"/>
  <c r="CE65" i="2"/>
  <c r="CH64" i="2"/>
  <c r="CK68" i="2"/>
  <c r="CF65" i="2"/>
  <c r="CH68" i="2"/>
  <c r="CP64" i="2"/>
  <c r="CD64" i="2"/>
  <c r="CD68" i="2"/>
  <c r="CI65" i="2"/>
  <c r="CI66" i="2"/>
  <c r="CK67" i="2"/>
  <c r="CL65" i="2"/>
  <c r="CO68" i="2"/>
  <c r="CQ66" i="2"/>
  <c r="CF68" i="2"/>
  <c r="CF64" i="2"/>
  <c r="CI64" i="2"/>
  <c r="CI68" i="2"/>
  <c r="CK66" i="2"/>
  <c r="CQ64" i="2"/>
  <c r="CQ68" i="2"/>
  <c r="CN64" i="2"/>
  <c r="CH67" i="2"/>
  <c r="CP67" i="2"/>
  <c r="CN65" i="2"/>
  <c r="CN67" i="2"/>
  <c r="CQ65" i="2"/>
  <c r="CF67" i="2"/>
  <c r="CE64" i="2"/>
  <c r="CE68" i="2"/>
  <c r="CI67" i="2"/>
  <c r="CK64" i="2"/>
  <c r="CM64" i="2"/>
  <c r="CM68" i="2"/>
  <c r="CQ67" i="2"/>
  <c r="CE66" i="2"/>
  <c r="CM66" i="2"/>
  <c r="CM67" i="2"/>
  <c r="CP65" i="2"/>
  <c r="CH65" i="2"/>
  <c r="CH66" i="2"/>
  <c r="CP66" i="2"/>
  <c r="CE67" i="2"/>
  <c r="C9" i="1"/>
</calcChain>
</file>

<file path=xl/sharedStrings.xml><?xml version="1.0" encoding="utf-8"?>
<sst xmlns="http://schemas.openxmlformats.org/spreadsheetml/2006/main" count="342" uniqueCount="266">
  <si>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</si>
  <si>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</si>
  <si>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</si>
  <si>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</si>
  <si>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</si>
  <si>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</si>
  <si>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</si>
  <si>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</si>
  <si>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</si>
  <si>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</si>
  <si>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</si>
  <si>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</si>
  <si>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</si>
  <si>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</si>
  <si>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</si>
  <si>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</si>
  <si>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</si>
  <si>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</si>
  <si>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</si>
  <si>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</si>
  <si>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</si>
  <si>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</si>
  <si>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</si>
  <si>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</si>
  <si>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</si>
  <si>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</si>
  <si>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</si>
  <si>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</si>
  <si>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</si>
  <si>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</si>
  <si>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</si>
  <si>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</si>
  <si>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</si>
  <si>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</si>
  <si>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</si>
  <si>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</si>
  <si>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</si>
  <si>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</si>
  <si>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</si>
  <si>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</si>
  <si>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</si>
  <si>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</si>
  <si>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</si>
  <si>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</si>
  <si>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</si>
  <si>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</si>
  <si>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</si>
  <si>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</si>
  <si>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</si>
  <si>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</si>
  <si>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</si>
  <si>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</si>
  <si>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</si>
  <si>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</si>
  <si>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</si>
  <si>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</si>
  <si>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</si>
  <si>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</si>
  <si>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</si>
  <si>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</si>
  <si>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</si>
  <si>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</si>
  <si>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</si>
  <si>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</si>
  <si>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</si>
  <si>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</si>
  <si>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</si>
  <si>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</si>
  <si>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</si>
  <si>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</si>
  <si>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</si>
  <si>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</si>
  <si>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</si>
  <si>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</si>
  <si>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</si>
  <si>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</si>
  <si>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</si>
  <si>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</si>
  <si>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</si>
  <si>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</si>
  <si>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</si>
  <si>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</si>
  <si>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</si>
  <si>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</si>
  <si>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</si>
  <si>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</si>
  <si>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</si>
  <si>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</si>
  <si>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</si>
  <si>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</si>
  <si>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</si>
  <si>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</si>
  <si>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</si>
  <si>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</si>
  <si>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</si>
  <si>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</si>
  <si>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</si>
  <si>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</si>
  <si>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</si>
  <si>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</si>
  <si>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</si>
  <si>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</si>
  <si>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</si>
  <si>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</si>
  <si>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</si>
  <si>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</si>
  <si>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Boston Scientific Corporation is a global developer, manufacturer and marketer of medical devices that are used in a broad range of interventional medical specialties for both domestic and international markets</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</si>
  <si>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</si>
  <si>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</si>
  <si>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</si>
  <si>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</si>
  <si>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</si>
  <si>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</si>
  <si>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</si>
  <si>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</si>
  <si>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</si>
  <si>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</si>
  <si>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</si>
  <si>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</si>
  <si>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</si>
  <si>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</si>
  <si>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</si>
  <si>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</si>
  <si>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</si>
  <si>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</si>
  <si>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</si>
  <si>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</si>
  <si>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</si>
  <si>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</si>
  <si>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</si>
  <si>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</si>
  <si>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</si>
  <si>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</si>
  <si>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</si>
  <si>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</si>
  <si>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</si>
  <si>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</si>
  <si>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</si>
  <si>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Pulsed-field ablation (PFA)</t>
    </r>
    <r>
      <rPr>
        <sz val="11"/>
        <color theme="1"/>
        <rFont val="Calibre"/>
      </rPr>
      <t> for atrial fibrillation (now a $1B+ opportunity)</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</si>
  <si>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</si>
  <si>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</si>
  <si>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</si>
  <si>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t>Axonics’ flagship products are </t>
    </r>
    <r>
      <rPr>
        <b/>
        <sz val="11"/>
        <color theme="1"/>
        <rFont val="Calibre"/>
      </rPr>
      <t>sacral neuromodulation (SNM) systems</t>
    </r>
    <r>
      <rPr>
        <sz val="11"/>
        <color theme="1"/>
        <rFont val="Calibre"/>
      </rPr>
      <t> for urinary incontinence</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</si>
  <si>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</si>
  <si>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</si>
  <si>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</si>
  <si>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</si>
  <si>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</si>
  <si>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</si>
  <si>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</si>
  <si>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</si>
  <si>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</si>
  <si>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Baylis Medical</t>
    </r>
    <r>
      <rPr>
        <sz val="11"/>
        <color theme="1"/>
        <rFont val="Calibre"/>
      </rPr>
      <t xml:space="preserve"> (2021) – $1.75B</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</si>
  <si>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</si>
  <si>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</si>
  <si>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</si>
  <si>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</si>
  <si>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</si>
  <si>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</si>
  <si>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</si>
  <si>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</si>
  <si>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</si>
  <si>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</si>
  <si>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</si>
  <si>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</si>
  <si>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</si>
  <si>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</si>
  <si>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</si>
  <si>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</si>
  <si>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</si>
  <si>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</si>
  <si>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</si>
  <si>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</si>
  <si>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</si>
  <si>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</si>
  <si>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</si>
  <si>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</si>
  <si>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</si>
  <si>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</si>
  <si>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</si>
  <si>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</si>
  <si>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Intervential Cardiology</t>
  </si>
  <si>
    <t>Watchman</t>
  </si>
  <si>
    <t>Cardiac Rhythm</t>
  </si>
  <si>
    <t>Electrophysiology</t>
  </si>
  <si>
    <t>Peripheral Interventions</t>
  </si>
  <si>
    <t>Cardiovascular Ttl Revenues</t>
  </si>
  <si>
    <t>Ttl Revenues</t>
  </si>
  <si>
    <t>MedSurg % of Ttl Revenues</t>
  </si>
  <si>
    <t>Cardiovasc % of Ttl Revenues</t>
  </si>
  <si>
    <t>Litigation-Related net Charges</t>
  </si>
  <si>
    <t>Total Revenue Growth Y/y</t>
  </si>
  <si>
    <t>Cardiovasc Revenue Growth Y/y</t>
  </si>
  <si>
    <t>MedSurg Revenue Growth Y/y</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</si>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</sst>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1">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Quarterly Ttl Revenues, Net Income, Free Cash Flows (in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Model!$AW$60:$BQ$60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Model!$AW$103:$BQ$103</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-537</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Model!$AW$40:$BQ$40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109</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109</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5442</xdr:colOff>
      <xdr:row>1</xdr:row>
      <xdr:rowOff>4081</xdr:rowOff>
    </xdr:from>
    <xdr:to>
      <xdr:col>17</xdr:col>
      <xdr:colOff>0</xdr:colOff>
      <xdr:row>34</xdr:row>
      <xdr:rowOff>4081</xdr:rowOff>
    </xdr:to>
    <xdr:graphicFrame macro="">
      <xdr:nvGraphicFramePr>
        <xdr:cNvPr id="6" name="Chart 5">
          <a:extLst>
            <a:ext uri="{FF2B5EF4-FFF2-40B4-BE49-F238E27FC236}">
              <a16:creationId xmlns:a16="http://schemas.microsoft.com/office/drawing/2014/main" id="{CFC84F73-3374-4DDD-942A-40F787ADB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tabSelected="1" workbookViewId="0"/>
  </sheetViews>
  <sheetFormatPr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243</v>
      </c>
    </row>
    <row r="15" spans="1:17">
      <c r="B15" s="1" t="s">
        <v>94</v>
      </c>
      <c r="O15" s="1" t="s">
        <v>97</v>
      </c>
    </row>
    <row r="16" spans="1:17">
      <c r="B16" s="1" t="s">
        <v>95</v>
      </c>
      <c r="O16" s="1" t="s">
        <v>244</v>
      </c>
    </row>
    <row r="18" spans="1:6" ht="15">
      <c r="A18" s="3" t="s">
        <v>98</v>
      </c>
    </row>
    <row r="19" spans="1:6">
      <c r="B19" s="1" t="s">
        <v>106</v>
      </c>
    </row>
    <row r="20" spans="1:6">
      <c r="C20" s="1" t="s">
        <v>107</v>
      </c>
    </row>
    <row r="21" spans="1:6" ht="15">
      <c r="D21" s="3" t="s">
        <v>101</v>
      </c>
      <c r="F21" s="1" t="s">
        <v>100</v>
      </c>
    </row>
    <row r="22" spans="1:6" ht="15">
      <c r="D22" s="3" t="s">
        <v>102</v>
      </c>
      <c r="F22" s="1" t="s">
        <v>104</v>
      </c>
    </row>
    <row r="23" spans="1:6" ht="15">
      <c r="D23" s="3" t="s">
        <v>103</v>
      </c>
      <c r="F23" s="1" t="s">
        <v>105</v>
      </c>
    </row>
    <row r="24" spans="1:6">
      <c r="B24" s="1" t="s">
        <v>108</v>
      </c>
    </row>
    <row r="25" spans="1:6">
      <c r="C25" s="1" t="s">
        <v>109</v>
      </c>
    </row>
    <row r="26" spans="1:6">
      <c r="B26" s="1" t="s">
        <v>110</v>
      </c>
    </row>
    <row r="27" spans="1:6">
      <c r="C27" s="1" t="s">
        <v>111</v>
      </c>
    </row>
    <row r="28" spans="1:6">
      <c r="C28" s="1" t="s">
        <v>112</v>
      </c>
    </row>
    <row r="29" spans="1:6">
      <c r="B29" s="1" t="s">
        <v>113</v>
      </c>
    </row>
    <row r="30" spans="1:6">
      <c r="C30" s="1" t="s">
        <v>116</v>
      </c>
    </row>
    <row r="31" spans="1:6">
      <c r="B31" s="1" t="s">
        <v>114</v>
      </c>
    </row>
    <row r="32" spans="1:6">
      <c r="C32" s="1" t="s">
        <v>115</v>
      </c>
    </row>
    <row r="33" spans="4:7" ht="15">
      <c r="D33" s="3" t="s">
        <v>101</v>
      </c>
      <c r="F33" s="1" t="s">
        <v>123</v>
      </c>
    </row>
    <row r="34" spans="4:7" ht="14.25" customHeight="1">
      <c r="D34" s="3"/>
      <c r="G34" s="1" t="s">
        <v>124</v>
      </c>
    </row>
    <row r="35" spans="4:7" ht="14.25" customHeight="1">
      <c r="D35" s="3"/>
      <c r="F35" s="1" t="s">
        <v>125</v>
      </c>
    </row>
    <row r="36" spans="4:7" ht="14.25" customHeight="1">
      <c r="D36" s="3"/>
      <c r="G36" s="1" t="s">
        <v>126</v>
      </c>
    </row>
    <row r="37" spans="4:7" ht="14.25" customHeight="1">
      <c r="D37" s="3"/>
      <c r="F37" s="1" t="s">
        <v>127</v>
      </c>
    </row>
    <row r="38" spans="4:7" ht="14.25" customHeight="1">
      <c r="D38" s="3"/>
      <c r="G38" s="1" t="s">
        <v>128</v>
      </c>
    </row>
    <row r="39" spans="4:7" ht="14.25" customHeight="1">
      <c r="D39" s="3"/>
      <c r="F39" s="1" t="s">
        <v>129</v>
      </c>
    </row>
    <row r="40" spans="4:7" ht="14.25" customHeight="1">
      <c r="D40" s="3"/>
      <c r="G40" s="1" t="s">
        <v>130</v>
      </c>
    </row>
    <row r="41" spans="4:7" ht="14.25" customHeight="1">
      <c r="D41" s="3"/>
    </row>
    <row r="42" spans="4:7" ht="14.25" customHeight="1">
      <c r="D42" s="3" t="s">
        <v>102</v>
      </c>
      <c r="F42" s="1" t="s">
        <v>131</v>
      </c>
    </row>
    <row r="43" spans="4:7" ht="14.25" customHeight="1">
      <c r="D43" s="3"/>
      <c r="G43" s="1" t="s">
        <v>132</v>
      </c>
    </row>
    <row r="44" spans="4:7" ht="14.25" customHeight="1">
      <c r="D44" s="3"/>
      <c r="F44" s="1" t="s">
        <v>133</v>
      </c>
    </row>
    <row r="45" spans="4:7" ht="14.25" customHeight="1">
      <c r="D45" s="3"/>
      <c r="G45" s="1" t="s">
        <v>134</v>
      </c>
    </row>
    <row r="46" spans="4:7" ht="15">
      <c r="D46" s="3"/>
      <c r="F46" s="1" t="s">
        <v>135</v>
      </c>
    </row>
    <row r="47" spans="4:7" ht="15">
      <c r="D47" s="3"/>
      <c r="G47" s="1" t="s">
        <v>136</v>
      </c>
    </row>
    <row r="48" spans="4:7" ht="15">
      <c r="D48" s="3"/>
      <c r="F48" s="1" t="s">
        <v>137</v>
      </c>
    </row>
    <row r="49" spans="4:7" ht="15">
      <c r="D49" s="3"/>
      <c r="G49" s="1" t="s">
        <v>138</v>
      </c>
    </row>
    <row r="50" spans="4:7" ht="15">
      <c r="D50" s="3"/>
      <c r="F50" s="1" t="s">
        <v>139</v>
      </c>
    </row>
    <row r="51" spans="4:7" ht="15">
      <c r="D51" s="3"/>
      <c r="G51" s="1" t="s">
        <v>140</v>
      </c>
    </row>
    <row r="52" spans="4:7" ht="15">
      <c r="D52" s="3"/>
      <c r="F52" s="1" t="s">
        <v>141</v>
      </c>
    </row>
    <row r="53" spans="4:7" ht="15">
      <c r="D53" s="3"/>
      <c r="G53" s="1" t="s">
        <v>142</v>
      </c>
    </row>
    <row r="54" spans="4:7" ht="15">
      <c r="D54" s="3"/>
      <c r="G54" s="1" t="s">
        <v>156</v>
      </c>
    </row>
    <row r="55" spans="4:7" ht="15">
      <c r="D55" s="3"/>
    </row>
    <row r="56" spans="4:7" ht="15">
      <c r="D56" s="3" t="s">
        <v>103</v>
      </c>
      <c r="F56" s="1" t="s">
        <v>143</v>
      </c>
    </row>
    <row r="57" spans="4:7" ht="15">
      <c r="D57" s="3"/>
      <c r="G57" s="1" t="s">
        <v>144</v>
      </c>
    </row>
    <row r="58" spans="4:7" ht="15">
      <c r="D58" s="3"/>
      <c r="G58" s="1" t="s">
        <v>145</v>
      </c>
    </row>
    <row r="59" spans="4:7" ht="15">
      <c r="D59" s="3"/>
      <c r="F59" s="1" t="s">
        <v>146</v>
      </c>
    </row>
    <row r="60" spans="4:7" ht="15">
      <c r="D60" s="3"/>
      <c r="G60" s="1" t="s">
        <v>147</v>
      </c>
    </row>
    <row r="61" spans="4:7" ht="15">
      <c r="D61" s="3"/>
      <c r="F61" s="1" t="s">
        <v>148</v>
      </c>
    </row>
    <row r="62" spans="4:7" ht="15">
      <c r="D62" s="3"/>
      <c r="G62" s="1" t="s">
        <v>149</v>
      </c>
    </row>
    <row r="63" spans="4:7" ht="15">
      <c r="D63" s="3"/>
      <c r="F63" s="1" t="s">
        <v>150</v>
      </c>
    </row>
    <row r="64" spans="4:7" ht="15">
      <c r="D64" s="3"/>
      <c r="G64" s="1" t="s">
        <v>151</v>
      </c>
    </row>
    <row r="65" spans="1:7" ht="15">
      <c r="D65" s="3"/>
      <c r="F65" s="1" t="s">
        <v>152</v>
      </c>
    </row>
    <row r="66" spans="1:7" ht="15">
      <c r="G66" s="1" t="s">
        <v>153</v>
      </c>
    </row>
    <row r="67" spans="1:7" ht="15">
      <c r="F67" s="1" t="s">
        <v>154</v>
      </c>
    </row>
    <row r="68" spans="1:7" ht="15">
      <c r="G68" s="1" t="s">
        <v>155</v>
      </c>
    </row>
    <row r="70" spans="1:7" ht="15">
      <c r="A70" s="3" t="s">
        <v>157</v>
      </c>
    </row>
    <row r="72" spans="1:7">
      <c r="B72" s="1" t="s">
        <v>158</v>
      </c>
    </row>
    <row r="73" spans="1:7" ht="15">
      <c r="C73" s="3" t="s">
        <v>159</v>
      </c>
    </row>
    <row r="75" spans="1:7" ht="15">
      <c r="B75" s="11" t="s">
        <v>160</v>
      </c>
      <c r="D75"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19"/>
  <sheetViews>
    <sheetView zoomScale="85" zoomScaleNormal="85" workbookViewId="0">
      <pane xSplit="2" ySplit="2" topLeftCell="BY68" activePane="bottomRight" state="frozen"/>
      <selection pane="topRight" activeCell="C1" sqref="C1"/>
      <selection pane="bottomLeft" activeCell="A3" sqref="A3"/>
      <selection pane="bottomRight" activeCell="BQ101" sqref="BQ101"/>
    </sheetView>
  </sheetViews>
  <sheetFormatPr defaultRowHeight="14.25"/>
  <cols>
    <col min="1" max="1" width="3" style="1" customWidth="1"/>
    <col min="2" max="2" width="30.7109375" style="1" customWidth="1"/>
    <col min="3" max="17" width="9.28515625" style="1" bestFit="1" customWidth="1"/>
    <col min="18" max="18" width="9.85546875" style="1" bestFit="1" customWidth="1"/>
    <col min="1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38" width="9.28515625" style="19" bestFit="1" customWidth="1"/>
    <col min="139" max="16384" width="9.140625" style="1"/>
  </cols>
  <sheetData>
    <row r="1" spans="2:138">
      <c r="B1" s="1" t="s">
        <v>84</v>
      </c>
      <c r="E1" s="1" t="s">
        <v>238</v>
      </c>
      <c r="F1" s="1" t="s">
        <v>239</v>
      </c>
      <c r="G1" s="1" t="s">
        <v>240</v>
      </c>
      <c r="H1" s="1" t="s">
        <v>241</v>
      </c>
      <c r="I1" s="1" t="s">
        <v>238</v>
      </c>
      <c r="J1" s="1" t="s">
        <v>239</v>
      </c>
      <c r="K1" s="1" t="s">
        <v>240</v>
      </c>
      <c r="L1" s="1" t="s">
        <v>241</v>
      </c>
      <c r="M1" s="1" t="s">
        <v>238</v>
      </c>
      <c r="N1" s="1" t="s">
        <v>239</v>
      </c>
      <c r="O1" s="1" t="s">
        <v>240</v>
      </c>
      <c r="P1" s="1" t="s">
        <v>241</v>
      </c>
      <c r="Q1" s="1" t="s">
        <v>238</v>
      </c>
      <c r="R1" s="1" t="s">
        <v>239</v>
      </c>
      <c r="S1" s="1" t="s">
        <v>240</v>
      </c>
      <c r="T1" s="1" t="s">
        <v>241</v>
      </c>
      <c r="U1" s="1" t="s">
        <v>238</v>
      </c>
      <c r="V1" s="1" t="s">
        <v>239</v>
      </c>
      <c r="W1" s="1" t="s">
        <v>240</v>
      </c>
      <c r="X1" s="1" t="s">
        <v>241</v>
      </c>
      <c r="Y1" s="1" t="s">
        <v>238</v>
      </c>
      <c r="Z1" s="1" t="s">
        <v>239</v>
      </c>
      <c r="AA1" s="1" t="s">
        <v>240</v>
      </c>
      <c r="AB1" s="1" t="s">
        <v>241</v>
      </c>
      <c r="AC1" s="1" t="s">
        <v>238</v>
      </c>
      <c r="AD1" s="1" t="s">
        <v>239</v>
      </c>
      <c r="AE1" s="1" t="s">
        <v>240</v>
      </c>
      <c r="AF1" s="1" t="s">
        <v>241</v>
      </c>
      <c r="AG1" s="1" t="s">
        <v>238</v>
      </c>
      <c r="AH1" s="1" t="s">
        <v>239</v>
      </c>
      <c r="AI1" s="1" t="s">
        <v>240</v>
      </c>
      <c r="AJ1" s="1" t="s">
        <v>241</v>
      </c>
      <c r="AK1" s="1" t="s">
        <v>238</v>
      </c>
      <c r="AL1" s="1" t="s">
        <v>239</v>
      </c>
      <c r="AM1" s="1" t="s">
        <v>240</v>
      </c>
      <c r="AN1" s="1" t="s">
        <v>241</v>
      </c>
      <c r="AO1" s="1" t="s">
        <v>238</v>
      </c>
      <c r="AP1" s="1" t="s">
        <v>239</v>
      </c>
      <c r="AQ1" s="1" t="s">
        <v>240</v>
      </c>
      <c r="AR1" s="1" t="s">
        <v>241</v>
      </c>
      <c r="AS1" s="1" t="s">
        <v>238</v>
      </c>
      <c r="AT1" s="1" t="s">
        <v>239</v>
      </c>
      <c r="AU1" s="1" t="s">
        <v>240</v>
      </c>
      <c r="AV1" s="1" t="s">
        <v>241</v>
      </c>
      <c r="AW1" s="1" t="s">
        <v>238</v>
      </c>
      <c r="AX1" s="1" t="s">
        <v>239</v>
      </c>
      <c r="AY1" s="1" t="s">
        <v>240</v>
      </c>
      <c r="AZ1" s="1" t="s">
        <v>241</v>
      </c>
      <c r="BA1" s="1" t="s">
        <v>238</v>
      </c>
      <c r="BB1" s="1" t="s">
        <v>239</v>
      </c>
      <c r="BC1" s="1" t="s">
        <v>240</v>
      </c>
      <c r="BD1" s="1" t="s">
        <v>241</v>
      </c>
      <c r="BE1" s="1" t="s">
        <v>238</v>
      </c>
      <c r="BF1" s="1" t="s">
        <v>239</v>
      </c>
      <c r="BG1" s="1" t="s">
        <v>240</v>
      </c>
      <c r="BH1" s="1" t="s">
        <v>241</v>
      </c>
      <c r="BI1" s="1" t="s">
        <v>238</v>
      </c>
      <c r="BJ1" s="1" t="s">
        <v>239</v>
      </c>
      <c r="BK1" s="1" t="s">
        <v>240</v>
      </c>
      <c r="BL1" s="1" t="s">
        <v>241</v>
      </c>
      <c r="BM1" s="1" t="s">
        <v>238</v>
      </c>
      <c r="BN1" s="1" t="s">
        <v>239</v>
      </c>
      <c r="BO1" s="1" t="s">
        <v>240</v>
      </c>
      <c r="BP1" s="1" t="s">
        <v>241</v>
      </c>
      <c r="BQ1" s="1" t="s">
        <v>238</v>
      </c>
      <c r="BR1" s="1" t="s">
        <v>239</v>
      </c>
      <c r="BS1" s="1" t="s">
        <v>240</v>
      </c>
      <c r="BT1" s="1" t="s">
        <v>241</v>
      </c>
      <c r="BU1" s="1" t="s">
        <v>238</v>
      </c>
      <c r="BV1" s="1" t="s">
        <v>239</v>
      </c>
      <c r="BW1" s="1" t="s">
        <v>240</v>
      </c>
      <c r="BX1" s="1" t="s">
        <v>241</v>
      </c>
    </row>
    <row r="2" spans="2:138" s="3" customFormat="1" ht="15">
      <c r="B2" s="3" t="s">
        <v>161</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246</v>
      </c>
      <c r="BR2" s="20" t="s">
        <v>247</v>
      </c>
      <c r="BS2" s="20" t="s">
        <v>248</v>
      </c>
      <c r="BT2" s="20" t="s">
        <v>249</v>
      </c>
      <c r="BU2" s="20" t="s">
        <v>250</v>
      </c>
      <c r="BV2" s="20" t="s">
        <v>251</v>
      </c>
      <c r="BW2" s="20" t="s">
        <v>252</v>
      </c>
      <c r="BX2" s="20" t="s">
        <v>253</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1" t="s">
        <v>177</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f t="shared" ref="CN3:CS12" si="1">SUM(BE3:BH3)</f>
        <v>2221</v>
      </c>
      <c r="CO3" s="9">
        <f t="shared" si="1"/>
        <v>2266</v>
      </c>
      <c r="CP3" s="9">
        <f t="shared" si="1"/>
        <v>2335</v>
      </c>
      <c r="CQ3" s="9">
        <f t="shared" si="1"/>
        <v>2405</v>
      </c>
      <c r="CR3" s="9">
        <f t="shared" si="1"/>
        <v>2482</v>
      </c>
      <c r="CS3" s="9">
        <f t="shared" si="1"/>
        <v>2547</v>
      </c>
    </row>
    <row r="4" spans="2:138">
      <c r="B4" s="1" t="s">
        <v>178</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f t="shared" si="1"/>
        <v>1773</v>
      </c>
      <c r="CO4" s="9">
        <f t="shared" si="1"/>
        <v>1829</v>
      </c>
      <c r="CP4" s="9">
        <f t="shared" si="1"/>
        <v>1864</v>
      </c>
      <c r="CQ4" s="9">
        <f t="shared" si="1"/>
        <v>1914</v>
      </c>
      <c r="CR4" s="9">
        <f t="shared" si="1"/>
        <v>1964</v>
      </c>
      <c r="CS4" s="9">
        <f t="shared" si="1"/>
        <v>2008</v>
      </c>
    </row>
    <row r="5" spans="2:138">
      <c r="B5" s="1" t="s">
        <v>179</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f t="shared" si="1"/>
        <v>917</v>
      </c>
      <c r="CO5" s="9">
        <f t="shared" si="1"/>
        <v>942</v>
      </c>
      <c r="CP5" s="9">
        <f t="shared" si="1"/>
        <v>948</v>
      </c>
      <c r="CQ5" s="9">
        <f t="shared" si="1"/>
        <v>956</v>
      </c>
      <c r="CR5" s="9">
        <f t="shared" si="1"/>
        <v>976</v>
      </c>
      <c r="CS5" s="9">
        <f t="shared" si="1"/>
        <v>998</v>
      </c>
    </row>
    <row r="6" spans="2:138" s="3" customFormat="1" ht="15">
      <c r="B6" s="3" t="s">
        <v>180</v>
      </c>
      <c r="AW6" s="3">
        <f t="shared" ref="AW6" si="2">SUM(AW3:AW5)</f>
        <v>965</v>
      </c>
      <c r="AX6" s="3">
        <f t="shared" ref="AX6" si="3">SUM(AX3:AX5)</f>
        <v>698</v>
      </c>
      <c r="AY6" s="3">
        <f t="shared" ref="AY6" si="4">SUM(AY3:AY5)</f>
        <v>1041</v>
      </c>
      <c r="AZ6" s="3">
        <f>SUM(AZ3:AZ5)</f>
        <v>1123</v>
      </c>
      <c r="BA6" s="3">
        <f t="shared" ref="BA6:BN6" si="5">SUM(BA3:BA5)</f>
        <v>1058</v>
      </c>
      <c r="BB6" s="3">
        <f t="shared" si="5"/>
        <v>1195</v>
      </c>
      <c r="BC6" s="3">
        <f t="shared" si="5"/>
        <v>1138</v>
      </c>
      <c r="BD6" s="3">
        <f>SUM(BD3:BD5)</f>
        <v>1242</v>
      </c>
      <c r="BE6" s="3">
        <f t="shared" si="5"/>
        <v>1154</v>
      </c>
      <c r="BF6" s="3">
        <f t="shared" si="5"/>
        <v>1249</v>
      </c>
      <c r="BG6" s="3">
        <f t="shared" si="5"/>
        <v>1213</v>
      </c>
      <c r="BH6" s="3">
        <f t="shared" si="5"/>
        <v>1295</v>
      </c>
      <c r="BI6" s="3">
        <f t="shared" si="5"/>
        <v>1280</v>
      </c>
      <c r="BJ6" s="3">
        <f t="shared" si="5"/>
        <v>1359</v>
      </c>
      <c r="BK6" s="3">
        <f t="shared" si="5"/>
        <v>1341</v>
      </c>
      <c r="BL6" s="3">
        <f t="shared" si="5"/>
        <v>1442</v>
      </c>
      <c r="BM6" s="3">
        <f t="shared" si="5"/>
        <v>1411</v>
      </c>
      <c r="BN6" s="3">
        <f t="shared" si="5"/>
        <v>1482</v>
      </c>
      <c r="BO6" s="3">
        <f t="shared" ref="BO6:BQ6" si="6">SUM(BO3:BO5)</f>
        <v>1478</v>
      </c>
      <c r="BP6" s="3">
        <f t="shared" si="6"/>
        <v>1622</v>
      </c>
      <c r="BQ6" s="3">
        <f t="shared" si="6"/>
        <v>1577</v>
      </c>
      <c r="BR6" s="20"/>
      <c r="BS6" s="20"/>
      <c r="BT6" s="20"/>
      <c r="BU6" s="20"/>
      <c r="BV6" s="20"/>
      <c r="BW6" s="20"/>
      <c r="BX6" s="20"/>
      <c r="CN6" s="3">
        <f t="shared" ref="CN6:CS6" si="7">SUM(CN3:CN5)</f>
        <v>4911</v>
      </c>
      <c r="CO6" s="3">
        <f t="shared" si="7"/>
        <v>5037</v>
      </c>
      <c r="CP6" s="3">
        <f t="shared" si="7"/>
        <v>5147</v>
      </c>
      <c r="CQ6" s="3">
        <f t="shared" si="7"/>
        <v>5275</v>
      </c>
      <c r="CR6" s="3">
        <f t="shared" si="7"/>
        <v>5422</v>
      </c>
      <c r="CS6" s="3">
        <f t="shared" si="7"/>
        <v>5553</v>
      </c>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row>
    <row r="7" spans="2:138">
      <c r="B7" s="14" t="s">
        <v>181</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c r="CN7" s="9">
        <f t="shared" si="1"/>
        <v>2228</v>
      </c>
      <c r="CO7" s="9">
        <f t="shared" si="1"/>
        <v>2275</v>
      </c>
      <c r="CP7" s="9">
        <f t="shared" si="1"/>
        <v>2330</v>
      </c>
      <c r="CQ7" s="9">
        <f t="shared" si="1"/>
        <v>2364</v>
      </c>
      <c r="CR7" s="9">
        <f t="shared" si="1"/>
        <v>2417</v>
      </c>
      <c r="CS7" s="9">
        <f t="shared" si="1"/>
        <v>2478</v>
      </c>
    </row>
    <row r="8" spans="2:138">
      <c r="B8" s="14" t="s">
        <v>182</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c r="CN8" s="9">
        <f t="shared" si="1"/>
        <v>1019</v>
      </c>
      <c r="CO8" s="9">
        <f t="shared" si="1"/>
        <v>1084</v>
      </c>
      <c r="CP8" s="9">
        <f t="shared" si="1"/>
        <v>1151</v>
      </c>
      <c r="CQ8" s="9">
        <f t="shared" si="1"/>
        <v>1212</v>
      </c>
      <c r="CR8" s="9">
        <f t="shared" si="1"/>
        <v>1274</v>
      </c>
      <c r="CS8" s="9">
        <f t="shared" si="1"/>
        <v>1327</v>
      </c>
    </row>
    <row r="9" spans="2:138">
      <c r="B9" s="14" t="s">
        <v>183</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c r="CN9" s="9">
        <f t="shared" si="1"/>
        <v>2100</v>
      </c>
      <c r="CO9" s="9">
        <f t="shared" si="1"/>
        <v>2129</v>
      </c>
      <c r="CP9" s="9">
        <f t="shared" si="1"/>
        <v>2154</v>
      </c>
      <c r="CQ9" s="9">
        <f t="shared" si="1"/>
        <v>2187</v>
      </c>
      <c r="CR9" s="9">
        <f t="shared" si="1"/>
        <v>2218</v>
      </c>
      <c r="CS9" s="9">
        <f t="shared" si="1"/>
        <v>2245</v>
      </c>
    </row>
    <row r="10" spans="2:138">
      <c r="B10" s="14" t="s">
        <v>184</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c r="CN10" s="9">
        <f t="shared" si="1"/>
        <v>585</v>
      </c>
      <c r="CO10" s="9">
        <f t="shared" si="1"/>
        <v>644</v>
      </c>
      <c r="CP10" s="9">
        <f t="shared" si="1"/>
        <v>685</v>
      </c>
      <c r="CQ10" s="9">
        <f t="shared" si="1"/>
        <v>727</v>
      </c>
      <c r="CR10" s="9">
        <f t="shared" si="1"/>
        <v>800</v>
      </c>
      <c r="CS10" s="9">
        <f t="shared" si="1"/>
        <v>923</v>
      </c>
    </row>
    <row r="11" spans="2:138">
      <c r="B11" s="1" t="s">
        <v>207</v>
      </c>
      <c r="AW11" s="1">
        <f t="shared" ref="AW11" si="8">SUM(AW7:AW10)</f>
        <v>1185</v>
      </c>
      <c r="AX11" s="1">
        <f t="shared" ref="AX11" si="9">SUM(AX7:AX10)</f>
        <v>965</v>
      </c>
      <c r="AY11" s="1">
        <f t="shared" ref="AY11" si="10">SUM(AY7:AY10)</f>
        <v>1201</v>
      </c>
      <c r="AZ11" s="1">
        <f t="shared" ref="AZ11:BN11" si="11">SUM(AZ7:AZ10)</f>
        <v>1158</v>
      </c>
      <c r="BA11" s="1">
        <f t="shared" si="11"/>
        <v>1248</v>
      </c>
      <c r="BB11" s="1">
        <f t="shared" si="11"/>
        <v>1409</v>
      </c>
      <c r="BC11" s="1">
        <f t="shared" si="11"/>
        <v>1342</v>
      </c>
      <c r="BD11" s="1">
        <f t="shared" si="11"/>
        <v>1423</v>
      </c>
      <c r="BE11" s="1">
        <f t="shared" si="11"/>
        <v>1407</v>
      </c>
      <c r="BF11" s="1">
        <f t="shared" si="11"/>
        <v>1517</v>
      </c>
      <c r="BG11" s="1">
        <f t="shared" si="11"/>
        <v>1478</v>
      </c>
      <c r="BH11" s="1">
        <f t="shared" si="11"/>
        <v>1530</v>
      </c>
      <c r="BI11" s="1">
        <f t="shared" si="11"/>
        <v>1607</v>
      </c>
      <c r="BJ11" s="1">
        <f t="shared" si="11"/>
        <v>1705</v>
      </c>
      <c r="BK11" s="1">
        <f t="shared" si="11"/>
        <v>1648</v>
      </c>
      <c r="BL11" s="1">
        <f t="shared" si="11"/>
        <v>1749</v>
      </c>
      <c r="BM11" s="1">
        <f t="shared" si="11"/>
        <v>1871</v>
      </c>
      <c r="BN11" s="1">
        <f t="shared" si="11"/>
        <v>2048</v>
      </c>
      <c r="BO11" s="1">
        <f t="shared" ref="BO11" si="12">SUM(BO7:BO10)</f>
        <v>2129</v>
      </c>
      <c r="BP11" s="1">
        <f>SUM(BP7:BP10)</f>
        <v>2296</v>
      </c>
      <c r="BQ11" s="1">
        <v>2429</v>
      </c>
      <c r="CN11" s="9">
        <f t="shared" si="1"/>
        <v>5932</v>
      </c>
      <c r="CO11" s="9">
        <f t="shared" si="1"/>
        <v>6132</v>
      </c>
      <c r="CP11" s="9">
        <f t="shared" si="1"/>
        <v>6320</v>
      </c>
      <c r="CQ11" s="9">
        <f t="shared" si="1"/>
        <v>6490</v>
      </c>
      <c r="CR11" s="9">
        <f t="shared" si="1"/>
        <v>6709</v>
      </c>
      <c r="CS11" s="9">
        <f t="shared" si="1"/>
        <v>6973</v>
      </c>
    </row>
    <row r="12" spans="2:138">
      <c r="B12" s="1" t="s">
        <v>185</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f t="shared" si="1"/>
        <v>1899</v>
      </c>
      <c r="CO12" s="9">
        <f t="shared" si="1"/>
        <v>1936</v>
      </c>
      <c r="CP12" s="9">
        <f t="shared" si="1"/>
        <v>1993</v>
      </c>
      <c r="CQ12" s="9">
        <f t="shared" si="1"/>
        <v>2052</v>
      </c>
      <c r="CR12" s="9">
        <f t="shared" si="1"/>
        <v>2109</v>
      </c>
      <c r="CS12" s="9">
        <f t="shared" si="1"/>
        <v>2182</v>
      </c>
    </row>
    <row r="13" spans="2:138" s="3" customFormat="1" ht="15">
      <c r="B13" s="3" t="s">
        <v>186</v>
      </c>
      <c r="AW13" s="3">
        <f t="shared" ref="AW13" si="13">SUM(AW11:AW12)</f>
        <v>1578</v>
      </c>
      <c r="AX13" s="3">
        <f t="shared" ref="AX13" si="14">SUM(AX11:AX12)</f>
        <v>1305</v>
      </c>
      <c r="AY13" s="3">
        <f t="shared" ref="AY13" si="15">SUM(AY11:AY12)</f>
        <v>1618</v>
      </c>
      <c r="AZ13" s="3">
        <f>SUM(AZ11:AZ12)</f>
        <v>1585</v>
      </c>
      <c r="BA13" s="3">
        <f t="shared" ref="BA13:BN13" si="16">SUM(BA11:BA12)</f>
        <v>1681</v>
      </c>
      <c r="BB13" s="3">
        <f t="shared" si="16"/>
        <v>1882</v>
      </c>
      <c r="BC13" s="3">
        <f t="shared" si="16"/>
        <v>1794</v>
      </c>
      <c r="BD13" s="3">
        <f>SUM(BD11:BD12)</f>
        <v>1885</v>
      </c>
      <c r="BE13" s="3">
        <f t="shared" si="16"/>
        <v>1872</v>
      </c>
      <c r="BF13" s="3">
        <f t="shared" si="16"/>
        <v>1995</v>
      </c>
      <c r="BG13" s="3">
        <f t="shared" si="16"/>
        <v>1957</v>
      </c>
      <c r="BH13" s="3">
        <f t="shared" si="16"/>
        <v>2007</v>
      </c>
      <c r="BI13" s="3">
        <f t="shared" si="16"/>
        <v>2109</v>
      </c>
      <c r="BJ13" s="3">
        <f t="shared" si="16"/>
        <v>2240</v>
      </c>
      <c r="BK13" s="3">
        <f t="shared" si="16"/>
        <v>2186</v>
      </c>
      <c r="BL13" s="3">
        <f t="shared" si="16"/>
        <v>2283</v>
      </c>
      <c r="BM13" s="3">
        <f t="shared" si="16"/>
        <v>2446</v>
      </c>
      <c r="BN13" s="3">
        <f t="shared" si="16"/>
        <v>2638</v>
      </c>
      <c r="BO13" s="3">
        <f>SUM(BO11:BO12)</f>
        <v>2731</v>
      </c>
      <c r="BP13" s="3">
        <f>SUM(BP11:BP12)</f>
        <v>2939</v>
      </c>
      <c r="BQ13" s="3">
        <f>SUM(BQ11:BQ12)</f>
        <v>3086</v>
      </c>
      <c r="BR13" s="20"/>
      <c r="BS13" s="20"/>
      <c r="BT13" s="20"/>
      <c r="BU13" s="20"/>
      <c r="BV13" s="20"/>
      <c r="BW13" s="20"/>
      <c r="BX13" s="20"/>
      <c r="CN13" s="3">
        <f t="shared" ref="CN13:CS13" si="17">SUM(CN7:CN12)</f>
        <v>13763</v>
      </c>
      <c r="CO13" s="3">
        <f t="shared" si="17"/>
        <v>14200</v>
      </c>
      <c r="CP13" s="3">
        <f t="shared" si="17"/>
        <v>14633</v>
      </c>
      <c r="CQ13" s="3">
        <f t="shared" si="17"/>
        <v>15032</v>
      </c>
      <c r="CR13" s="3">
        <f t="shared" si="17"/>
        <v>15527</v>
      </c>
      <c r="CS13" s="3">
        <f t="shared" si="17"/>
        <v>16128</v>
      </c>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row>
    <row r="14" spans="2:138" s="3" customFormat="1" ht="15">
      <c r="B14" s="3" t="s">
        <v>187</v>
      </c>
      <c r="AW14" s="3">
        <f>AW6+AW13</f>
        <v>2543</v>
      </c>
      <c r="AX14" s="3">
        <f t="shared" ref="AX14" si="18">AX6+AX13</f>
        <v>2003</v>
      </c>
      <c r="AY14" s="3">
        <f t="shared" ref="AY14" si="19">AY6+AY13</f>
        <v>2659</v>
      </c>
      <c r="AZ14" s="3">
        <f>AZ6+AZ13</f>
        <v>2708</v>
      </c>
      <c r="BA14" s="3">
        <f>BA6+BA13+13</f>
        <v>2752</v>
      </c>
      <c r="BB14" s="3">
        <f t="shared" ref="BB14:BN14" si="20">BB6+BB13</f>
        <v>3077</v>
      </c>
      <c r="BC14" s="3">
        <f t="shared" si="20"/>
        <v>2932</v>
      </c>
      <c r="BD14" s="3">
        <f>BD6+BD13</f>
        <v>3127</v>
      </c>
      <c r="BE14" s="3">
        <f t="shared" si="20"/>
        <v>3026</v>
      </c>
      <c r="BF14" s="3">
        <f t="shared" si="20"/>
        <v>3244</v>
      </c>
      <c r="BG14" s="3">
        <f t="shared" si="20"/>
        <v>3170</v>
      </c>
      <c r="BH14" s="3">
        <f>BH6+BH13-60</f>
        <v>3242</v>
      </c>
      <c r="BI14" s="3">
        <f t="shared" si="20"/>
        <v>3389</v>
      </c>
      <c r="BJ14" s="3">
        <f t="shared" si="20"/>
        <v>3599</v>
      </c>
      <c r="BK14" s="3">
        <f t="shared" si="20"/>
        <v>3527</v>
      </c>
      <c r="BL14" s="3">
        <f t="shared" si="20"/>
        <v>3725</v>
      </c>
      <c r="BM14" s="3">
        <f t="shared" si="20"/>
        <v>3857</v>
      </c>
      <c r="BN14" s="3">
        <f t="shared" si="20"/>
        <v>4120</v>
      </c>
      <c r="BO14" s="3">
        <f t="shared" ref="BO14:BQ14" si="21">BO6+BO13</f>
        <v>4209</v>
      </c>
      <c r="BP14" s="3">
        <f t="shared" si="21"/>
        <v>4561</v>
      </c>
      <c r="BQ14" s="3">
        <f t="shared" si="21"/>
        <v>4663</v>
      </c>
      <c r="BR14" s="20"/>
      <c r="BS14" s="20"/>
      <c r="BT14" s="20"/>
      <c r="BU14" s="20"/>
      <c r="BV14" s="20"/>
      <c r="BW14" s="20"/>
      <c r="BX14" s="20"/>
      <c r="CN14" s="3">
        <f t="shared" ref="CN14:CS14" si="22">CN6+CN13</f>
        <v>18674</v>
      </c>
      <c r="CO14" s="3">
        <f t="shared" si="22"/>
        <v>19237</v>
      </c>
      <c r="CP14" s="3">
        <f t="shared" si="22"/>
        <v>19780</v>
      </c>
      <c r="CQ14" s="3">
        <f t="shared" si="22"/>
        <v>20307</v>
      </c>
      <c r="CR14" s="3">
        <f t="shared" si="22"/>
        <v>20949</v>
      </c>
      <c r="CS14" s="3">
        <f t="shared" si="22"/>
        <v>21681</v>
      </c>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row>
    <row r="15" spans="2:138" ht="15">
      <c r="B15" s="3"/>
    </row>
    <row r="16" spans="2:138">
      <c r="B16" s="1" t="s">
        <v>188</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f t="shared" ref="AW16:AY16" si="23">AW6/AW14</f>
        <v>0.37947306331104996</v>
      </c>
      <c r="AX16" s="15">
        <f t="shared" si="23"/>
        <v>0.34847728407388917</v>
      </c>
      <c r="AY16" s="15">
        <f t="shared" si="23"/>
        <v>0.3915005641218503</v>
      </c>
      <c r="AZ16" s="15">
        <f t="shared" ref="AZ16:BN16" si="24">AZ6/AZ14</f>
        <v>0.41469719350073853</v>
      </c>
      <c r="BA16" s="15">
        <f t="shared" si="24"/>
        <v>0.38444767441860467</v>
      </c>
      <c r="BB16" s="15">
        <f t="shared" si="24"/>
        <v>0.38836529086772831</v>
      </c>
      <c r="BC16" s="15">
        <f t="shared" si="24"/>
        <v>0.38813096862210095</v>
      </c>
      <c r="BD16" s="15">
        <f t="shared" si="24"/>
        <v>0.39718580108730411</v>
      </c>
      <c r="BE16" s="15">
        <f t="shared" si="24"/>
        <v>0.38136153337739592</v>
      </c>
      <c r="BF16" s="15">
        <f t="shared" si="24"/>
        <v>0.38501849568434032</v>
      </c>
      <c r="BG16" s="15">
        <f t="shared" si="24"/>
        <v>0.38264984227129339</v>
      </c>
      <c r="BH16" s="15">
        <f t="shared" si="24"/>
        <v>0.39944478716841458</v>
      </c>
      <c r="BI16" s="15">
        <f t="shared" si="24"/>
        <v>0.3776925346709944</v>
      </c>
      <c r="BJ16" s="15">
        <f t="shared" si="24"/>
        <v>0.37760489024729094</v>
      </c>
      <c r="BK16" s="15">
        <f t="shared" si="24"/>
        <v>0.3802098100368585</v>
      </c>
      <c r="BL16" s="15">
        <f t="shared" si="24"/>
        <v>0.38711409395973156</v>
      </c>
      <c r="BM16" s="15">
        <f t="shared" si="24"/>
        <v>0.36582836401348195</v>
      </c>
      <c r="BN16" s="15">
        <f t="shared" si="24"/>
        <v>0.35970873786407764</v>
      </c>
      <c r="BO16" s="15">
        <f t="shared" ref="BO16:BQ16" si="25">BO6/BO14</f>
        <v>0.35115229270610598</v>
      </c>
      <c r="BP16" s="15">
        <f>BP6/BP14</f>
        <v>0.35562376671782503</v>
      </c>
      <c r="BQ16" s="15">
        <f t="shared" si="25"/>
        <v>0.33819429551790692</v>
      </c>
      <c r="BR16" s="21"/>
      <c r="BS16" s="21"/>
      <c r="BT16" s="21"/>
      <c r="CN16" s="15">
        <f t="shared" ref="CN16:CS16" si="26">CN6/CN14</f>
        <v>0.26298596979757954</v>
      </c>
      <c r="CO16" s="15">
        <f t="shared" si="26"/>
        <v>0.26183916411082808</v>
      </c>
      <c r="CP16" s="15">
        <f t="shared" si="26"/>
        <v>0.26021233569261881</v>
      </c>
      <c r="CQ16" s="15">
        <f t="shared" si="26"/>
        <v>0.25976264342345007</v>
      </c>
      <c r="CR16" s="15">
        <f t="shared" si="26"/>
        <v>0.25881903670819612</v>
      </c>
      <c r="CS16" s="15">
        <f t="shared" si="26"/>
        <v>0.25612287256122873</v>
      </c>
    </row>
    <row r="17" spans="2:138">
      <c r="B17" s="1" t="s">
        <v>189</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f t="shared" ref="AW17:AY17" si="27">AW13/AW14</f>
        <v>0.62052693668895009</v>
      </c>
      <c r="AX17" s="15">
        <f t="shared" si="27"/>
        <v>0.65152271592611088</v>
      </c>
      <c r="AY17" s="15">
        <f t="shared" si="27"/>
        <v>0.6084994358781497</v>
      </c>
      <c r="AZ17" s="15">
        <f t="shared" ref="AZ17:BN17" si="28">AZ13/AZ14</f>
        <v>0.58530280649926147</v>
      </c>
      <c r="BA17" s="15">
        <f t="shared" si="28"/>
        <v>0.61082848837209303</v>
      </c>
      <c r="BB17" s="15">
        <f t="shared" si="28"/>
        <v>0.61163470913227169</v>
      </c>
      <c r="BC17" s="15">
        <f t="shared" si="28"/>
        <v>0.61186903137789905</v>
      </c>
      <c r="BD17" s="15">
        <f t="shared" si="28"/>
        <v>0.60281419891269583</v>
      </c>
      <c r="BE17" s="15">
        <f t="shared" si="28"/>
        <v>0.61863846662260413</v>
      </c>
      <c r="BF17" s="15">
        <f t="shared" si="28"/>
        <v>0.61498150431565968</v>
      </c>
      <c r="BG17" s="15">
        <f t="shared" si="28"/>
        <v>0.61735015772870661</v>
      </c>
      <c r="BH17" s="15">
        <f t="shared" si="28"/>
        <v>0.61906230721776678</v>
      </c>
      <c r="BI17" s="15">
        <f t="shared" si="28"/>
        <v>0.6223074653290056</v>
      </c>
      <c r="BJ17" s="15">
        <f t="shared" si="28"/>
        <v>0.62239510975270906</v>
      </c>
      <c r="BK17" s="15">
        <f t="shared" si="28"/>
        <v>0.6197901899631415</v>
      </c>
      <c r="BL17" s="15">
        <f t="shared" si="28"/>
        <v>0.61288590604026849</v>
      </c>
      <c r="BM17" s="15">
        <f t="shared" si="28"/>
        <v>0.63417163598651805</v>
      </c>
      <c r="BN17" s="15">
        <f t="shared" si="28"/>
        <v>0.64029126213592236</v>
      </c>
      <c r="BO17" s="15">
        <f t="shared" ref="BO17:BQ17" si="29">BO13/BO14</f>
        <v>0.64884770729389407</v>
      </c>
      <c r="BP17" s="15">
        <f>BP13/BP14</f>
        <v>0.64437623328217497</v>
      </c>
      <c r="BQ17" s="15">
        <f t="shared" si="29"/>
        <v>0.66180570448209308</v>
      </c>
      <c r="BR17" s="21"/>
      <c r="BS17" s="21"/>
      <c r="BT17" s="21"/>
      <c r="CN17" s="15">
        <f t="shared" ref="CN17:CS17" si="30">CN13/CN14</f>
        <v>0.73701403020242051</v>
      </c>
      <c r="CO17" s="15">
        <f t="shared" si="30"/>
        <v>0.73816083588917192</v>
      </c>
      <c r="CP17" s="15">
        <f t="shared" si="30"/>
        <v>0.73978766430738119</v>
      </c>
      <c r="CQ17" s="15">
        <f t="shared" si="30"/>
        <v>0.74023735657654999</v>
      </c>
      <c r="CR17" s="15">
        <f t="shared" si="30"/>
        <v>0.74118096329180394</v>
      </c>
      <c r="CS17" s="15">
        <f t="shared" si="30"/>
        <v>0.74387712743877132</v>
      </c>
    </row>
    <row r="18" spans="2:138">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21"/>
      <c r="BS18" s="21"/>
      <c r="BT18" s="21"/>
      <c r="CN18" s="15"/>
      <c r="CO18" s="15"/>
      <c r="CP18" s="15"/>
      <c r="CQ18" s="15"/>
      <c r="CR18" s="15"/>
      <c r="CS18" s="15"/>
    </row>
    <row r="19" spans="2:138">
      <c r="B19" s="1" t="s">
        <v>193</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7"/>
      <c r="AX19" s="17"/>
      <c r="AY19" s="17"/>
      <c r="AZ19" s="17"/>
      <c r="BA19" s="17">
        <f t="shared" ref="BA19:BQ19" si="31">BA6/AW6-1</f>
        <v>9.6373056994818684E-2</v>
      </c>
      <c r="BB19" s="17">
        <f t="shared" si="31"/>
        <v>0.71203438395415475</v>
      </c>
      <c r="BC19" s="17">
        <f t="shared" si="31"/>
        <v>9.3179634966378488E-2</v>
      </c>
      <c r="BD19" s="17">
        <f t="shared" si="31"/>
        <v>0.10596616206589493</v>
      </c>
      <c r="BE19" s="17">
        <f t="shared" si="31"/>
        <v>9.0737240075614345E-2</v>
      </c>
      <c r="BF19" s="17">
        <f t="shared" si="31"/>
        <v>4.5188284518828503E-2</v>
      </c>
      <c r="BG19" s="17">
        <f t="shared" si="31"/>
        <v>6.5905096660808349E-2</v>
      </c>
      <c r="BH19" s="17">
        <f t="shared" si="31"/>
        <v>4.2673107890499162E-2</v>
      </c>
      <c r="BI19" s="17">
        <f t="shared" si="31"/>
        <v>0.10918544194107449</v>
      </c>
      <c r="BJ19" s="17">
        <f t="shared" si="31"/>
        <v>8.8070456365092031E-2</v>
      </c>
      <c r="BK19" s="17">
        <f t="shared" si="31"/>
        <v>0.10552349546578732</v>
      </c>
      <c r="BL19" s="17">
        <f t="shared" si="31"/>
        <v>0.11351351351351346</v>
      </c>
      <c r="BM19" s="17">
        <f t="shared" si="31"/>
        <v>0.10234374999999996</v>
      </c>
      <c r="BN19" s="17">
        <f t="shared" si="31"/>
        <v>9.0507726269315691E-2</v>
      </c>
      <c r="BO19" s="17">
        <f t="shared" si="31"/>
        <v>0.10216256524981349</v>
      </c>
      <c r="BP19" s="17">
        <f>BP6/BL6-1</f>
        <v>0.12482662968099856</v>
      </c>
      <c r="BQ19" s="17">
        <f t="shared" si="31"/>
        <v>0.11764705882352944</v>
      </c>
      <c r="BR19" s="22"/>
      <c r="BS19" s="22"/>
      <c r="BT19" s="22"/>
      <c r="CN19" s="15"/>
      <c r="CO19" s="15">
        <f>CO6/CN6-1</f>
        <v>2.5656689065363558E-2</v>
      </c>
      <c r="CP19" s="15">
        <f>CP6/CO6-1</f>
        <v>2.1838395870557914E-2</v>
      </c>
      <c r="CQ19" s="15">
        <f>CQ6/CP6-1</f>
        <v>2.4868855644064602E-2</v>
      </c>
      <c r="CR19" s="15">
        <f>CR6/CQ6-1</f>
        <v>2.786729857819914E-2</v>
      </c>
      <c r="CS19" s="15">
        <f>CS6/CR6-1</f>
        <v>2.416082626337146E-2</v>
      </c>
    </row>
    <row r="20" spans="2:138">
      <c r="B20" s="1" t="s">
        <v>192</v>
      </c>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7"/>
      <c r="AX20" s="17"/>
      <c r="AY20" s="17"/>
      <c r="AZ20" s="17"/>
      <c r="BA20" s="17">
        <f t="shared" ref="BA20:BP20" si="32">BA13/AW13-1</f>
        <v>6.5272496831432214E-2</v>
      </c>
      <c r="BB20" s="17">
        <f t="shared" si="32"/>
        <v>0.44214559386973185</v>
      </c>
      <c r="BC20" s="17">
        <f t="shared" si="32"/>
        <v>0.10877626699629173</v>
      </c>
      <c r="BD20" s="17">
        <f t="shared" si="32"/>
        <v>0.18927444794952675</v>
      </c>
      <c r="BE20" s="17">
        <f t="shared" si="32"/>
        <v>0.11362284354550867</v>
      </c>
      <c r="BF20" s="17">
        <f t="shared" si="32"/>
        <v>6.0042507970244463E-2</v>
      </c>
      <c r="BG20" s="17">
        <f t="shared" si="32"/>
        <v>9.0858416945373444E-2</v>
      </c>
      <c r="BH20" s="17">
        <f t="shared" si="32"/>
        <v>6.4721485411140645E-2</v>
      </c>
      <c r="BI20" s="17">
        <f t="shared" si="32"/>
        <v>0.1266025641025641</v>
      </c>
      <c r="BJ20" s="17">
        <f t="shared" si="32"/>
        <v>0.12280701754385959</v>
      </c>
      <c r="BK20" s="17">
        <f t="shared" si="32"/>
        <v>0.11701584057230452</v>
      </c>
      <c r="BL20" s="17">
        <f t="shared" si="32"/>
        <v>0.1375186846038865</v>
      </c>
      <c r="BM20" s="17">
        <f t="shared" si="32"/>
        <v>0.15979137031768609</v>
      </c>
      <c r="BN20" s="17">
        <f t="shared" si="32"/>
        <v>0.17767857142857135</v>
      </c>
      <c r="BO20" s="17">
        <f t="shared" si="32"/>
        <v>0.24931381518755713</v>
      </c>
      <c r="BP20" s="17">
        <f t="shared" si="32"/>
        <v>0.28734121769601395</v>
      </c>
      <c r="BQ20" s="17">
        <f>BQ13/BM13-1</f>
        <v>0.26165167620605079</v>
      </c>
      <c r="BR20" s="22"/>
      <c r="BS20" s="22"/>
      <c r="BT20" s="22"/>
      <c r="CN20" s="15"/>
      <c r="CO20" s="15">
        <f t="shared" ref="CO20:CS21" si="33">CO13/CN13-1</f>
        <v>3.1751798299789247E-2</v>
      </c>
      <c r="CP20" s="15">
        <f t="shared" si="33"/>
        <v>3.0492957746478977E-2</v>
      </c>
      <c r="CQ20" s="15">
        <f t="shared" si="33"/>
        <v>2.7267135925647557E-2</v>
      </c>
      <c r="CR20" s="15">
        <f t="shared" si="33"/>
        <v>3.292974986695052E-2</v>
      </c>
      <c r="CS20" s="15">
        <f t="shared" si="33"/>
        <v>3.8706768854253948E-2</v>
      </c>
    </row>
    <row r="21" spans="2:138">
      <c r="B21" s="1" t="s">
        <v>191</v>
      </c>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7"/>
      <c r="AX21" s="17"/>
      <c r="AY21" s="17"/>
      <c r="AZ21" s="17"/>
      <c r="BA21" s="17">
        <f t="shared" ref="BA21:BQ21" si="34">BA14/AW14-1</f>
        <v>8.2186394022807807E-2</v>
      </c>
      <c r="BB21" s="17">
        <f t="shared" si="34"/>
        <v>0.53619570644033954</v>
      </c>
      <c r="BC21" s="17">
        <f t="shared" si="34"/>
        <v>0.10267017675817969</v>
      </c>
      <c r="BD21" s="17">
        <f t="shared" si="34"/>
        <v>0.15472673559822758</v>
      </c>
      <c r="BE21" s="17">
        <f t="shared" si="34"/>
        <v>9.9563953488372103E-2</v>
      </c>
      <c r="BF21" s="17">
        <f t="shared" si="34"/>
        <v>5.4273643158921026E-2</v>
      </c>
      <c r="BG21" s="17">
        <f t="shared" si="34"/>
        <v>8.1173260572987793E-2</v>
      </c>
      <c r="BH21" s="17">
        <f t="shared" si="34"/>
        <v>3.6776463063639353E-2</v>
      </c>
      <c r="BI21" s="17">
        <f t="shared" si="34"/>
        <v>0.11996034368803699</v>
      </c>
      <c r="BJ21" s="17">
        <f t="shared" si="34"/>
        <v>0.10943279901356351</v>
      </c>
      <c r="BK21" s="17">
        <f t="shared" si="34"/>
        <v>0.11261829652996846</v>
      </c>
      <c r="BL21" s="17">
        <f t="shared" si="34"/>
        <v>0.14898210980876003</v>
      </c>
      <c r="BM21" s="17">
        <f t="shared" si="34"/>
        <v>0.1380938329890824</v>
      </c>
      <c r="BN21" s="17">
        <f t="shared" si="34"/>
        <v>0.14476243400944711</v>
      </c>
      <c r="BO21" s="17">
        <f t="shared" si="34"/>
        <v>0.19336546640204144</v>
      </c>
      <c r="BP21" s="17">
        <f>BP14/BL14-1</f>
        <v>0.22442953020134238</v>
      </c>
      <c r="BQ21" s="17">
        <f t="shared" si="34"/>
        <v>0.20897070261861561</v>
      </c>
      <c r="BR21" s="22"/>
      <c r="BS21" s="22"/>
      <c r="BT21" s="22"/>
      <c r="CN21" s="15"/>
      <c r="CO21" s="15">
        <f t="shared" si="33"/>
        <v>3.01488700867516E-2</v>
      </c>
      <c r="CP21" s="15">
        <f t="shared" si="33"/>
        <v>2.8226854499142195E-2</v>
      </c>
      <c r="CQ21" s="15">
        <f t="shared" si="33"/>
        <v>2.6643073811931206E-2</v>
      </c>
      <c r="CR21" s="15">
        <f t="shared" si="33"/>
        <v>3.1614714137981892E-2</v>
      </c>
      <c r="CS21" s="15">
        <f t="shared" si="33"/>
        <v>3.4942002004868966E-2</v>
      </c>
    </row>
    <row r="22" spans="2:138" s="9" customFormat="1">
      <c r="BR22" s="19"/>
      <c r="BS22" s="19"/>
      <c r="BT22" s="19"/>
      <c r="BU22" s="19"/>
      <c r="BV22" s="19"/>
      <c r="BW22" s="19"/>
      <c r="BX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row>
    <row r="23" spans="2:138" s="9" customFormat="1">
      <c r="B23" s="9" t="s">
        <v>194</v>
      </c>
      <c r="AV23" s="1"/>
      <c r="AW23" s="9">
        <v>1452</v>
      </c>
      <c r="AX23" s="9">
        <v>1058</v>
      </c>
      <c r="AY23" s="9">
        <v>1496</v>
      </c>
      <c r="AZ23" s="1">
        <f>5508-SUM(AW23:AY23)</f>
        <v>1502</v>
      </c>
      <c r="BA23" s="9">
        <v>1577</v>
      </c>
      <c r="BB23" s="9">
        <v>1800</v>
      </c>
      <c r="BC23" s="9">
        <v>1726</v>
      </c>
      <c r="BD23" s="1">
        <f>6901-SUM(BA23:BC23)</f>
        <v>1798</v>
      </c>
      <c r="BE23" s="9">
        <v>1778</v>
      </c>
      <c r="BF23" s="9">
        <v>1934</v>
      </c>
      <c r="BG23" s="9">
        <v>1934</v>
      </c>
      <c r="BH23" s="1">
        <f>7632-SUM(BE23:BG23)</f>
        <v>1986</v>
      </c>
      <c r="BI23" s="9">
        <v>2003</v>
      </c>
      <c r="BJ23" s="9">
        <v>2110</v>
      </c>
      <c r="BK23" s="9">
        <v>2099</v>
      </c>
      <c r="BL23" s="1">
        <f>8425-SUM(BI23:BK23)</f>
        <v>2213</v>
      </c>
      <c r="BM23" s="9">
        <v>2258</v>
      </c>
      <c r="BN23" s="9">
        <v>2466</v>
      </c>
      <c r="BO23" s="9">
        <v>2593</v>
      </c>
      <c r="BP23" s="1">
        <f>10210-SUM(BM23:BO23)</f>
        <v>2893</v>
      </c>
      <c r="BQ23" s="9">
        <v>2960</v>
      </c>
      <c r="BR23" s="19"/>
      <c r="BS23" s="19"/>
      <c r="BT23" s="19"/>
      <c r="BU23" s="19"/>
      <c r="BV23" s="19"/>
      <c r="BW23" s="19"/>
      <c r="BX23" s="19"/>
      <c r="CN23" s="9">
        <f t="shared" ref="CN23:CN26" si="35">SUM(BE23:BH23)</f>
        <v>7632</v>
      </c>
      <c r="CO23" s="9">
        <f t="shared" ref="CN23:CS27" si="36">SUM(BF23:BI23)</f>
        <v>7857</v>
      </c>
      <c r="CP23" s="9">
        <f t="shared" si="36"/>
        <v>8033</v>
      </c>
      <c r="CQ23" s="9">
        <f t="shared" si="36"/>
        <v>8198</v>
      </c>
      <c r="CR23" s="9">
        <f t="shared" si="36"/>
        <v>8425</v>
      </c>
      <c r="CS23" s="9">
        <f t="shared" si="36"/>
        <v>8680</v>
      </c>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row>
    <row r="24" spans="2:138" s="9" customFormat="1">
      <c r="B24" s="9" t="s">
        <v>195</v>
      </c>
      <c r="AV24" s="1"/>
      <c r="AW24" s="9">
        <v>552</v>
      </c>
      <c r="AX24" s="9">
        <v>416</v>
      </c>
      <c r="AY24" s="9">
        <v>540</v>
      </c>
      <c r="AZ24" s="1">
        <f>2097-SUM(AW24:AY24)</f>
        <v>589</v>
      </c>
      <c r="BA24" s="9">
        <v>604</v>
      </c>
      <c r="BB24" s="9">
        <v>662</v>
      </c>
      <c r="BC24" s="9">
        <v>590</v>
      </c>
      <c r="BD24" s="1">
        <f>2518-SUM(BA24:BC24)</f>
        <v>662</v>
      </c>
      <c r="BE24" s="9">
        <v>624</v>
      </c>
      <c r="BF24" s="9">
        <v>660</v>
      </c>
      <c r="BG24" s="9">
        <v>585</v>
      </c>
      <c r="BH24" s="1">
        <f>2526-SUM(BE24:BG24)</f>
        <v>657</v>
      </c>
      <c r="BI24" s="9">
        <v>712</v>
      </c>
      <c r="BJ24" s="9">
        <v>723</v>
      </c>
      <c r="BK24" s="9">
        <v>671</v>
      </c>
      <c r="BL24" s="1">
        <f>2856-SUM(BI24:BK24)</f>
        <v>750</v>
      </c>
      <c r="BM24" s="9">
        <v>803</v>
      </c>
      <c r="BN24" s="9">
        <v>822</v>
      </c>
      <c r="BO24" s="9">
        <v>773</v>
      </c>
      <c r="BP24" s="1">
        <f>3228-SUM(BM24:BO24)</f>
        <v>830</v>
      </c>
      <c r="BQ24" s="9">
        <v>846</v>
      </c>
      <c r="BR24" s="19"/>
      <c r="BS24" s="19"/>
      <c r="BT24" s="19"/>
      <c r="BU24" s="19"/>
      <c r="BV24" s="19"/>
      <c r="BW24" s="19"/>
      <c r="BX24" s="19"/>
      <c r="CN24" s="9">
        <f t="shared" si="35"/>
        <v>2526</v>
      </c>
      <c r="CO24" s="9">
        <f t="shared" si="36"/>
        <v>2614</v>
      </c>
      <c r="CP24" s="9">
        <f t="shared" si="36"/>
        <v>2677</v>
      </c>
      <c r="CQ24" s="9">
        <f t="shared" si="36"/>
        <v>2763</v>
      </c>
      <c r="CR24" s="9">
        <f t="shared" si="36"/>
        <v>2856</v>
      </c>
      <c r="CS24" s="9">
        <f t="shared" si="36"/>
        <v>2947</v>
      </c>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row>
    <row r="25" spans="2:138" s="9" customFormat="1">
      <c r="B25" s="9" t="s">
        <v>196</v>
      </c>
      <c r="AV25" s="1"/>
      <c r="AW25" s="9">
        <v>409</v>
      </c>
      <c r="AX25" s="9">
        <v>410</v>
      </c>
      <c r="AY25" s="9">
        <v>472</v>
      </c>
      <c r="AZ25" s="1">
        <f>1781-SUM(AW25:AY25)</f>
        <v>490</v>
      </c>
      <c r="BA25" s="9">
        <v>473</v>
      </c>
      <c r="BB25" s="9">
        <v>520</v>
      </c>
      <c r="BC25" s="9">
        <v>517</v>
      </c>
      <c r="BD25" s="1">
        <f>2070-SUM(BA25:BC25)</f>
        <v>560</v>
      </c>
      <c r="BE25" s="9">
        <v>517</v>
      </c>
      <c r="BF25" s="9">
        <v>530</v>
      </c>
      <c r="BG25" s="9">
        <v>532</v>
      </c>
      <c r="BH25" s="1">
        <f>2116-SUM(BE25:BG25)</f>
        <v>537</v>
      </c>
      <c r="BI25" s="9">
        <v>548</v>
      </c>
      <c r="BJ25" s="9">
        <v>626</v>
      </c>
      <c r="BK25" s="9">
        <v>611</v>
      </c>
      <c r="BL25" s="1">
        <f>2400-SUM(BI25:BK25)</f>
        <v>615</v>
      </c>
      <c r="BM25" s="9">
        <v>647</v>
      </c>
      <c r="BN25" s="9">
        <v>670</v>
      </c>
      <c r="BO25" s="9">
        <v>684</v>
      </c>
      <c r="BP25" s="1">
        <f>2686-SUM(BM25:BO25)</f>
        <v>685</v>
      </c>
      <c r="BQ25" s="9">
        <v>701</v>
      </c>
      <c r="BR25" s="19"/>
      <c r="BS25" s="19"/>
      <c r="BT25" s="19"/>
      <c r="BU25" s="19"/>
      <c r="BV25" s="19"/>
      <c r="BW25" s="19"/>
      <c r="BX25" s="19"/>
      <c r="CN25" s="9">
        <f t="shared" si="35"/>
        <v>2116</v>
      </c>
      <c r="CO25" s="9">
        <f t="shared" si="36"/>
        <v>2147</v>
      </c>
      <c r="CP25" s="9">
        <f t="shared" si="36"/>
        <v>2243</v>
      </c>
      <c r="CQ25" s="9">
        <f t="shared" si="36"/>
        <v>2322</v>
      </c>
      <c r="CR25" s="9">
        <f t="shared" si="36"/>
        <v>2400</v>
      </c>
      <c r="CS25" s="9">
        <f t="shared" si="36"/>
        <v>2499</v>
      </c>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row>
    <row r="26" spans="2:138" s="9" customFormat="1">
      <c r="B26" s="9" t="s">
        <v>197</v>
      </c>
      <c r="AV26" s="1"/>
      <c r="AW26" s="9">
        <v>89</v>
      </c>
      <c r="AX26" s="9">
        <v>51</v>
      </c>
      <c r="AY26" s="9">
        <v>77</v>
      </c>
      <c r="AZ26" s="1">
        <f>307-SUM(AW26:AY26)</f>
        <v>90</v>
      </c>
      <c r="BA26" s="9">
        <v>85</v>
      </c>
      <c r="BB26" s="9">
        <v>95</v>
      </c>
      <c r="BC26" s="9">
        <v>99</v>
      </c>
      <c r="BD26" s="1">
        <f>386-SUM(BA26:BC26)</f>
        <v>107</v>
      </c>
      <c r="BE26" s="9">
        <v>107</v>
      </c>
      <c r="BF26" s="9">
        <v>120</v>
      </c>
      <c r="BG26" s="9">
        <v>119</v>
      </c>
      <c r="BH26" s="1">
        <f>469-SUM(BE26:BG26)</f>
        <v>123</v>
      </c>
      <c r="BI26" s="9">
        <v>126</v>
      </c>
      <c r="BJ26" s="9">
        <v>140</v>
      </c>
      <c r="BK26" s="9">
        <v>146</v>
      </c>
      <c r="BL26" s="1">
        <f>559-SUM(BI26:BK26)</f>
        <v>147</v>
      </c>
      <c r="BM26" s="9">
        <v>149</v>
      </c>
      <c r="BN26" s="9">
        <v>162</v>
      </c>
      <c r="BO26" s="9">
        <v>159</v>
      </c>
      <c r="BP26" s="1">
        <f>623-SUM(BM26:BO26)</f>
        <v>153</v>
      </c>
      <c r="BQ26" s="9">
        <v>156</v>
      </c>
      <c r="BR26" s="19"/>
      <c r="BS26" s="19"/>
      <c r="BT26" s="19"/>
      <c r="BU26" s="19"/>
      <c r="BV26" s="19"/>
      <c r="BW26" s="19"/>
      <c r="BX26" s="19"/>
      <c r="CN26" s="9">
        <f t="shared" si="35"/>
        <v>469</v>
      </c>
      <c r="CO26" s="9">
        <f t="shared" si="36"/>
        <v>488</v>
      </c>
      <c r="CP26" s="9">
        <f t="shared" si="36"/>
        <v>508</v>
      </c>
      <c r="CQ26" s="9">
        <f t="shared" si="36"/>
        <v>535</v>
      </c>
      <c r="CR26" s="9">
        <f t="shared" si="36"/>
        <v>559</v>
      </c>
      <c r="CS26" s="9">
        <f t="shared" si="36"/>
        <v>582</v>
      </c>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row>
    <row r="27" spans="2:138" s="10" customFormat="1" ht="15">
      <c r="B27" s="10" t="s">
        <v>187</v>
      </c>
      <c r="AW27" s="10">
        <f>SUM(AW23:AW26)+41</f>
        <v>2543</v>
      </c>
      <c r="AX27" s="10">
        <f>SUM(AX23:AX26)+68</f>
        <v>2003</v>
      </c>
      <c r="AY27" s="10">
        <f>SUM(AY23:AY26)+74</f>
        <v>2659</v>
      </c>
      <c r="AZ27" s="10">
        <f>SUM(AZ23:AZ26)+220-41-68-74</f>
        <v>2708</v>
      </c>
      <c r="BA27" s="10">
        <f>SUM(BA23:BA26)+13</f>
        <v>2752</v>
      </c>
      <c r="BB27" s="10">
        <f t="shared" ref="BB27:BN27" si="37">SUM(BB23:BB26)</f>
        <v>3077</v>
      </c>
      <c r="BC27" s="10">
        <f t="shared" si="37"/>
        <v>2932</v>
      </c>
      <c r="BD27" s="10">
        <f>SUM(BD23:BD26)</f>
        <v>3127</v>
      </c>
      <c r="BE27" s="10">
        <f t="shared" si="37"/>
        <v>3026</v>
      </c>
      <c r="BF27" s="10">
        <f t="shared" si="37"/>
        <v>3244</v>
      </c>
      <c r="BG27" s="10">
        <f t="shared" si="37"/>
        <v>3170</v>
      </c>
      <c r="BH27" s="10">
        <f>SUM(BH23:BH26)-61</f>
        <v>3242</v>
      </c>
      <c r="BI27" s="10">
        <f t="shared" si="37"/>
        <v>3389</v>
      </c>
      <c r="BJ27" s="10">
        <f t="shared" si="37"/>
        <v>3599</v>
      </c>
      <c r="BK27" s="10">
        <f t="shared" si="37"/>
        <v>3527</v>
      </c>
      <c r="BL27" s="10">
        <f t="shared" si="37"/>
        <v>3725</v>
      </c>
      <c r="BM27" s="10">
        <f t="shared" si="37"/>
        <v>3857</v>
      </c>
      <c r="BN27" s="10">
        <f t="shared" si="37"/>
        <v>4120</v>
      </c>
      <c r="BO27" s="10">
        <f t="shared" ref="BO27:BQ27" si="38">SUM(BO23:BO26)</f>
        <v>4209</v>
      </c>
      <c r="BP27" s="10">
        <f>SUM(BP23:BP26)</f>
        <v>4561</v>
      </c>
      <c r="BQ27" s="10">
        <f t="shared" si="38"/>
        <v>4663</v>
      </c>
      <c r="BR27" s="20"/>
      <c r="BS27" s="20"/>
      <c r="BT27" s="20"/>
      <c r="BU27" s="20"/>
      <c r="BV27" s="20"/>
      <c r="BW27" s="20"/>
      <c r="BX27" s="20"/>
      <c r="CN27" s="10">
        <f t="shared" si="36"/>
        <v>12682</v>
      </c>
      <c r="CO27" s="10">
        <f t="shared" si="36"/>
        <v>13045</v>
      </c>
      <c r="CP27" s="10">
        <f t="shared" si="36"/>
        <v>13400</v>
      </c>
      <c r="CQ27" s="10">
        <f t="shared" si="36"/>
        <v>13757</v>
      </c>
      <c r="CR27" s="10">
        <f t="shared" si="36"/>
        <v>14240</v>
      </c>
      <c r="CS27" s="10">
        <f t="shared" si="36"/>
        <v>14708</v>
      </c>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row>
    <row r="28" spans="2:138" s="9" customFormat="1">
      <c r="BR28" s="19"/>
      <c r="BS28" s="19"/>
      <c r="BT28" s="19"/>
      <c r="BU28" s="19"/>
      <c r="BV28" s="19"/>
      <c r="BW28" s="19"/>
      <c r="BX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row>
    <row r="29" spans="2:138" s="9" customFormat="1">
      <c r="B29" s="9" t="s">
        <v>198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f t="shared" ref="AW29:BQ29" si="39">AW23/AW27</f>
        <v>0.57097915847424296</v>
      </c>
      <c r="AX29" s="13">
        <f t="shared" si="39"/>
        <v>0.52820768846729904</v>
      </c>
      <c r="AY29" s="13">
        <f t="shared" si="39"/>
        <v>0.56261752538548326</v>
      </c>
      <c r="AZ29" s="13">
        <f t="shared" si="39"/>
        <v>0.55465288035450522</v>
      </c>
      <c r="BA29" s="13">
        <f t="shared" si="39"/>
        <v>0.57303779069767447</v>
      </c>
      <c r="BB29" s="13">
        <f t="shared" si="39"/>
        <v>0.5849853753656159</v>
      </c>
      <c r="BC29" s="13">
        <f t="shared" si="39"/>
        <v>0.58867667121418832</v>
      </c>
      <c r="BD29" s="13">
        <f t="shared" si="39"/>
        <v>0.57499200511672532</v>
      </c>
      <c r="BE29" s="13">
        <f t="shared" si="39"/>
        <v>0.58757435558493065</v>
      </c>
      <c r="BF29" s="13">
        <f t="shared" si="39"/>
        <v>0.59617755856966703</v>
      </c>
      <c r="BG29" s="13">
        <f t="shared" si="39"/>
        <v>0.61009463722397472</v>
      </c>
      <c r="BH29" s="13">
        <f t="shared" si="39"/>
        <v>0.61258482418260329</v>
      </c>
      <c r="BI29" s="13">
        <f t="shared" si="39"/>
        <v>0.59102980230156388</v>
      </c>
      <c r="BJ29" s="13">
        <f t="shared" si="39"/>
        <v>0.58627396499027506</v>
      </c>
      <c r="BK29" s="13">
        <f t="shared" si="39"/>
        <v>0.59512333427842357</v>
      </c>
      <c r="BL29" s="13">
        <f t="shared" si="39"/>
        <v>0.59409395973154366</v>
      </c>
      <c r="BM29" s="13">
        <f t="shared" si="39"/>
        <v>0.58542908996629506</v>
      </c>
      <c r="BN29" s="13">
        <f t="shared" si="39"/>
        <v>0.59854368932038837</v>
      </c>
      <c r="BO29" s="13">
        <f t="shared" si="39"/>
        <v>0.6160608220479924</v>
      </c>
      <c r="BP29" s="13">
        <f t="shared" si="39"/>
        <v>0.63429072571804423</v>
      </c>
      <c r="BQ29" s="13">
        <f t="shared" si="39"/>
        <v>0.63478447351490452</v>
      </c>
      <c r="BR29" s="21"/>
      <c r="BS29" s="21"/>
      <c r="BT29" s="21"/>
      <c r="BU29" s="19"/>
      <c r="BV29" s="19"/>
      <c r="BW29" s="19"/>
      <c r="BX29" s="19"/>
      <c r="CN29" s="13">
        <f t="shared" ref="CN29:CS29" si="40">CN23/CN27</f>
        <v>0.60179782368711565</v>
      </c>
      <c r="CO29" s="13">
        <f t="shared" si="40"/>
        <v>0.60229973169796858</v>
      </c>
      <c r="CP29" s="13">
        <f t="shared" si="40"/>
        <v>0.59947761194029847</v>
      </c>
      <c r="CQ29" s="13">
        <f t="shared" si="40"/>
        <v>0.59591480700734167</v>
      </c>
      <c r="CR29" s="13">
        <f t="shared" si="40"/>
        <v>0.5916432584269663</v>
      </c>
      <c r="CS29" s="13">
        <f t="shared" si="40"/>
        <v>0.59015501767745449</v>
      </c>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row>
    <row r="30" spans="2:138" s="9" customFormat="1">
      <c r="B30" s="9" t="s">
        <v>199</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f t="shared" ref="AW30:BQ30" si="41">AW24/AW27</f>
        <v>0.21706645694062132</v>
      </c>
      <c r="AX30" s="13">
        <f t="shared" si="41"/>
        <v>0.20768846729905141</v>
      </c>
      <c r="AY30" s="13">
        <f t="shared" si="41"/>
        <v>0.20308386611508086</v>
      </c>
      <c r="AZ30" s="13">
        <f t="shared" si="41"/>
        <v>0.21750369276218612</v>
      </c>
      <c r="BA30" s="13">
        <f t="shared" si="41"/>
        <v>0.21947674418604651</v>
      </c>
      <c r="BB30" s="13">
        <f t="shared" si="41"/>
        <v>0.21514462138446538</v>
      </c>
      <c r="BC30" s="13">
        <f t="shared" si="41"/>
        <v>0.20122783083219645</v>
      </c>
      <c r="BD30" s="13">
        <f t="shared" si="41"/>
        <v>0.21170450911416694</v>
      </c>
      <c r="BE30" s="13">
        <f t="shared" si="41"/>
        <v>0.2062128222075347</v>
      </c>
      <c r="BF30" s="13">
        <f t="shared" si="41"/>
        <v>0.20345252774352651</v>
      </c>
      <c r="BG30" s="13">
        <f t="shared" si="41"/>
        <v>0.18454258675078863</v>
      </c>
      <c r="BH30" s="13">
        <f t="shared" si="41"/>
        <v>0.20265268352868598</v>
      </c>
      <c r="BI30" s="13">
        <f t="shared" si="41"/>
        <v>0.21009147241074064</v>
      </c>
      <c r="BJ30" s="13">
        <f t="shared" si="41"/>
        <v>0.20088913587107529</v>
      </c>
      <c r="BK30" s="13">
        <f t="shared" si="41"/>
        <v>0.19024666855684719</v>
      </c>
      <c r="BL30" s="13">
        <f t="shared" si="41"/>
        <v>0.20134228187919462</v>
      </c>
      <c r="BM30" s="13">
        <f t="shared" si="41"/>
        <v>0.20819289603318641</v>
      </c>
      <c r="BN30" s="13">
        <f t="shared" si="41"/>
        <v>0.19951456310679611</v>
      </c>
      <c r="BO30" s="13">
        <f t="shared" si="41"/>
        <v>0.18365407460204325</v>
      </c>
      <c r="BP30" s="13">
        <f t="shared" si="41"/>
        <v>0.18197763648322737</v>
      </c>
      <c r="BQ30" s="13">
        <f t="shared" si="41"/>
        <v>0.18142826506540854</v>
      </c>
      <c r="BR30" s="21"/>
      <c r="BS30" s="21"/>
      <c r="BT30" s="21"/>
      <c r="BU30" s="19"/>
      <c r="BV30" s="19"/>
      <c r="BW30" s="19"/>
      <c r="BX30" s="19"/>
      <c r="CN30" s="13">
        <f t="shared" ref="CN30:CS30" si="42">CN24/CN27</f>
        <v>0.19917994007254378</v>
      </c>
      <c r="CO30" s="13">
        <f t="shared" si="42"/>
        <v>0.20038328861632809</v>
      </c>
      <c r="CP30" s="13">
        <f t="shared" si="42"/>
        <v>0.19977611940298506</v>
      </c>
      <c r="CQ30" s="13">
        <f t="shared" si="42"/>
        <v>0.20084320709457004</v>
      </c>
      <c r="CR30" s="13">
        <f t="shared" si="42"/>
        <v>0.200561797752809</v>
      </c>
      <c r="CS30" s="13">
        <f t="shared" si="42"/>
        <v>0.20036714713081316</v>
      </c>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row>
    <row r="31" spans="2:138" s="9" customFormat="1">
      <c r="B31" s="9" t="s">
        <v>200</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f t="shared" ref="AW31:BQ31" si="43">AW25/AW27</f>
        <v>0.16083366103027918</v>
      </c>
      <c r="AX31" s="13">
        <f t="shared" si="43"/>
        <v>0.20469296055916125</v>
      </c>
      <c r="AY31" s="13">
        <f t="shared" si="43"/>
        <v>0.17751034223392254</v>
      </c>
      <c r="AZ31" s="13">
        <f t="shared" si="43"/>
        <v>0.18094534711964549</v>
      </c>
      <c r="BA31" s="13">
        <f t="shared" si="43"/>
        <v>0.171875</v>
      </c>
      <c r="BB31" s="13">
        <f t="shared" si="43"/>
        <v>0.16899577510562236</v>
      </c>
      <c r="BC31" s="13">
        <f t="shared" si="43"/>
        <v>0.17633015006821282</v>
      </c>
      <c r="BD31" s="13">
        <f t="shared" si="43"/>
        <v>0.17908538535337384</v>
      </c>
      <c r="BE31" s="13">
        <f t="shared" si="43"/>
        <v>0.17085261070720423</v>
      </c>
      <c r="BF31" s="13">
        <f t="shared" si="43"/>
        <v>0.16337854500616522</v>
      </c>
      <c r="BG31" s="13">
        <f t="shared" si="43"/>
        <v>0.16782334384858044</v>
      </c>
      <c r="BH31" s="13">
        <f t="shared" si="43"/>
        <v>0.16563849475632325</v>
      </c>
      <c r="BI31" s="13">
        <f t="shared" si="43"/>
        <v>0.16169961640601949</v>
      </c>
      <c r="BJ31" s="13">
        <f t="shared" si="43"/>
        <v>0.17393720477910532</v>
      </c>
      <c r="BK31" s="13">
        <f t="shared" si="43"/>
        <v>0.17323504394669692</v>
      </c>
      <c r="BL31" s="13">
        <f t="shared" si="43"/>
        <v>0.1651006711409396</v>
      </c>
      <c r="BM31" s="13">
        <f t="shared" si="43"/>
        <v>0.16774695359087374</v>
      </c>
      <c r="BN31" s="13">
        <f t="shared" si="43"/>
        <v>0.16262135922330098</v>
      </c>
      <c r="BO31" s="13">
        <f t="shared" si="43"/>
        <v>0.16250890947968638</v>
      </c>
      <c r="BP31" s="13">
        <f t="shared" si="43"/>
        <v>0.15018636263977198</v>
      </c>
      <c r="BQ31" s="13">
        <f t="shared" si="43"/>
        <v>0.15033240403173923</v>
      </c>
      <c r="BR31" s="21"/>
      <c r="BS31" s="21"/>
      <c r="BT31" s="21"/>
      <c r="BU31" s="19"/>
      <c r="BV31" s="19"/>
      <c r="BW31" s="19"/>
      <c r="BX31" s="19"/>
      <c r="CN31" s="13">
        <f t="shared" ref="CN31:CS31" si="44">CN25/CN27</f>
        <v>0.16685065447090364</v>
      </c>
      <c r="CO31" s="13">
        <f t="shared" si="44"/>
        <v>0.16458413185128401</v>
      </c>
      <c r="CP31" s="13">
        <f t="shared" si="44"/>
        <v>0.16738805970149254</v>
      </c>
      <c r="CQ31" s="13">
        <f t="shared" si="44"/>
        <v>0.16878679944755398</v>
      </c>
      <c r="CR31" s="13">
        <f t="shared" si="44"/>
        <v>0.16853932584269662</v>
      </c>
      <c r="CS31" s="13">
        <f t="shared" si="44"/>
        <v>0.16990753331520261</v>
      </c>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9" t="s">
        <v>201</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f t="shared" ref="AW32:BQ32" si="45">AW26/AW27</f>
        <v>3.4998033818324815E-2</v>
      </c>
      <c r="AX32" s="13">
        <f t="shared" si="45"/>
        <v>2.5461807289066399E-2</v>
      </c>
      <c r="AY32" s="13">
        <f t="shared" si="45"/>
        <v>2.8958254983076345E-2</v>
      </c>
      <c r="AZ32" s="13">
        <f t="shared" si="45"/>
        <v>3.3234859675036928E-2</v>
      </c>
      <c r="BA32" s="13">
        <f t="shared" si="45"/>
        <v>3.0886627906976744E-2</v>
      </c>
      <c r="BB32" s="13">
        <f t="shared" si="45"/>
        <v>3.0874228144296391E-2</v>
      </c>
      <c r="BC32" s="13">
        <f t="shared" si="45"/>
        <v>3.3765347885402454E-2</v>
      </c>
      <c r="BD32" s="13">
        <f t="shared" si="45"/>
        <v>3.4218100415733928E-2</v>
      </c>
      <c r="BE32" s="13">
        <f t="shared" si="45"/>
        <v>3.5360211500330467E-2</v>
      </c>
      <c r="BF32" s="13">
        <f t="shared" si="45"/>
        <v>3.6991368680641186E-2</v>
      </c>
      <c r="BG32" s="13">
        <f t="shared" si="45"/>
        <v>3.7539432176656153E-2</v>
      </c>
      <c r="BH32" s="13">
        <f t="shared" si="45"/>
        <v>3.7939543491671807E-2</v>
      </c>
      <c r="BI32" s="13">
        <f t="shared" si="45"/>
        <v>3.7179108881676012E-2</v>
      </c>
      <c r="BJ32" s="13">
        <f t="shared" si="45"/>
        <v>3.8899694359544316E-2</v>
      </c>
      <c r="BK32" s="13">
        <f t="shared" si="45"/>
        <v>4.139495321803232E-2</v>
      </c>
      <c r="BL32" s="13">
        <f t="shared" si="45"/>
        <v>3.9463087248322148E-2</v>
      </c>
      <c r="BM32" s="13">
        <f t="shared" si="45"/>
        <v>3.8631060409644799E-2</v>
      </c>
      <c r="BN32" s="13">
        <f t="shared" si="45"/>
        <v>3.9320388349514561E-2</v>
      </c>
      <c r="BO32" s="13">
        <f t="shared" si="45"/>
        <v>3.7776193870277974E-2</v>
      </c>
      <c r="BP32" s="13">
        <f t="shared" si="45"/>
        <v>3.3545275158956368E-2</v>
      </c>
      <c r="BQ32" s="13">
        <f t="shared" si="45"/>
        <v>3.3454857387947672E-2</v>
      </c>
      <c r="BR32" s="21"/>
      <c r="BS32" s="21"/>
      <c r="BT32" s="21"/>
      <c r="BU32" s="19"/>
      <c r="BV32" s="19"/>
      <c r="BW32" s="19"/>
      <c r="BX32" s="19"/>
      <c r="CN32" s="13">
        <f t="shared" ref="CN32:CS32" si="46">CN26/CN27</f>
        <v>3.6981548651632237E-2</v>
      </c>
      <c r="CO32" s="13">
        <f t="shared" si="46"/>
        <v>3.7408968953622078E-2</v>
      </c>
      <c r="CP32" s="13">
        <f t="shared" si="46"/>
        <v>3.7910447761194031E-2</v>
      </c>
      <c r="CQ32" s="13">
        <f t="shared" si="46"/>
        <v>3.8889292723704297E-2</v>
      </c>
      <c r="CR32" s="13">
        <f t="shared" si="46"/>
        <v>3.9255617977528093E-2</v>
      </c>
      <c r="CS32" s="13">
        <f t="shared" si="46"/>
        <v>3.9570301876529781E-2</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9" customFormat="1">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21"/>
      <c r="BS33" s="21"/>
      <c r="BT33" s="21"/>
      <c r="BU33" s="19"/>
      <c r="BV33" s="19"/>
      <c r="BW33" s="19"/>
      <c r="BX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row>
    <row r="34" spans="2:138" s="9" customFormat="1">
      <c r="B34" s="9" t="s">
        <v>202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8"/>
      <c r="AX34" s="18"/>
      <c r="AY34" s="18"/>
      <c r="AZ34" s="18"/>
      <c r="BA34" s="18">
        <f t="shared" ref="BA34:BJ38" si="47">BA23/AW23-1</f>
        <v>8.6088154269972517E-2</v>
      </c>
      <c r="BB34" s="18">
        <f t="shared" si="47"/>
        <v>0.70132325141776941</v>
      </c>
      <c r="BC34" s="18">
        <f t="shared" si="47"/>
        <v>0.15374331550802145</v>
      </c>
      <c r="BD34" s="18">
        <f t="shared" si="47"/>
        <v>0.1970705725699069</v>
      </c>
      <c r="BE34" s="18">
        <f t="shared" si="47"/>
        <v>0.12745719720989213</v>
      </c>
      <c r="BF34" s="18">
        <f t="shared" si="47"/>
        <v>7.4444444444444535E-2</v>
      </c>
      <c r="BG34" s="18">
        <f t="shared" si="47"/>
        <v>0.12050984936268838</v>
      </c>
      <c r="BH34" s="18">
        <f t="shared" si="47"/>
        <v>0.1045606229143492</v>
      </c>
      <c r="BI34" s="18">
        <f t="shared" si="47"/>
        <v>0.12654668166479199</v>
      </c>
      <c r="BJ34" s="18">
        <f t="shared" si="47"/>
        <v>9.1003102378490075E-2</v>
      </c>
      <c r="BK34" s="18">
        <f t="shared" ref="BK34:BQ38" si="48">BK23/BG23-1</f>
        <v>8.5315408479834431E-2</v>
      </c>
      <c r="BL34" s="18">
        <f t="shared" si="48"/>
        <v>0.11430010070493446</v>
      </c>
      <c r="BM34" s="18">
        <f t="shared" si="48"/>
        <v>0.12730903644533198</v>
      </c>
      <c r="BN34" s="18">
        <f t="shared" si="48"/>
        <v>0.1687203791469194</v>
      </c>
      <c r="BO34" s="18">
        <f t="shared" si="48"/>
        <v>0.23535016674606957</v>
      </c>
      <c r="BP34" s="18">
        <f t="shared" si="48"/>
        <v>0.30727519204699494</v>
      </c>
      <c r="BQ34" s="18">
        <f t="shared" si="48"/>
        <v>0.31089459698848532</v>
      </c>
      <c r="BR34" s="22"/>
      <c r="BS34" s="22"/>
      <c r="BT34" s="22"/>
      <c r="BU34" s="19"/>
      <c r="BV34" s="19"/>
      <c r="BW34" s="19"/>
      <c r="BX34" s="19"/>
      <c r="CO34" s="18">
        <f t="shared" ref="CO34:CS38" si="49">CO23/CN23-1</f>
        <v>2.9481132075471761E-2</v>
      </c>
      <c r="CP34" s="18">
        <f t="shared" si="49"/>
        <v>2.2400407280132262E-2</v>
      </c>
      <c r="CQ34" s="18">
        <f t="shared" si="49"/>
        <v>2.0540271380555142E-2</v>
      </c>
      <c r="CR34" s="18">
        <f t="shared" si="49"/>
        <v>2.7689680409856088E-2</v>
      </c>
      <c r="CS34" s="18">
        <f t="shared" si="49"/>
        <v>3.0267062314540016E-2</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9" t="s">
        <v>203</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8"/>
      <c r="AX35" s="18"/>
      <c r="AY35" s="18"/>
      <c r="AZ35" s="18"/>
      <c r="BA35" s="18">
        <f t="shared" si="47"/>
        <v>9.4202898550724612E-2</v>
      </c>
      <c r="BB35" s="18">
        <f t="shared" si="47"/>
        <v>0.59134615384615374</v>
      </c>
      <c r="BC35" s="18">
        <f t="shared" si="47"/>
        <v>9.259259259259256E-2</v>
      </c>
      <c r="BD35" s="18">
        <f t="shared" si="47"/>
        <v>0.12393887945670623</v>
      </c>
      <c r="BE35" s="18">
        <f t="shared" si="47"/>
        <v>3.3112582781456901E-2</v>
      </c>
      <c r="BF35" s="18">
        <f t="shared" si="47"/>
        <v>-3.0211480362537513E-3</v>
      </c>
      <c r="BG35" s="18">
        <f t="shared" si="47"/>
        <v>-8.4745762711864181E-3</v>
      </c>
      <c r="BH35" s="18">
        <f t="shared" si="47"/>
        <v>-7.5528700906344337E-3</v>
      </c>
      <c r="BI35" s="18">
        <f t="shared" si="47"/>
        <v>0.14102564102564097</v>
      </c>
      <c r="BJ35" s="18">
        <f t="shared" si="47"/>
        <v>9.5454545454545459E-2</v>
      </c>
      <c r="BK35" s="18">
        <f t="shared" si="48"/>
        <v>0.14700854700854693</v>
      </c>
      <c r="BL35" s="18">
        <f t="shared" si="48"/>
        <v>0.14155251141552516</v>
      </c>
      <c r="BM35" s="18">
        <f t="shared" si="48"/>
        <v>0.12780898876404501</v>
      </c>
      <c r="BN35" s="18">
        <f t="shared" si="48"/>
        <v>0.13692946058091282</v>
      </c>
      <c r="BO35" s="18">
        <f t="shared" si="48"/>
        <v>0.15201192250372575</v>
      </c>
      <c r="BP35" s="18">
        <f t="shared" si="48"/>
        <v>0.10666666666666669</v>
      </c>
      <c r="BQ35" s="18">
        <f t="shared" si="48"/>
        <v>5.3549190535491897E-2</v>
      </c>
      <c r="BR35" s="22"/>
      <c r="BS35" s="22"/>
      <c r="BT35" s="22"/>
      <c r="BU35" s="19"/>
      <c r="BV35" s="19"/>
      <c r="BW35" s="19"/>
      <c r="BX35" s="19"/>
      <c r="CO35" s="18">
        <f t="shared" si="49"/>
        <v>3.4837688044338844E-2</v>
      </c>
      <c r="CP35" s="18">
        <f t="shared" si="49"/>
        <v>2.4100994644223439E-2</v>
      </c>
      <c r="CQ35" s="18">
        <f t="shared" si="49"/>
        <v>3.2125513634665648E-2</v>
      </c>
      <c r="CR35" s="18">
        <f t="shared" si="49"/>
        <v>3.365906623235615E-2</v>
      </c>
      <c r="CS35" s="18">
        <f t="shared" si="49"/>
        <v>3.1862745098039325E-2</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9" customFormat="1">
      <c r="B36" s="9" t="s">
        <v>204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8"/>
      <c r="AX36" s="18"/>
      <c r="AY36" s="18"/>
      <c r="AZ36" s="18"/>
      <c r="BA36" s="18">
        <f t="shared" si="47"/>
        <v>0.15647921760391204</v>
      </c>
      <c r="BB36" s="18">
        <f t="shared" si="47"/>
        <v>0.26829268292682928</v>
      </c>
      <c r="BC36" s="18">
        <f t="shared" si="47"/>
        <v>9.5338983050847537E-2</v>
      </c>
      <c r="BD36" s="18">
        <f t="shared" si="47"/>
        <v>0.14285714285714279</v>
      </c>
      <c r="BE36" s="18">
        <f t="shared" si="47"/>
        <v>9.3023255813953432E-2</v>
      </c>
      <c r="BF36" s="18">
        <f t="shared" si="47"/>
        <v>1.9230769230769162E-2</v>
      </c>
      <c r="BG36" s="18">
        <f t="shared" si="47"/>
        <v>2.9013539651837617E-2</v>
      </c>
      <c r="BH36" s="18">
        <f t="shared" si="47"/>
        <v>-4.1071428571428537E-2</v>
      </c>
      <c r="BI36" s="18">
        <f t="shared" si="47"/>
        <v>5.9961315280464111E-2</v>
      </c>
      <c r="BJ36" s="18">
        <f t="shared" si="47"/>
        <v>0.18113207547169807</v>
      </c>
      <c r="BK36" s="18">
        <f t="shared" si="48"/>
        <v>0.14849624060150379</v>
      </c>
      <c r="BL36" s="18">
        <f t="shared" si="48"/>
        <v>0.14525139664804465</v>
      </c>
      <c r="BM36" s="18">
        <f t="shared" si="48"/>
        <v>0.18065693430656937</v>
      </c>
      <c r="BN36" s="18">
        <f t="shared" si="48"/>
        <v>7.0287539936102261E-2</v>
      </c>
      <c r="BO36" s="18">
        <f t="shared" si="48"/>
        <v>0.11947626841243864</v>
      </c>
      <c r="BP36" s="18">
        <f t="shared" si="48"/>
        <v>0.11382113821138207</v>
      </c>
      <c r="BQ36" s="18">
        <f t="shared" si="48"/>
        <v>8.3462132921174659E-2</v>
      </c>
      <c r="BR36" s="22"/>
      <c r="BS36" s="22"/>
      <c r="BT36" s="22"/>
      <c r="BU36" s="19"/>
      <c r="BV36" s="19"/>
      <c r="BW36" s="19"/>
      <c r="BX36" s="19"/>
      <c r="CO36" s="18">
        <f t="shared" si="49"/>
        <v>1.4650283553875321E-2</v>
      </c>
      <c r="CP36" s="18">
        <f t="shared" si="49"/>
        <v>4.4713553795994398E-2</v>
      </c>
      <c r="CQ36" s="18">
        <f t="shared" si="49"/>
        <v>3.5220686580472504E-2</v>
      </c>
      <c r="CR36" s="18">
        <f t="shared" si="49"/>
        <v>3.3591731266149782E-2</v>
      </c>
      <c r="CS36" s="18">
        <f t="shared" si="49"/>
        <v>4.1250000000000009E-2</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row>
    <row r="37" spans="2:138" s="9" customFormat="1">
      <c r="B37" s="9" t="s">
        <v>205</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8"/>
      <c r="AX37" s="18"/>
      <c r="AY37" s="18"/>
      <c r="AZ37" s="18"/>
      <c r="BA37" s="18">
        <f t="shared" si="47"/>
        <v>-4.49438202247191E-2</v>
      </c>
      <c r="BB37" s="18">
        <f t="shared" si="47"/>
        <v>0.86274509803921573</v>
      </c>
      <c r="BC37" s="18">
        <f t="shared" si="47"/>
        <v>0.28571428571428581</v>
      </c>
      <c r="BD37" s="18">
        <f t="shared" si="47"/>
        <v>0.18888888888888888</v>
      </c>
      <c r="BE37" s="18">
        <f t="shared" si="47"/>
        <v>0.25882352941176467</v>
      </c>
      <c r="BF37" s="18">
        <f t="shared" si="47"/>
        <v>0.26315789473684204</v>
      </c>
      <c r="BG37" s="18">
        <f t="shared" si="47"/>
        <v>0.20202020202020199</v>
      </c>
      <c r="BH37" s="18">
        <f t="shared" si="47"/>
        <v>0.14953271028037385</v>
      </c>
      <c r="BI37" s="18">
        <f t="shared" si="47"/>
        <v>0.17757009345794383</v>
      </c>
      <c r="BJ37" s="18">
        <f t="shared" si="47"/>
        <v>0.16666666666666674</v>
      </c>
      <c r="BK37" s="18">
        <f t="shared" si="48"/>
        <v>0.22689075630252109</v>
      </c>
      <c r="BL37" s="18">
        <f t="shared" si="48"/>
        <v>0.19512195121951215</v>
      </c>
      <c r="BM37" s="18">
        <f t="shared" si="48"/>
        <v>0.18253968253968256</v>
      </c>
      <c r="BN37" s="18">
        <f t="shared" si="48"/>
        <v>0.15714285714285725</v>
      </c>
      <c r="BO37" s="18">
        <f t="shared" si="48"/>
        <v>8.9041095890410871E-2</v>
      </c>
      <c r="BP37" s="18">
        <f t="shared" si="48"/>
        <v>4.081632653061229E-2</v>
      </c>
      <c r="BQ37" s="18">
        <f t="shared" si="48"/>
        <v>4.6979865771812124E-2</v>
      </c>
      <c r="BR37" s="22"/>
      <c r="BS37" s="22"/>
      <c r="BT37" s="22"/>
      <c r="BU37" s="19"/>
      <c r="BV37" s="19"/>
      <c r="BW37" s="19"/>
      <c r="BX37" s="19"/>
      <c r="CO37" s="18">
        <f t="shared" si="49"/>
        <v>4.051172707889128E-2</v>
      </c>
      <c r="CP37" s="18">
        <f t="shared" si="49"/>
        <v>4.0983606557376984E-2</v>
      </c>
      <c r="CQ37" s="18">
        <f t="shared" si="49"/>
        <v>5.3149606299212504E-2</v>
      </c>
      <c r="CR37" s="18">
        <f t="shared" si="49"/>
        <v>4.4859813084112243E-2</v>
      </c>
      <c r="CS37" s="18">
        <f t="shared" si="49"/>
        <v>4.1144901610017826E-2</v>
      </c>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206</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8"/>
      <c r="AX38" s="18"/>
      <c r="AY38" s="18"/>
      <c r="AZ38" s="18"/>
      <c r="BA38" s="18">
        <f t="shared" si="47"/>
        <v>8.2186394022807807E-2</v>
      </c>
      <c r="BB38" s="18">
        <f t="shared" si="47"/>
        <v>0.53619570644033954</v>
      </c>
      <c r="BC38" s="18">
        <f t="shared" si="47"/>
        <v>0.10267017675817969</v>
      </c>
      <c r="BD38" s="18">
        <f t="shared" si="47"/>
        <v>0.15472673559822758</v>
      </c>
      <c r="BE38" s="18">
        <f t="shared" si="47"/>
        <v>9.9563953488372103E-2</v>
      </c>
      <c r="BF38" s="18">
        <f t="shared" si="47"/>
        <v>5.4273643158921026E-2</v>
      </c>
      <c r="BG38" s="18">
        <f t="shared" si="47"/>
        <v>8.1173260572987793E-2</v>
      </c>
      <c r="BH38" s="18">
        <f t="shared" si="47"/>
        <v>3.6776463063639353E-2</v>
      </c>
      <c r="BI38" s="18">
        <f t="shared" si="47"/>
        <v>0.11996034368803699</v>
      </c>
      <c r="BJ38" s="18">
        <f t="shared" si="47"/>
        <v>0.10943279901356351</v>
      </c>
      <c r="BK38" s="18">
        <f t="shared" si="48"/>
        <v>0.11261829652996846</v>
      </c>
      <c r="BL38" s="18">
        <f t="shared" si="48"/>
        <v>0.14898210980876003</v>
      </c>
      <c r="BM38" s="18">
        <f t="shared" si="48"/>
        <v>0.1380938329890824</v>
      </c>
      <c r="BN38" s="18">
        <f t="shared" si="48"/>
        <v>0.14476243400944711</v>
      </c>
      <c r="BO38" s="18">
        <f t="shared" si="48"/>
        <v>0.19336546640204144</v>
      </c>
      <c r="BP38" s="18">
        <f t="shared" si="48"/>
        <v>0.22442953020134238</v>
      </c>
      <c r="BQ38" s="18">
        <f t="shared" si="48"/>
        <v>0.20897070261861561</v>
      </c>
      <c r="BR38" s="22"/>
      <c r="BS38" s="22"/>
      <c r="BT38" s="22"/>
      <c r="BU38" s="19"/>
      <c r="BV38" s="19"/>
      <c r="BW38" s="19"/>
      <c r="BX38" s="19"/>
      <c r="CO38" s="18">
        <f t="shared" si="49"/>
        <v>2.8623245544866727E-2</v>
      </c>
      <c r="CP38" s="18">
        <f t="shared" si="49"/>
        <v>2.7213491759294772E-2</v>
      </c>
      <c r="CQ38" s="18">
        <f t="shared" si="49"/>
        <v>2.6641791044776042E-2</v>
      </c>
      <c r="CR38" s="18">
        <f t="shared" si="49"/>
        <v>3.5109398851493889E-2</v>
      </c>
      <c r="CS38" s="18">
        <f t="shared" si="49"/>
        <v>3.2865168539325751E-2</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B39" s="9" t="s">
        <v>7</v>
      </c>
      <c r="BR39" s="19"/>
      <c r="BS39" s="19"/>
      <c r="BT39" s="19"/>
      <c r="BU39" s="19"/>
      <c r="BV39" s="19"/>
      <c r="BW39" s="19"/>
      <c r="BX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10" customFormat="1" ht="15">
      <c r="B40" s="10" t="s">
        <v>161</v>
      </c>
      <c r="C40" s="10">
        <v>2024</v>
      </c>
      <c r="D40" s="10">
        <v>1978</v>
      </c>
      <c r="E40" s="10">
        <v>2010</v>
      </c>
      <c r="F40" s="10">
        <v>2074</v>
      </c>
      <c r="G40" s="10">
        <v>2025</v>
      </c>
      <c r="H40" s="10">
        <v>2079</v>
      </c>
      <c r="I40" s="10">
        <v>1960</v>
      </c>
      <c r="J40" s="10">
        <v>1928</v>
      </c>
      <c r="K40" s="10">
        <v>1916</v>
      </c>
      <c r="L40" s="10">
        <v>2002</v>
      </c>
      <c r="M40" s="10">
        <v>1925</v>
      </c>
      <c r="N40" s="10">
        <v>1975</v>
      </c>
      <c r="O40" s="10">
        <v>1874</v>
      </c>
      <c r="P40" s="10">
        <v>1848</v>
      </c>
      <c r="Q40" s="10">
        <v>1866</v>
      </c>
      <c r="R40" s="10">
        <v>1828</v>
      </c>
      <c r="S40" s="10">
        <v>1735</v>
      </c>
      <c r="T40" s="10">
        <v>1820</v>
      </c>
      <c r="U40" s="10">
        <v>1761</v>
      </c>
      <c r="V40" s="10">
        <v>1809</v>
      </c>
      <c r="W40" s="10">
        <v>1735</v>
      </c>
      <c r="X40" s="10">
        <v>1838</v>
      </c>
      <c r="Y40" s="10">
        <v>1774</v>
      </c>
      <c r="Z40" s="10">
        <v>1873</v>
      </c>
      <c r="AA40" s="10">
        <v>1846</v>
      </c>
      <c r="AB40" s="10">
        <v>1887</v>
      </c>
      <c r="AC40" s="10">
        <v>1768</v>
      </c>
      <c r="AD40" s="10">
        <v>1843</v>
      </c>
      <c r="AE40" s="10">
        <v>1888</v>
      </c>
      <c r="AF40" s="10">
        <v>1978</v>
      </c>
      <c r="AG40" s="10">
        <v>1964</v>
      </c>
      <c r="AH40" s="10">
        <v>2126</v>
      </c>
      <c r="AI40" s="10">
        <v>2105</v>
      </c>
      <c r="AJ40" s="10">
        <v>2191</v>
      </c>
      <c r="AK40" s="10">
        <v>2160</v>
      </c>
      <c r="AL40" s="10">
        <v>2257</v>
      </c>
      <c r="AM40" s="10">
        <v>2222</v>
      </c>
      <c r="AN40" s="10">
        <v>2409</v>
      </c>
      <c r="AO40" s="10">
        <v>2379</v>
      </c>
      <c r="AP40" s="10">
        <v>2490</v>
      </c>
      <c r="AQ40" s="10">
        <v>2393</v>
      </c>
      <c r="AR40" s="10">
        <v>2561</v>
      </c>
      <c r="AS40" s="10">
        <v>2493</v>
      </c>
      <c r="AT40" s="10">
        <v>2631</v>
      </c>
      <c r="AU40" s="10">
        <v>2707</v>
      </c>
      <c r="AV40" s="10">
        <v>2904</v>
      </c>
      <c r="AW40" s="10">
        <f t="shared" ref="AW40:BQ40" si="50">AW27</f>
        <v>2543</v>
      </c>
      <c r="AX40" s="10">
        <f t="shared" si="50"/>
        <v>2003</v>
      </c>
      <c r="AY40" s="10">
        <f t="shared" si="50"/>
        <v>2659</v>
      </c>
      <c r="AZ40" s="10">
        <f t="shared" si="50"/>
        <v>2708</v>
      </c>
      <c r="BA40" s="10">
        <f t="shared" si="50"/>
        <v>2752</v>
      </c>
      <c r="BB40" s="10">
        <f t="shared" si="50"/>
        <v>3077</v>
      </c>
      <c r="BC40" s="10">
        <f t="shared" si="50"/>
        <v>2932</v>
      </c>
      <c r="BD40" s="10">
        <f t="shared" si="50"/>
        <v>3127</v>
      </c>
      <c r="BE40" s="10">
        <f t="shared" si="50"/>
        <v>3026</v>
      </c>
      <c r="BF40" s="10">
        <f t="shared" si="50"/>
        <v>3244</v>
      </c>
      <c r="BG40" s="10">
        <f t="shared" si="50"/>
        <v>3170</v>
      </c>
      <c r="BH40" s="10">
        <f t="shared" si="50"/>
        <v>3242</v>
      </c>
      <c r="BI40" s="10">
        <f t="shared" si="50"/>
        <v>3389</v>
      </c>
      <c r="BJ40" s="10">
        <f t="shared" si="50"/>
        <v>3599</v>
      </c>
      <c r="BK40" s="10">
        <f t="shared" si="50"/>
        <v>3527</v>
      </c>
      <c r="BL40" s="10">
        <f t="shared" si="50"/>
        <v>3725</v>
      </c>
      <c r="BM40" s="10">
        <f t="shared" si="50"/>
        <v>3857</v>
      </c>
      <c r="BN40" s="10">
        <f t="shared" si="50"/>
        <v>4120</v>
      </c>
      <c r="BO40" s="10">
        <f t="shared" si="50"/>
        <v>4209</v>
      </c>
      <c r="BP40" s="10">
        <f t="shared" si="50"/>
        <v>4561</v>
      </c>
      <c r="BQ40" s="10">
        <f t="shared" si="50"/>
        <v>4663</v>
      </c>
      <c r="BR40" s="20"/>
      <c r="BS40" s="20"/>
      <c r="BT40" s="20"/>
      <c r="BU40" s="20"/>
      <c r="BV40" s="20"/>
      <c r="BW40" s="20"/>
      <c r="BX40" s="20"/>
      <c r="CD40" s="10">
        <f>SUM(E40:H40)</f>
        <v>8188</v>
      </c>
      <c r="CE40" s="10">
        <f>SUM(I40:L40)</f>
        <v>7806</v>
      </c>
      <c r="CF40" s="10">
        <f>SUM(M40:P40)</f>
        <v>7622</v>
      </c>
      <c r="CG40" s="10">
        <f>SUM(Q40:T40)</f>
        <v>7249</v>
      </c>
      <c r="CH40" s="10">
        <f>SUM(U40:X40)</f>
        <v>7143</v>
      </c>
      <c r="CI40" s="10">
        <f>SUM(Y40:AB40)</f>
        <v>7380</v>
      </c>
      <c r="CJ40" s="10">
        <f>SUM(AC40:AF40)</f>
        <v>7477</v>
      </c>
      <c r="CK40" s="10">
        <f>SUM(AG40:AJ40)</f>
        <v>8386</v>
      </c>
      <c r="CL40" s="10">
        <f>SUM(AK40:AN40)</f>
        <v>9048</v>
      </c>
      <c r="CM40" s="10">
        <f>SUM(AO40:AR40)</f>
        <v>9823</v>
      </c>
      <c r="CN40" s="10">
        <f>SUM(AS40:AV40)</f>
        <v>10735</v>
      </c>
      <c r="CO40" s="10">
        <f>SUM(AW40:AZ40)</f>
        <v>9913</v>
      </c>
      <c r="CP40" s="10">
        <f>SUM(BA40:BD40)</f>
        <v>11888</v>
      </c>
      <c r="CQ40" s="10">
        <f>SUM(BE40:BH40)</f>
        <v>12682</v>
      </c>
      <c r="CR40" s="10">
        <f>SUM(BI40:BL40)</f>
        <v>14240</v>
      </c>
      <c r="CS40" s="10">
        <f>SUM(BM40:BP40)</f>
        <v>16747</v>
      </c>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row>
    <row r="41" spans="2:138" s="9" customFormat="1">
      <c r="B41" s="9" t="s">
        <v>64</v>
      </c>
      <c r="C41" s="9">
        <v>604</v>
      </c>
      <c r="D41" s="9">
        <v>655</v>
      </c>
      <c r="E41" s="9">
        <v>607</v>
      </c>
      <c r="F41" s="9">
        <v>630</v>
      </c>
      <c r="G41" s="9">
        <v>629</v>
      </c>
      <c r="H41" s="9">
        <v>710</v>
      </c>
      <c r="I41" s="9">
        <v>663</v>
      </c>
      <c r="J41" s="9">
        <v>654</v>
      </c>
      <c r="K41" s="9">
        <v>623</v>
      </c>
      <c r="L41" s="9">
        <v>659</v>
      </c>
      <c r="M41" s="9">
        <v>631</v>
      </c>
      <c r="N41" s="9">
        <v>688</v>
      </c>
      <c r="O41" s="9">
        <v>680</v>
      </c>
      <c r="P41" s="9">
        <v>660</v>
      </c>
      <c r="Q41" s="9">
        <v>631</v>
      </c>
      <c r="R41" s="9">
        <v>578</v>
      </c>
      <c r="S41" s="9">
        <v>558</v>
      </c>
      <c r="T41" s="9">
        <v>582</v>
      </c>
      <c r="U41" s="9">
        <v>578</v>
      </c>
      <c r="V41" s="9">
        <v>530</v>
      </c>
      <c r="W41" s="9">
        <v>510</v>
      </c>
      <c r="X41" s="9">
        <v>556</v>
      </c>
      <c r="Y41" s="9">
        <v>537</v>
      </c>
      <c r="Z41" s="9">
        <v>563</v>
      </c>
      <c r="AA41" s="9">
        <v>550</v>
      </c>
      <c r="AB41" s="9">
        <v>560</v>
      </c>
      <c r="AC41" s="9">
        <v>520</v>
      </c>
      <c r="AD41" s="9">
        <v>540</v>
      </c>
      <c r="AE41" s="9">
        <v>539</v>
      </c>
      <c r="AF41" s="9">
        <v>574</v>
      </c>
      <c r="AG41" s="9">
        <v>573</v>
      </c>
      <c r="AH41" s="9">
        <v>639</v>
      </c>
      <c r="AI41" s="9">
        <v>594</v>
      </c>
      <c r="AJ41" s="9">
        <v>618</v>
      </c>
      <c r="AK41" s="9">
        <v>650</v>
      </c>
      <c r="AL41" s="9">
        <v>632</v>
      </c>
      <c r="AM41" s="9">
        <v>637</v>
      </c>
      <c r="AN41" s="9">
        <v>674</v>
      </c>
      <c r="AO41" s="9">
        <v>672</v>
      </c>
      <c r="AP41" s="9">
        <v>739</v>
      </c>
      <c r="AQ41" s="9">
        <v>672</v>
      </c>
      <c r="AR41" s="9">
        <v>730</v>
      </c>
      <c r="AS41" s="9">
        <v>730</v>
      </c>
      <c r="AT41" s="9">
        <v>758</v>
      </c>
      <c r="AU41" s="9">
        <v>777</v>
      </c>
      <c r="AV41" s="9">
        <v>851</v>
      </c>
      <c r="AW41" s="9">
        <v>806</v>
      </c>
      <c r="AX41" s="9">
        <v>791</v>
      </c>
      <c r="AY41" s="9">
        <v>869</v>
      </c>
      <c r="AZ41" s="1">
        <f>3465-SUM(AW41:AY41)</f>
        <v>999</v>
      </c>
      <c r="BA41" s="9">
        <v>894</v>
      </c>
      <c r="BB41" s="9">
        <v>945</v>
      </c>
      <c r="BC41" s="9">
        <v>900</v>
      </c>
      <c r="BD41" s="1">
        <f>3711-SUM(BA41:BC41)</f>
        <v>972</v>
      </c>
      <c r="BE41" s="9">
        <v>955</v>
      </c>
      <c r="BF41" s="9">
        <v>1011</v>
      </c>
      <c r="BG41" s="9">
        <v>979</v>
      </c>
      <c r="BH41" s="1">
        <f>3956-SUM(BE41:BG41)</f>
        <v>1011</v>
      </c>
      <c r="BI41" s="9">
        <v>1040</v>
      </c>
      <c r="BJ41" s="9">
        <v>1058</v>
      </c>
      <c r="BK41" s="9">
        <v>1101</v>
      </c>
      <c r="BL41" s="1">
        <f>4345-SUM(BI41:BK41)</f>
        <v>1146</v>
      </c>
      <c r="BM41" s="9">
        <v>1209</v>
      </c>
      <c r="BN41" s="9">
        <v>1270</v>
      </c>
      <c r="BO41" s="9">
        <v>1312</v>
      </c>
      <c r="BP41" s="1">
        <f>5257-SUM(BM41:BO41)</f>
        <v>1466</v>
      </c>
      <c r="BQ41" s="9">
        <v>1453</v>
      </c>
      <c r="BR41" s="19"/>
      <c r="BS41" s="19"/>
      <c r="BT41" s="19"/>
      <c r="BU41" s="19"/>
      <c r="BV41" s="19"/>
      <c r="BW41" s="19"/>
      <c r="BX41" s="19"/>
      <c r="CD41" s="9">
        <f t="shared" ref="CD41:CD56" si="51">SUM(E41:H41)</f>
        <v>2576</v>
      </c>
      <c r="CE41" s="9">
        <f t="shared" ref="CE41:CE57" si="52">SUM(I41:L41)</f>
        <v>2599</v>
      </c>
      <c r="CF41" s="9">
        <f t="shared" ref="CF41:CF57" si="53">SUM(M41:P41)</f>
        <v>2659</v>
      </c>
      <c r="CG41" s="9">
        <f t="shared" ref="CG41:CG57" si="54">SUM(Q41:T41)</f>
        <v>2349</v>
      </c>
      <c r="CH41" s="9">
        <f t="shared" ref="CH41:CH57" si="55">SUM(U41:X41)</f>
        <v>2174</v>
      </c>
      <c r="CI41" s="9">
        <f t="shared" ref="CI41:CI57" si="56">SUM(Y41:AB41)</f>
        <v>2210</v>
      </c>
      <c r="CJ41" s="9">
        <f t="shared" ref="CJ41:CJ57" si="57">SUM(AC41:AF41)</f>
        <v>2173</v>
      </c>
      <c r="CK41" s="9">
        <f t="shared" ref="CK41:CK57" si="58">SUM(AG41:AJ41)</f>
        <v>2424</v>
      </c>
      <c r="CL41" s="9">
        <f t="shared" ref="CL41:CL57" si="59">SUM(AK41:AN41)</f>
        <v>2593</v>
      </c>
      <c r="CM41" s="9">
        <f t="shared" ref="CM41:CM57" si="60">SUM(AO41:AR41)</f>
        <v>2813</v>
      </c>
      <c r="CN41" s="9">
        <f t="shared" ref="CN41:CN57" si="61">SUM(AS41:AV41)</f>
        <v>3116</v>
      </c>
      <c r="CO41" s="9">
        <f t="shared" ref="CO41:CO57" si="62">SUM(AW41:AZ41)</f>
        <v>3465</v>
      </c>
      <c r="CP41" s="9">
        <f t="shared" ref="CP41:CP57" si="63">SUM(BA41:BD41)</f>
        <v>3711</v>
      </c>
      <c r="CQ41" s="9">
        <f t="shared" ref="CQ41:CQ57" si="64">SUM(BE41:BH41)</f>
        <v>3956</v>
      </c>
      <c r="CR41" s="9">
        <f t="shared" ref="CR41:CR57" si="65">SUM(BI41:BL41)</f>
        <v>4345</v>
      </c>
      <c r="CS41" s="9">
        <f t="shared" ref="CS41:CS62" si="66">SUM(BM41:BP41)</f>
        <v>5257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B42" s="9" t="s">
        <v>176</v>
      </c>
      <c r="C42" s="9">
        <f t="shared" ref="C42:BN42" si="67">C40-C41</f>
        <v>1420</v>
      </c>
      <c r="D42" s="9">
        <f t="shared" si="67"/>
        <v>1323</v>
      </c>
      <c r="E42" s="9">
        <f t="shared" si="67"/>
        <v>1403</v>
      </c>
      <c r="F42" s="9">
        <f t="shared" si="67"/>
        <v>1444</v>
      </c>
      <c r="G42" s="9">
        <f t="shared" si="67"/>
        <v>1396</v>
      </c>
      <c r="H42" s="9">
        <f t="shared" si="67"/>
        <v>1369</v>
      </c>
      <c r="I42" s="9">
        <f t="shared" si="67"/>
        <v>1297</v>
      </c>
      <c r="J42" s="9">
        <f t="shared" si="67"/>
        <v>1274</v>
      </c>
      <c r="K42" s="9">
        <f t="shared" si="67"/>
        <v>1293</v>
      </c>
      <c r="L42" s="9">
        <f t="shared" si="67"/>
        <v>1343</v>
      </c>
      <c r="M42" s="9">
        <f t="shared" si="67"/>
        <v>1294</v>
      </c>
      <c r="N42" s="9">
        <f t="shared" si="67"/>
        <v>1287</v>
      </c>
      <c r="O42" s="9">
        <f t="shared" si="67"/>
        <v>1194</v>
      </c>
      <c r="P42" s="9">
        <f t="shared" si="67"/>
        <v>1188</v>
      </c>
      <c r="Q42" s="9">
        <f t="shared" si="67"/>
        <v>1235</v>
      </c>
      <c r="R42" s="9">
        <f t="shared" si="67"/>
        <v>1250</v>
      </c>
      <c r="S42" s="9">
        <f t="shared" si="67"/>
        <v>1177</v>
      </c>
      <c r="T42" s="9">
        <f t="shared" si="67"/>
        <v>1238</v>
      </c>
      <c r="U42" s="9">
        <f t="shared" si="67"/>
        <v>1183</v>
      </c>
      <c r="V42" s="9">
        <f t="shared" si="67"/>
        <v>1279</v>
      </c>
      <c r="W42" s="9">
        <f t="shared" si="67"/>
        <v>1225</v>
      </c>
      <c r="X42" s="9">
        <f t="shared" si="67"/>
        <v>1282</v>
      </c>
      <c r="Y42" s="9">
        <f t="shared" si="67"/>
        <v>1237</v>
      </c>
      <c r="Z42" s="9">
        <f t="shared" si="67"/>
        <v>1310</v>
      </c>
      <c r="AA42" s="9">
        <f t="shared" si="67"/>
        <v>1296</v>
      </c>
      <c r="AB42" s="9">
        <f t="shared" si="67"/>
        <v>1327</v>
      </c>
      <c r="AC42" s="9">
        <f t="shared" si="67"/>
        <v>1248</v>
      </c>
      <c r="AD42" s="9">
        <f t="shared" si="67"/>
        <v>1303</v>
      </c>
      <c r="AE42" s="9">
        <f t="shared" si="67"/>
        <v>1349</v>
      </c>
      <c r="AF42" s="9">
        <f t="shared" si="67"/>
        <v>1404</v>
      </c>
      <c r="AG42" s="9">
        <f t="shared" si="67"/>
        <v>1391</v>
      </c>
      <c r="AH42" s="9">
        <f t="shared" si="67"/>
        <v>1487</v>
      </c>
      <c r="AI42" s="9">
        <f t="shared" si="67"/>
        <v>1511</v>
      </c>
      <c r="AJ42" s="9">
        <f t="shared" si="67"/>
        <v>1573</v>
      </c>
      <c r="AK42" s="9">
        <f t="shared" si="67"/>
        <v>1510</v>
      </c>
      <c r="AL42" s="9">
        <f t="shared" si="67"/>
        <v>1625</v>
      </c>
      <c r="AM42" s="9">
        <f t="shared" si="67"/>
        <v>1585</v>
      </c>
      <c r="AN42" s="9">
        <f t="shared" si="67"/>
        <v>1735</v>
      </c>
      <c r="AO42" s="9">
        <f t="shared" si="67"/>
        <v>1707</v>
      </c>
      <c r="AP42" s="9">
        <f t="shared" si="67"/>
        <v>1751</v>
      </c>
      <c r="AQ42" s="9">
        <f t="shared" si="67"/>
        <v>1721</v>
      </c>
      <c r="AR42" s="9">
        <f t="shared" si="67"/>
        <v>1831</v>
      </c>
      <c r="AS42" s="9">
        <f t="shared" si="67"/>
        <v>1763</v>
      </c>
      <c r="AT42" s="9">
        <f t="shared" si="67"/>
        <v>1873</v>
      </c>
      <c r="AU42" s="9">
        <f t="shared" si="67"/>
        <v>1930</v>
      </c>
      <c r="AV42" s="9">
        <f t="shared" si="67"/>
        <v>2053</v>
      </c>
      <c r="AW42" s="9">
        <f t="shared" si="67"/>
        <v>1737</v>
      </c>
      <c r="AX42" s="9">
        <f t="shared" si="67"/>
        <v>1212</v>
      </c>
      <c r="AY42" s="9">
        <f t="shared" si="67"/>
        <v>1790</v>
      </c>
      <c r="AZ42" s="9">
        <f t="shared" si="67"/>
        <v>1709</v>
      </c>
      <c r="BA42" s="9">
        <f t="shared" si="67"/>
        <v>1858</v>
      </c>
      <c r="BB42" s="9">
        <f t="shared" si="67"/>
        <v>2132</v>
      </c>
      <c r="BC42" s="9">
        <f t="shared" si="67"/>
        <v>2032</v>
      </c>
      <c r="BD42" s="9">
        <f t="shared" si="67"/>
        <v>2155</v>
      </c>
      <c r="BE42" s="9">
        <f t="shared" si="67"/>
        <v>2071</v>
      </c>
      <c r="BF42" s="9">
        <f t="shared" si="67"/>
        <v>2233</v>
      </c>
      <c r="BG42" s="9">
        <f t="shared" si="67"/>
        <v>2191</v>
      </c>
      <c r="BH42" s="9">
        <f t="shared" si="67"/>
        <v>2231</v>
      </c>
      <c r="BI42" s="9">
        <f t="shared" si="67"/>
        <v>2349</v>
      </c>
      <c r="BJ42" s="9">
        <f t="shared" si="67"/>
        <v>2541</v>
      </c>
      <c r="BK42" s="9">
        <f t="shared" si="67"/>
        <v>2426</v>
      </c>
      <c r="BL42" s="9">
        <f t="shared" si="67"/>
        <v>2579</v>
      </c>
      <c r="BM42" s="9">
        <f t="shared" si="67"/>
        <v>2648</v>
      </c>
      <c r="BN42" s="9">
        <f t="shared" si="67"/>
        <v>2850</v>
      </c>
      <c r="BO42" s="9">
        <f t="shared" ref="BO42:BQ42" si="68">BO40-BO41</f>
        <v>2897</v>
      </c>
      <c r="BP42" s="9">
        <f>BP40-BP41</f>
        <v>3095</v>
      </c>
      <c r="BQ42" s="9">
        <f t="shared" si="68"/>
        <v>3210</v>
      </c>
      <c r="BR42" s="19"/>
      <c r="BS42" s="19"/>
      <c r="BT42" s="19"/>
      <c r="BU42" s="19"/>
      <c r="BV42" s="19"/>
      <c r="BW42" s="19"/>
      <c r="BX42" s="19"/>
      <c r="CD42" s="9">
        <f t="shared" si="51"/>
        <v>5612</v>
      </c>
      <c r="CE42" s="9">
        <f t="shared" si="52"/>
        <v>5207</v>
      </c>
      <c r="CF42" s="9">
        <f t="shared" si="53"/>
        <v>4963</v>
      </c>
      <c r="CG42" s="9">
        <f t="shared" si="54"/>
        <v>4900</v>
      </c>
      <c r="CH42" s="9">
        <f t="shared" si="55"/>
        <v>4969</v>
      </c>
      <c r="CI42" s="9">
        <f t="shared" si="56"/>
        <v>5170</v>
      </c>
      <c r="CJ42" s="9">
        <f t="shared" si="57"/>
        <v>5304</v>
      </c>
      <c r="CK42" s="9">
        <f t="shared" si="58"/>
        <v>5962</v>
      </c>
      <c r="CL42" s="9">
        <f t="shared" si="59"/>
        <v>6455</v>
      </c>
      <c r="CM42" s="9">
        <f t="shared" si="60"/>
        <v>7010</v>
      </c>
      <c r="CN42" s="9">
        <f t="shared" si="61"/>
        <v>7619</v>
      </c>
      <c r="CO42" s="9">
        <f t="shared" si="62"/>
        <v>6448</v>
      </c>
      <c r="CP42" s="9">
        <f t="shared" si="63"/>
        <v>8177</v>
      </c>
      <c r="CQ42" s="9">
        <f t="shared" si="64"/>
        <v>8726</v>
      </c>
      <c r="CR42" s="9">
        <f t="shared" si="65"/>
        <v>9895</v>
      </c>
      <c r="CS42" s="9">
        <f t="shared" si="66"/>
        <v>11490</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175</v>
      </c>
      <c r="C43" s="9">
        <v>655</v>
      </c>
      <c r="D43" s="9">
        <v>610</v>
      </c>
      <c r="E43" s="9">
        <v>651</v>
      </c>
      <c r="F43" s="9">
        <v>671</v>
      </c>
      <c r="G43" s="9">
        <v>665</v>
      </c>
      <c r="H43" s="9">
        <v>648</v>
      </c>
      <c r="I43" s="9">
        <v>628</v>
      </c>
      <c r="J43" s="9">
        <v>634</v>
      </c>
      <c r="K43" s="9">
        <v>634</v>
      </c>
      <c r="L43" s="9">
        <v>686</v>
      </c>
      <c r="M43" s="9">
        <v>602</v>
      </c>
      <c r="N43" s="9">
        <v>649</v>
      </c>
      <c r="O43" s="9">
        <v>635</v>
      </c>
      <c r="P43" s="9">
        <v>608</v>
      </c>
      <c r="Q43" s="9">
        <v>669</v>
      </c>
      <c r="R43" s="9">
        <v>649</v>
      </c>
      <c r="S43" s="9">
        <v>569</v>
      </c>
      <c r="T43" s="9">
        <v>642</v>
      </c>
      <c r="U43" s="9">
        <v>608</v>
      </c>
      <c r="V43" s="9">
        <v>661</v>
      </c>
      <c r="W43" s="9">
        <v>658</v>
      </c>
      <c r="X43" s="9">
        <v>751</v>
      </c>
      <c r="Y43" s="9">
        <v>666</v>
      </c>
      <c r="Z43" s="9">
        <v>743</v>
      </c>
      <c r="AA43" s="9">
        <v>741</v>
      </c>
      <c r="AB43" s="9">
        <v>752</v>
      </c>
      <c r="AC43" s="9">
        <v>668</v>
      </c>
      <c r="AD43" s="9">
        <v>700</v>
      </c>
      <c r="AE43" s="9">
        <v>729</v>
      </c>
      <c r="AF43" s="9">
        <v>776</v>
      </c>
      <c r="AG43" s="9">
        <v>716</v>
      </c>
      <c r="AH43" s="9">
        <v>779</v>
      </c>
      <c r="AI43" s="9">
        <v>772</v>
      </c>
      <c r="AJ43" s="9">
        <v>832</v>
      </c>
      <c r="AK43" s="9">
        <v>794</v>
      </c>
      <c r="AL43" s="9">
        <v>815</v>
      </c>
      <c r="AM43" s="9">
        <v>800</v>
      </c>
      <c r="AN43" s="9">
        <v>885</v>
      </c>
      <c r="AO43" s="9">
        <v>860</v>
      </c>
      <c r="AP43" s="9">
        <v>886</v>
      </c>
      <c r="AQ43" s="9">
        <v>870</v>
      </c>
      <c r="AR43" s="9">
        <v>953</v>
      </c>
      <c r="AS43" s="9">
        <v>869</v>
      </c>
      <c r="AT43" s="9">
        <v>968</v>
      </c>
      <c r="AU43" s="9">
        <v>1012</v>
      </c>
      <c r="AV43" s="9">
        <v>1092</v>
      </c>
      <c r="AW43" s="9">
        <v>978</v>
      </c>
      <c r="AX43" s="9">
        <v>798</v>
      </c>
      <c r="AY43" s="9">
        <v>984</v>
      </c>
      <c r="AZ43" s="1">
        <f>3787-SUM(AW43:AY43)</f>
        <v>1027</v>
      </c>
      <c r="BA43" s="9">
        <v>1019</v>
      </c>
      <c r="BB43" s="9">
        <v>1121</v>
      </c>
      <c r="BC43" s="9">
        <v>1066</v>
      </c>
      <c r="BD43" s="1">
        <f>4359-SUM(BA43:BC43)</f>
        <v>1153</v>
      </c>
      <c r="BE43" s="9">
        <v>1060</v>
      </c>
      <c r="BF43" s="9">
        <v>1165</v>
      </c>
      <c r="BG43" s="9">
        <v>1132</v>
      </c>
      <c r="BH43" s="1">
        <f>4520-SUM(BE43:BG43)</f>
        <v>1163</v>
      </c>
      <c r="BI43" s="9">
        <v>1215</v>
      </c>
      <c r="BJ43" s="9">
        <v>1354</v>
      </c>
      <c r="BK43" s="9">
        <v>1242</v>
      </c>
      <c r="BL43" s="1">
        <f>5190-SUM(BI43:BK43)</f>
        <v>1379</v>
      </c>
      <c r="BM43" s="9">
        <v>1364</v>
      </c>
      <c r="BN43" s="9">
        <v>1446</v>
      </c>
      <c r="BO43" s="9">
        <v>1562</v>
      </c>
      <c r="BP43" s="1">
        <f>5984-SUM(BM43:BO43)</f>
        <v>1612</v>
      </c>
      <c r="BQ43" s="9">
        <v>1597</v>
      </c>
      <c r="BR43" s="19"/>
      <c r="BS43" s="19"/>
      <c r="BT43" s="19"/>
      <c r="BU43" s="19"/>
      <c r="BV43" s="19"/>
      <c r="BW43" s="19"/>
      <c r="BX43" s="19"/>
      <c r="CD43" s="9">
        <f t="shared" si="51"/>
        <v>2635</v>
      </c>
      <c r="CE43" s="9">
        <f t="shared" si="52"/>
        <v>2582</v>
      </c>
      <c r="CF43" s="9">
        <f t="shared" si="53"/>
        <v>2494</v>
      </c>
      <c r="CG43" s="9">
        <f t="shared" si="54"/>
        <v>2529</v>
      </c>
      <c r="CH43" s="9">
        <f t="shared" si="55"/>
        <v>2678</v>
      </c>
      <c r="CI43" s="9">
        <f t="shared" si="56"/>
        <v>2902</v>
      </c>
      <c r="CJ43" s="9">
        <f t="shared" si="57"/>
        <v>2873</v>
      </c>
      <c r="CK43" s="9">
        <f t="shared" si="58"/>
        <v>3099</v>
      </c>
      <c r="CL43" s="9">
        <f t="shared" si="59"/>
        <v>3294</v>
      </c>
      <c r="CM43" s="9">
        <f t="shared" si="60"/>
        <v>3569</v>
      </c>
      <c r="CN43" s="9">
        <f t="shared" si="61"/>
        <v>3941</v>
      </c>
      <c r="CO43" s="9">
        <f t="shared" si="62"/>
        <v>3787</v>
      </c>
      <c r="CP43" s="9">
        <f t="shared" si="63"/>
        <v>4359</v>
      </c>
      <c r="CQ43" s="9">
        <f t="shared" si="64"/>
        <v>4520</v>
      </c>
      <c r="CR43" s="9">
        <f t="shared" si="65"/>
        <v>5190</v>
      </c>
      <c r="CS43" s="9">
        <f t="shared" si="66"/>
        <v>5984</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172</v>
      </c>
      <c r="C44" s="9">
        <v>269</v>
      </c>
      <c r="D44" s="9">
        <v>244</v>
      </c>
      <c r="E44" s="9">
        <v>257</v>
      </c>
      <c r="F44" s="9">
        <v>280</v>
      </c>
      <c r="G44" s="9">
        <v>258</v>
      </c>
      <c r="H44" s="9">
        <v>261</v>
      </c>
      <c r="I44" s="9">
        <v>253</v>
      </c>
      <c r="J44" s="9">
        <v>232</v>
      </c>
      <c r="K44" s="9">
        <v>230</v>
      </c>
      <c r="L44" s="9">
        <v>224</v>
      </c>
      <c r="M44" s="9">
        <v>212</v>
      </c>
      <c r="N44" s="9">
        <v>223</v>
      </c>
      <c r="O44" s="9">
        <v>229</v>
      </c>
      <c r="P44" s="9">
        <v>231</v>
      </c>
      <c r="Q44" s="9">
        <v>215</v>
      </c>
      <c r="R44" s="9">
        <v>213</v>
      </c>
      <c r="S44" s="9">
        <v>220</v>
      </c>
      <c r="T44" s="9">
        <v>238</v>
      </c>
      <c r="U44" s="9">
        <v>204</v>
      </c>
      <c r="V44" s="9">
        <v>223</v>
      </c>
      <c r="W44" s="9">
        <v>217</v>
      </c>
      <c r="X44" s="9">
        <v>217</v>
      </c>
      <c r="Y44" s="9">
        <v>191</v>
      </c>
      <c r="Z44" s="9">
        <v>206</v>
      </c>
      <c r="AA44" s="9">
        <v>212</v>
      </c>
      <c r="AB44" s="9">
        <v>208</v>
      </c>
      <c r="AC44" s="9">
        <v>192</v>
      </c>
      <c r="AD44" s="9">
        <v>220</v>
      </c>
      <c r="AE44" s="9">
        <v>221</v>
      </c>
      <c r="AF44" s="9">
        <v>243</v>
      </c>
      <c r="AG44" s="9">
        <v>210</v>
      </c>
      <c r="AH44" s="9">
        <v>222</v>
      </c>
      <c r="AI44" s="9">
        <v>232</v>
      </c>
      <c r="AJ44" s="9">
        <v>256</v>
      </c>
      <c r="AK44" s="9">
        <v>235</v>
      </c>
      <c r="AL44" s="9">
        <v>244</v>
      </c>
      <c r="AM44" s="9">
        <v>254</v>
      </c>
      <c r="AN44" s="9">
        <v>264</v>
      </c>
      <c r="AO44" s="9">
        <v>261</v>
      </c>
      <c r="AP44" s="9">
        <v>275</v>
      </c>
      <c r="AQ44" s="9">
        <v>289</v>
      </c>
      <c r="AR44" s="9">
        <v>288</v>
      </c>
      <c r="AS44" s="9">
        <v>280</v>
      </c>
      <c r="AT44" s="9">
        <v>280</v>
      </c>
      <c r="AU44" s="9">
        <v>306</v>
      </c>
      <c r="AV44" s="9">
        <v>308</v>
      </c>
      <c r="AW44" s="9">
        <v>300</v>
      </c>
      <c r="AX44" s="9">
        <v>242</v>
      </c>
      <c r="AY44" s="9">
        <v>315</v>
      </c>
      <c r="AZ44" s="1">
        <f>1143-SUM(AW44:AY44)</f>
        <v>286</v>
      </c>
      <c r="BA44" s="9">
        <v>276</v>
      </c>
      <c r="BB44" s="9">
        <v>298</v>
      </c>
      <c r="BC44" s="9">
        <v>310</v>
      </c>
      <c r="BD44" s="1">
        <f>1204-SUM(BA44:BC44)</f>
        <v>320</v>
      </c>
      <c r="BE44" s="9">
        <v>319</v>
      </c>
      <c r="BF44" s="9">
        <v>335</v>
      </c>
      <c r="BG44" s="9">
        <v>339</v>
      </c>
      <c r="BH44" s="1">
        <f>1323-SUM(BE44:BG44)</f>
        <v>330</v>
      </c>
      <c r="BI44" s="9">
        <v>337</v>
      </c>
      <c r="BJ44" s="9">
        <v>359</v>
      </c>
      <c r="BK44" s="9">
        <v>356</v>
      </c>
      <c r="BL44" s="1">
        <f>1414-SUM(BI44:BK44)</f>
        <v>362</v>
      </c>
      <c r="BM44" s="9">
        <v>366</v>
      </c>
      <c r="BN44" s="9">
        <v>383</v>
      </c>
      <c r="BO44" s="9">
        <v>407</v>
      </c>
      <c r="BP44" s="1">
        <f>1615-SUM(BM44:BO44)</f>
        <v>459</v>
      </c>
      <c r="BQ44" s="9">
        <v>443</v>
      </c>
      <c r="BR44" s="19"/>
      <c r="BS44" s="19"/>
      <c r="BT44" s="19"/>
      <c r="BU44" s="19"/>
      <c r="BV44" s="19"/>
      <c r="BW44" s="19"/>
      <c r="BX44" s="19"/>
      <c r="CD44" s="9">
        <f t="shared" si="51"/>
        <v>1056</v>
      </c>
      <c r="CE44" s="9">
        <f t="shared" si="52"/>
        <v>939</v>
      </c>
      <c r="CF44" s="9">
        <f t="shared" si="53"/>
        <v>895</v>
      </c>
      <c r="CG44" s="9">
        <f t="shared" si="54"/>
        <v>886</v>
      </c>
      <c r="CH44" s="9">
        <f t="shared" si="55"/>
        <v>861</v>
      </c>
      <c r="CI44" s="9">
        <f t="shared" si="56"/>
        <v>817</v>
      </c>
      <c r="CJ44" s="9">
        <f t="shared" si="57"/>
        <v>876</v>
      </c>
      <c r="CK44" s="9">
        <f t="shared" si="58"/>
        <v>920</v>
      </c>
      <c r="CL44" s="9">
        <f t="shared" si="59"/>
        <v>997</v>
      </c>
      <c r="CM44" s="9">
        <f t="shared" si="60"/>
        <v>1113</v>
      </c>
      <c r="CN44" s="9">
        <f t="shared" si="61"/>
        <v>1174</v>
      </c>
      <c r="CO44" s="9">
        <f t="shared" si="62"/>
        <v>1143</v>
      </c>
      <c r="CP44" s="9">
        <f t="shared" si="63"/>
        <v>1204</v>
      </c>
      <c r="CQ44" s="9">
        <f t="shared" si="64"/>
        <v>1323</v>
      </c>
      <c r="CR44" s="9">
        <f t="shared" si="65"/>
        <v>1414</v>
      </c>
      <c r="CS44" s="9">
        <f t="shared" si="66"/>
        <v>1615</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173</v>
      </c>
      <c r="AW45" s="9">
        <v>12</v>
      </c>
      <c r="AX45" s="9">
        <v>8</v>
      </c>
      <c r="AY45" s="9">
        <v>12</v>
      </c>
      <c r="AZ45" s="1">
        <f>45-SUM(AW45:AY45)</f>
        <v>13</v>
      </c>
      <c r="BA45" s="9">
        <v>12</v>
      </c>
      <c r="BB45" s="9">
        <v>12</v>
      </c>
      <c r="BC45" s="9">
        <v>14</v>
      </c>
      <c r="BD45" s="1">
        <f>49-SUM(BA45:BC45)</f>
        <v>11</v>
      </c>
      <c r="BE45" s="9">
        <v>12</v>
      </c>
      <c r="BF45" s="9">
        <v>11</v>
      </c>
      <c r="BG45" s="9">
        <v>11</v>
      </c>
      <c r="BH45" s="1">
        <f>47-SUM(BE45:BG45)</f>
        <v>13</v>
      </c>
      <c r="BI45" s="9">
        <v>11</v>
      </c>
      <c r="BJ45" s="9">
        <v>12</v>
      </c>
      <c r="BK45" s="9">
        <v>11</v>
      </c>
      <c r="BL45" s="1">
        <f>46-SUM(BI45:BK45)</f>
        <v>12</v>
      </c>
      <c r="BM45" s="9">
        <v>10</v>
      </c>
      <c r="BN45" s="9">
        <v>9</v>
      </c>
      <c r="BO45" s="9">
        <v>5</v>
      </c>
      <c r="BP45" s="1">
        <f>33-SUM(BM45:BO45)</f>
        <v>9</v>
      </c>
      <c r="BQ45" s="9">
        <v>14</v>
      </c>
      <c r="BR45" s="19"/>
      <c r="BS45" s="19"/>
      <c r="BT45" s="19"/>
      <c r="BU45" s="19"/>
      <c r="BV45" s="19"/>
      <c r="BW45" s="19"/>
      <c r="BX45" s="19"/>
      <c r="CO45" s="9">
        <f t="shared" ref="CO45:CO51" si="69">SUM(AW45:AZ45)</f>
        <v>45</v>
      </c>
      <c r="CP45" s="9">
        <f t="shared" ref="CP45:CP51" si="70">SUM(BA45:BD45)</f>
        <v>49</v>
      </c>
      <c r="CQ45" s="9">
        <f t="shared" ref="CQ45:CQ51" si="71">SUM(BE45:BH45)</f>
        <v>47</v>
      </c>
      <c r="CR45" s="9">
        <f t="shared" ref="CR45:CR51" si="72">SUM(BI45:BL45)</f>
        <v>46</v>
      </c>
      <c r="CS45" s="9">
        <f t="shared" si="66"/>
        <v>33</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9" customFormat="1">
      <c r="B46" s="9" t="s">
        <v>174</v>
      </c>
      <c r="AW46" s="9">
        <v>201</v>
      </c>
      <c r="AX46" s="9">
        <v>197</v>
      </c>
      <c r="AY46" s="9">
        <v>197</v>
      </c>
      <c r="AZ46" s="1">
        <f>789-SUM(AW46:AY46)</f>
        <v>194</v>
      </c>
      <c r="BA46" s="9">
        <v>185</v>
      </c>
      <c r="BB46" s="9">
        <v>180</v>
      </c>
      <c r="BC46" s="9">
        <v>184</v>
      </c>
      <c r="BD46" s="1">
        <f>741-SUM(BA46:BC46)</f>
        <v>192</v>
      </c>
      <c r="BE46" s="9">
        <v>198</v>
      </c>
      <c r="BF46" s="9">
        <v>204</v>
      </c>
      <c r="BG46" s="9">
        <v>202</v>
      </c>
      <c r="BH46" s="1">
        <f>803-SUM(BE46:BG46)</f>
        <v>199</v>
      </c>
      <c r="BI46" s="9">
        <v>203</v>
      </c>
      <c r="BJ46" s="9">
        <v>210</v>
      </c>
      <c r="BK46" s="9">
        <v>208</v>
      </c>
      <c r="BL46" s="1">
        <f>828-SUM(BI46:BK46)</f>
        <v>207</v>
      </c>
      <c r="BM46" s="9">
        <v>214</v>
      </c>
      <c r="BN46" s="9">
        <v>213</v>
      </c>
      <c r="BO46" s="9">
        <v>205</v>
      </c>
      <c r="BP46" s="1">
        <f>856-SUM(BM46:BO46)</f>
        <v>224</v>
      </c>
      <c r="BQ46" s="9">
        <v>219</v>
      </c>
      <c r="BR46" s="19"/>
      <c r="BS46" s="19"/>
      <c r="BT46" s="19"/>
      <c r="BU46" s="19"/>
      <c r="BV46" s="19"/>
      <c r="BW46" s="19"/>
      <c r="BX46" s="19"/>
      <c r="CO46" s="9">
        <f t="shared" si="69"/>
        <v>789</v>
      </c>
      <c r="CP46" s="9">
        <f t="shared" si="70"/>
        <v>741</v>
      </c>
      <c r="CQ46" s="9">
        <f t="shared" si="71"/>
        <v>803</v>
      </c>
      <c r="CR46" s="9">
        <f t="shared" si="72"/>
        <v>828</v>
      </c>
      <c r="CS46" s="9">
        <f t="shared" si="66"/>
        <v>856</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row>
    <row r="47" spans="2:138" s="9" customFormat="1">
      <c r="B47" s="9" t="s">
        <v>162</v>
      </c>
      <c r="AW47" s="9">
        <v>198</v>
      </c>
      <c r="AX47" s="9">
        <v>34</v>
      </c>
      <c r="AY47" s="9">
        <v>219</v>
      </c>
      <c r="AZ47" s="1">
        <f>460-SUM(AW47:AY47)</f>
        <v>9</v>
      </c>
      <c r="BA47" s="9">
        <v>-6</v>
      </c>
      <c r="BB47" s="9">
        <v>45</v>
      </c>
      <c r="BC47" s="9">
        <v>128</v>
      </c>
      <c r="BD47" s="1">
        <f>370-SUM(BA47:BC47)</f>
        <v>203</v>
      </c>
      <c r="BE47" s="9">
        <v>12</v>
      </c>
      <c r="BF47" s="9">
        <v>7</v>
      </c>
      <c r="BG47" s="9">
        <v>125</v>
      </c>
      <c r="BH47" s="1">
        <f>132-SUM(BE47:BG47)</f>
        <v>-12</v>
      </c>
      <c r="BI47" s="9">
        <v>0</v>
      </c>
      <c r="BJ47" s="9">
        <v>57</v>
      </c>
      <c r="BK47" s="9">
        <v>1</v>
      </c>
      <c r="BL47" s="1">
        <f>58-SUM(BI47:BK47)</f>
        <v>0</v>
      </c>
      <c r="BM47" s="9">
        <v>17</v>
      </c>
      <c r="BN47" s="9">
        <v>276</v>
      </c>
      <c r="BO47" s="9">
        <v>0</v>
      </c>
      <c r="BP47" s="1">
        <f>386-SUM(BM47:BO47)</f>
        <v>93</v>
      </c>
      <c r="BQ47" s="9">
        <v>0</v>
      </c>
      <c r="BR47" s="19"/>
      <c r="BS47" s="19"/>
      <c r="BT47" s="19"/>
      <c r="BU47" s="19"/>
      <c r="BV47" s="19"/>
      <c r="BW47" s="19"/>
      <c r="BX47" s="19"/>
      <c r="CO47" s="9">
        <f t="shared" si="69"/>
        <v>460</v>
      </c>
      <c r="CP47" s="9">
        <f t="shared" si="70"/>
        <v>370</v>
      </c>
      <c r="CQ47" s="9">
        <f t="shared" si="71"/>
        <v>132</v>
      </c>
      <c r="CR47" s="9">
        <f t="shared" si="72"/>
        <v>58</v>
      </c>
      <c r="CS47" s="9">
        <f t="shared" si="66"/>
        <v>386</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163</v>
      </c>
      <c r="AW48" s="9">
        <v>-108</v>
      </c>
      <c r="AX48" s="9">
        <v>0</v>
      </c>
      <c r="AY48" s="9">
        <v>6</v>
      </c>
      <c r="AZ48" s="1">
        <f>-100-SUM(AW48:AY48)</f>
        <v>2</v>
      </c>
      <c r="BA48" s="9">
        <v>5</v>
      </c>
      <c r="BB48" s="9">
        <v>-85</v>
      </c>
      <c r="BC48" s="9">
        <v>-26</v>
      </c>
      <c r="BD48" s="1">
        <f>-136-SUM(BA48:BC48)</f>
        <v>-30</v>
      </c>
      <c r="BE48" s="9">
        <v>4</v>
      </c>
      <c r="BF48" s="9">
        <v>36</v>
      </c>
      <c r="BG48" s="9">
        <v>20</v>
      </c>
      <c r="BH48" s="1">
        <f>35-SUM(BE48:BG48)</f>
        <v>-25</v>
      </c>
      <c r="BI48" s="9">
        <v>0</v>
      </c>
      <c r="BJ48" s="9">
        <v>19</v>
      </c>
      <c r="BK48" s="9">
        <v>11</v>
      </c>
      <c r="BL48" s="1">
        <f>58-SUM(BI48:BK48)</f>
        <v>28</v>
      </c>
      <c r="BM48" s="9">
        <v>0</v>
      </c>
      <c r="BN48" s="9">
        <v>2</v>
      </c>
      <c r="BO48" s="9">
        <v>-23</v>
      </c>
      <c r="BP48" s="1">
        <f>-5-SUM(BM48:BO48)</f>
        <v>16</v>
      </c>
      <c r="BQ48" s="9">
        <v>6</v>
      </c>
      <c r="BR48" s="19"/>
      <c r="BS48" s="19"/>
      <c r="BT48" s="19"/>
      <c r="BU48" s="19"/>
      <c r="BV48" s="19"/>
      <c r="BW48" s="19"/>
      <c r="BX48" s="19"/>
      <c r="CO48" s="9">
        <f t="shared" si="69"/>
        <v>-100</v>
      </c>
      <c r="CP48" s="9">
        <f t="shared" si="70"/>
        <v>-136</v>
      </c>
      <c r="CQ48" s="9">
        <f t="shared" si="71"/>
        <v>35</v>
      </c>
      <c r="CR48" s="9">
        <f t="shared" si="72"/>
        <v>58</v>
      </c>
      <c r="CS48" s="9">
        <f t="shared" si="66"/>
        <v>-5</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9" customFormat="1">
      <c r="B49" s="9" t="s">
        <v>164</v>
      </c>
      <c r="AW49" s="9">
        <v>10</v>
      </c>
      <c r="AX49" s="9">
        <v>4</v>
      </c>
      <c r="AY49" s="9">
        <v>2</v>
      </c>
      <c r="AZ49" s="1">
        <f>52-SUM(AW49:AY49)</f>
        <v>36</v>
      </c>
      <c r="BA49" s="9">
        <v>3</v>
      </c>
      <c r="BB49" s="9">
        <v>3</v>
      </c>
      <c r="BC49" s="9">
        <v>9</v>
      </c>
      <c r="BD49" s="1">
        <f>40-SUM(BA49:BC49)</f>
        <v>25</v>
      </c>
      <c r="BE49" s="9">
        <v>0</v>
      </c>
      <c r="BF49" s="9">
        <v>10</v>
      </c>
      <c r="BG49" s="9">
        <v>4</v>
      </c>
      <c r="BH49" s="1">
        <f>24-SUM(BE49:BG49)</f>
        <v>10</v>
      </c>
      <c r="BI49" s="9">
        <v>11</v>
      </c>
      <c r="BJ49" s="9">
        <v>16</v>
      </c>
      <c r="BK49" s="9">
        <v>15</v>
      </c>
      <c r="BL49" s="1">
        <f>69-SUM(BI49:BK49)</f>
        <v>27</v>
      </c>
      <c r="BM49" s="9">
        <v>2</v>
      </c>
      <c r="BN49" s="9">
        <v>1</v>
      </c>
      <c r="BO49" s="9">
        <v>8</v>
      </c>
      <c r="BP49" s="1">
        <f>16-SUM(BM49:BO49)</f>
        <v>5</v>
      </c>
      <c r="BQ49" s="9">
        <v>10</v>
      </c>
      <c r="BR49" s="19"/>
      <c r="BS49" s="19"/>
      <c r="BT49" s="19"/>
      <c r="BU49" s="19"/>
      <c r="BV49" s="19"/>
      <c r="BW49" s="19"/>
      <c r="BX49" s="19"/>
      <c r="CO49" s="9">
        <f t="shared" si="69"/>
        <v>52</v>
      </c>
      <c r="CP49" s="9">
        <f t="shared" si="70"/>
        <v>40</v>
      </c>
      <c r="CQ49" s="9">
        <f t="shared" si="71"/>
        <v>24</v>
      </c>
      <c r="CR49" s="9">
        <f t="shared" si="72"/>
        <v>69</v>
      </c>
      <c r="CS49" s="9">
        <f>SUM(BM49:BP49)</f>
        <v>16</v>
      </c>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row>
    <row r="50" spans="2:138" s="9" customFormat="1">
      <c r="B50" s="9" t="s">
        <v>190</v>
      </c>
      <c r="AW50" s="9">
        <v>0</v>
      </c>
      <c r="AX50" s="9">
        <v>0</v>
      </c>
      <c r="AY50" s="9">
        <v>260</v>
      </c>
      <c r="AZ50" s="1">
        <f>278-SUM(AW50:AY50)</f>
        <v>18</v>
      </c>
      <c r="BA50" s="9">
        <v>-6</v>
      </c>
      <c r="BB50" s="9">
        <v>298</v>
      </c>
      <c r="BC50" s="9">
        <v>0</v>
      </c>
      <c r="BD50" s="1">
        <f>430-SUM(BA50:BC50)</f>
        <v>138</v>
      </c>
      <c r="BE50" s="9">
        <v>0</v>
      </c>
      <c r="BF50" s="9">
        <v>42</v>
      </c>
      <c r="BG50" s="9">
        <v>0</v>
      </c>
      <c r="BH50" s="1">
        <f>173-SUM(BE50:BG50)</f>
        <v>131</v>
      </c>
      <c r="BI50" s="9">
        <v>20</v>
      </c>
      <c r="BJ50" s="9">
        <v>0</v>
      </c>
      <c r="BK50" s="9">
        <v>-111</v>
      </c>
      <c r="BL50" s="1">
        <f>-111-SUM(BI50:BK50)</f>
        <v>-20</v>
      </c>
      <c r="BM50" s="9">
        <v>0</v>
      </c>
      <c r="BN50" s="9">
        <v>0</v>
      </c>
      <c r="BO50" s="9">
        <v>0</v>
      </c>
      <c r="BP50" s="1">
        <f>0-SUM(BM50:BO50)</f>
        <v>0</v>
      </c>
      <c r="BQ50" s="9">
        <v>0</v>
      </c>
      <c r="BR50" s="19"/>
      <c r="BS50" s="19"/>
      <c r="BT50" s="19"/>
      <c r="BU50" s="19"/>
      <c r="BV50" s="19"/>
      <c r="BW50" s="19"/>
      <c r="BX50" s="19"/>
      <c r="CO50" s="9">
        <f t="shared" si="69"/>
        <v>278</v>
      </c>
      <c r="CP50" s="9">
        <f t="shared" si="70"/>
        <v>430</v>
      </c>
      <c r="CQ50" s="9">
        <f t="shared" si="71"/>
        <v>173</v>
      </c>
      <c r="CR50" s="9">
        <f t="shared" si="72"/>
        <v>-111</v>
      </c>
      <c r="CS50" s="9">
        <f t="shared" si="66"/>
        <v>0</v>
      </c>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165</v>
      </c>
      <c r="AW51" s="9">
        <v>0</v>
      </c>
      <c r="AX51" s="9">
        <v>0</v>
      </c>
      <c r="AY51" s="9">
        <v>0</v>
      </c>
      <c r="AZ51" s="1">
        <f>74-SUM(AW51:AY51)</f>
        <v>74</v>
      </c>
      <c r="BA51" s="9">
        <v>0</v>
      </c>
      <c r="BB51" s="9">
        <v>-2</v>
      </c>
      <c r="BC51" s="9">
        <v>-40</v>
      </c>
      <c r="BD51" s="1">
        <f>-78-SUM(BA51:BC51)</f>
        <v>-36</v>
      </c>
      <c r="BE51" s="9">
        <v>0</v>
      </c>
      <c r="BF51" s="9">
        <v>0</v>
      </c>
      <c r="BG51" s="9">
        <v>0</v>
      </c>
      <c r="BH51" s="1">
        <f>22-SUM(BE51:BG51)</f>
        <v>22</v>
      </c>
      <c r="BI51" s="9">
        <v>0</v>
      </c>
      <c r="BJ51" s="9">
        <v>0</v>
      </c>
      <c r="BK51" s="9">
        <v>0</v>
      </c>
      <c r="BL51" s="1">
        <f>0-SUM(BI51:BK51)</f>
        <v>0</v>
      </c>
      <c r="BM51" s="9">
        <v>0</v>
      </c>
      <c r="BN51" s="9">
        <v>0</v>
      </c>
      <c r="BO51" s="9">
        <v>0</v>
      </c>
      <c r="BP51" s="1">
        <f>0-SUM(BM51:BO51)</f>
        <v>0</v>
      </c>
      <c r="BQ51" s="9">
        <v>0</v>
      </c>
      <c r="BR51" s="19"/>
      <c r="BS51" s="19"/>
      <c r="BT51" s="19"/>
      <c r="BU51" s="19"/>
      <c r="BV51" s="19"/>
      <c r="BW51" s="19"/>
      <c r="BX51" s="19"/>
      <c r="CO51" s="9">
        <f t="shared" si="69"/>
        <v>74</v>
      </c>
      <c r="CP51" s="9">
        <f t="shared" si="70"/>
        <v>-78</v>
      </c>
      <c r="CQ51" s="9">
        <f t="shared" si="71"/>
        <v>22</v>
      </c>
      <c r="CR51" s="9">
        <f t="shared" si="72"/>
        <v>0</v>
      </c>
      <c r="CS51" s="9">
        <f t="shared" si="66"/>
        <v>0</v>
      </c>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63</v>
      </c>
      <c r="C52" s="9">
        <v>303</v>
      </c>
      <c r="D52" s="9">
        <v>28</v>
      </c>
      <c r="E52" s="9">
        <v>11</v>
      </c>
      <c r="F52" s="9">
        <v>275</v>
      </c>
      <c r="G52" s="9">
        <v>51</v>
      </c>
      <c r="H52" s="9">
        <v>-1231</v>
      </c>
      <c r="I52" s="9">
        <v>-1486</v>
      </c>
      <c r="J52" s="9">
        <v>231</v>
      </c>
      <c r="K52" s="9">
        <v>251</v>
      </c>
      <c r="L52" s="9">
        <v>348</v>
      </c>
      <c r="M52" s="9">
        <v>322</v>
      </c>
      <c r="N52" s="9">
        <v>237</v>
      </c>
      <c r="O52" s="9">
        <v>174</v>
      </c>
      <c r="P52" s="9">
        <v>171</v>
      </c>
      <c r="Q52" s="9">
        <v>196</v>
      </c>
      <c r="R52" s="9">
        <v>-3587</v>
      </c>
      <c r="S52" s="9">
        <v>-594</v>
      </c>
      <c r="T52" s="9">
        <v>117</v>
      </c>
      <c r="U52" s="9">
        <v>-330</v>
      </c>
      <c r="V52" s="9">
        <v>220</v>
      </c>
      <c r="W52" s="9">
        <v>103</v>
      </c>
      <c r="X52" s="9">
        <v>127</v>
      </c>
      <c r="Y52" s="9">
        <v>197</v>
      </c>
      <c r="Z52" s="9">
        <v>-69</v>
      </c>
      <c r="AA52" s="9">
        <v>64</v>
      </c>
      <c r="AB52" s="9">
        <v>-493</v>
      </c>
      <c r="AC52" s="9">
        <v>24</v>
      </c>
      <c r="AD52" s="9">
        <v>219</v>
      </c>
      <c r="AE52" s="9">
        <v>-299</v>
      </c>
      <c r="AF52" s="9">
        <v>-227</v>
      </c>
      <c r="AG52" s="9">
        <v>293</v>
      </c>
      <c r="AH52" s="9">
        <v>-334</v>
      </c>
      <c r="AI52" s="9">
        <v>348</v>
      </c>
      <c r="AJ52" s="9">
        <v>140</v>
      </c>
      <c r="AK52" s="9">
        <v>364</v>
      </c>
      <c r="AL52" s="9">
        <v>225</v>
      </c>
      <c r="AM52" s="9">
        <v>377</v>
      </c>
      <c r="AN52" s="9">
        <v>319</v>
      </c>
      <c r="AO52" s="9">
        <v>407</v>
      </c>
      <c r="AP52" s="9">
        <v>392</v>
      </c>
      <c r="AQ52" s="9">
        <v>388</v>
      </c>
      <c r="AR52" s="9">
        <v>319</v>
      </c>
      <c r="AS52" s="9">
        <v>541</v>
      </c>
      <c r="AT52" s="9">
        <v>384</v>
      </c>
      <c r="AU52" s="9">
        <v>383</v>
      </c>
      <c r="AV52" s="9">
        <v>210</v>
      </c>
      <c r="AW52" s="9">
        <f t="shared" ref="AW52:BQ52" si="73">AW42-SUM(AW43:AW51)</f>
        <v>146</v>
      </c>
      <c r="AX52" s="9">
        <f t="shared" si="73"/>
        <v>-71</v>
      </c>
      <c r="AY52" s="9">
        <f t="shared" si="73"/>
        <v>-205</v>
      </c>
      <c r="AZ52" s="9">
        <f t="shared" si="73"/>
        <v>50</v>
      </c>
      <c r="BA52" s="9">
        <f t="shared" si="73"/>
        <v>370</v>
      </c>
      <c r="BB52" s="9">
        <f t="shared" si="73"/>
        <v>262</v>
      </c>
      <c r="BC52" s="9">
        <f t="shared" si="73"/>
        <v>387</v>
      </c>
      <c r="BD52" s="9">
        <f t="shared" si="73"/>
        <v>179</v>
      </c>
      <c r="BE52" s="9">
        <f t="shared" si="73"/>
        <v>466</v>
      </c>
      <c r="BF52" s="9">
        <f t="shared" si="73"/>
        <v>423</v>
      </c>
      <c r="BG52" s="9">
        <f t="shared" si="73"/>
        <v>358</v>
      </c>
      <c r="BH52" s="9">
        <f t="shared" si="73"/>
        <v>400</v>
      </c>
      <c r="BI52" s="9">
        <f t="shared" si="73"/>
        <v>552</v>
      </c>
      <c r="BJ52" s="9">
        <f t="shared" si="73"/>
        <v>514</v>
      </c>
      <c r="BK52" s="9">
        <f t="shared" si="73"/>
        <v>693</v>
      </c>
      <c r="BL52" s="9">
        <f t="shared" si="73"/>
        <v>584</v>
      </c>
      <c r="BM52" s="9">
        <f t="shared" si="73"/>
        <v>675</v>
      </c>
      <c r="BN52" s="9">
        <f t="shared" si="73"/>
        <v>520</v>
      </c>
      <c r="BO52" s="9">
        <f t="shared" si="73"/>
        <v>733</v>
      </c>
      <c r="BP52" s="9">
        <f t="shared" si="73"/>
        <v>677</v>
      </c>
      <c r="BQ52" s="9">
        <f t="shared" si="73"/>
        <v>921</v>
      </c>
      <c r="BR52" s="19"/>
      <c r="BS52" s="19"/>
      <c r="BT52" s="19"/>
      <c r="BU52" s="19"/>
      <c r="BV52" s="19"/>
      <c r="BW52" s="19"/>
      <c r="BX52" s="19"/>
      <c r="CD52" s="9">
        <f t="shared" si="51"/>
        <v>-894</v>
      </c>
      <c r="CE52" s="9">
        <f t="shared" si="52"/>
        <v>-656</v>
      </c>
      <c r="CF52" s="9">
        <f t="shared" si="53"/>
        <v>904</v>
      </c>
      <c r="CG52" s="9">
        <f t="shared" si="54"/>
        <v>-3868</v>
      </c>
      <c r="CH52" s="9">
        <f t="shared" si="55"/>
        <v>120</v>
      </c>
      <c r="CI52" s="9">
        <f t="shared" si="56"/>
        <v>-301</v>
      </c>
      <c r="CJ52" s="9">
        <f t="shared" si="57"/>
        <v>-283</v>
      </c>
      <c r="CK52" s="9">
        <f t="shared" si="58"/>
        <v>447</v>
      </c>
      <c r="CL52" s="9">
        <f t="shared" si="59"/>
        <v>1285</v>
      </c>
      <c r="CM52" s="9">
        <f t="shared" si="60"/>
        <v>1506</v>
      </c>
      <c r="CN52" s="9">
        <f t="shared" si="61"/>
        <v>1518</v>
      </c>
      <c r="CO52" s="9">
        <f t="shared" si="62"/>
        <v>-80</v>
      </c>
      <c r="CP52" s="9">
        <f t="shared" si="63"/>
        <v>1198</v>
      </c>
      <c r="CQ52" s="9">
        <f t="shared" si="64"/>
        <v>1647</v>
      </c>
      <c r="CR52" s="9">
        <f>SUM(BI52:BL52)</f>
        <v>2343</v>
      </c>
      <c r="CS52" s="9">
        <f t="shared" si="66"/>
        <v>2605</v>
      </c>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166</v>
      </c>
      <c r="AW53" s="9">
        <v>-88</v>
      </c>
      <c r="AX53" s="9">
        <v>-91</v>
      </c>
      <c r="AY53" s="9">
        <v>-86</v>
      </c>
      <c r="AZ53" s="1">
        <f>-361-SUM(AW53:AY53)</f>
        <v>-96</v>
      </c>
      <c r="BA53" s="9">
        <v>-82</v>
      </c>
      <c r="BB53" s="9">
        <v>-86</v>
      </c>
      <c r="BC53" s="9">
        <v>-86</v>
      </c>
      <c r="BD53" s="1">
        <f>-341-SUM(BA53:BC53)</f>
        <v>-87</v>
      </c>
      <c r="BE53" s="9">
        <v>-279</v>
      </c>
      <c r="BF53" s="9">
        <v>-64</v>
      </c>
      <c r="BG53" s="9">
        <v>-63</v>
      </c>
      <c r="BH53" s="1">
        <f>-470-SUM(BE53:BG53)</f>
        <v>-64</v>
      </c>
      <c r="BI53" s="9">
        <v>-65</v>
      </c>
      <c r="BJ53" s="9">
        <v>-70</v>
      </c>
      <c r="BK53" s="9">
        <v>-66</v>
      </c>
      <c r="BL53" s="1">
        <f>-265-SUM(BI53:BK53)</f>
        <v>-64</v>
      </c>
      <c r="BM53" s="9">
        <v>-69</v>
      </c>
      <c r="BN53" s="9">
        <v>-77</v>
      </c>
      <c r="BO53" s="9">
        <v>-79</v>
      </c>
      <c r="BP53" s="1">
        <f>-305-SUM(BM53:BO53)</f>
        <v>-80</v>
      </c>
      <c r="BQ53" s="9">
        <v>-82</v>
      </c>
      <c r="BR53" s="19"/>
      <c r="BS53" s="19"/>
      <c r="BT53" s="19"/>
      <c r="BU53" s="19"/>
      <c r="BV53" s="19"/>
      <c r="BW53" s="19"/>
      <c r="BX53" s="19"/>
      <c r="CS53" s="9">
        <f t="shared" si="66"/>
        <v>-305</v>
      </c>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62</v>
      </c>
      <c r="C54" s="9">
        <v>-203</v>
      </c>
      <c r="D54" s="9">
        <v>-96</v>
      </c>
      <c r="E54" s="9">
        <v>-108</v>
      </c>
      <c r="F54" s="9">
        <v>-95</v>
      </c>
      <c r="G54" s="9">
        <v>-95</v>
      </c>
      <c r="H54" s="9">
        <v>-116</v>
      </c>
      <c r="I54" s="9">
        <v>-89</v>
      </c>
      <c r="J54" s="9">
        <v>-112</v>
      </c>
      <c r="K54" s="9">
        <v>-88</v>
      </c>
      <c r="L54" s="9">
        <v>-118</v>
      </c>
      <c r="M54" s="9">
        <v>-49</v>
      </c>
      <c r="N54" s="9">
        <v>-79</v>
      </c>
      <c r="O54" s="9">
        <v>-63</v>
      </c>
      <c r="P54" s="9">
        <v>-71</v>
      </c>
      <c r="Q54" s="9">
        <v>-73</v>
      </c>
      <c r="R54" s="9">
        <v>-31</v>
      </c>
      <c r="S54" s="9">
        <v>-69</v>
      </c>
      <c r="T54" s="9">
        <v>-66</v>
      </c>
      <c r="U54" s="9">
        <v>-64</v>
      </c>
      <c r="V54" s="9">
        <v>-68</v>
      </c>
      <c r="W54" s="9">
        <v>-143</v>
      </c>
      <c r="X54" s="9">
        <v>-68</v>
      </c>
      <c r="Y54" s="9">
        <v>-51</v>
      </c>
      <c r="Z54" s="9">
        <v>-35</v>
      </c>
      <c r="AA54" s="9">
        <v>-61</v>
      </c>
      <c r="AB54" s="9">
        <v>-61</v>
      </c>
      <c r="AC54" s="9">
        <v>-75</v>
      </c>
      <c r="AD54" s="9">
        <v>-114</v>
      </c>
      <c r="AE54" s="9">
        <v>-68</v>
      </c>
      <c r="AF54" s="9">
        <v>-110</v>
      </c>
      <c r="AG54" s="9">
        <v>-65</v>
      </c>
      <c r="AH54" s="9">
        <v>-63</v>
      </c>
      <c r="AI54" s="9">
        <v>-91</v>
      </c>
      <c r="AJ54" s="9">
        <v>-51</v>
      </c>
      <c r="AK54" s="9">
        <v>-59</v>
      </c>
      <c r="AL54" s="9">
        <v>-134</v>
      </c>
      <c r="AM54" s="9">
        <v>-68</v>
      </c>
      <c r="AN54" s="9">
        <v>-92</v>
      </c>
      <c r="AO54" s="9">
        <v>-84</v>
      </c>
      <c r="AP54" s="9">
        <v>-45</v>
      </c>
      <c r="AQ54" s="9">
        <v>68</v>
      </c>
      <c r="AR54" s="9">
        <v>-24</v>
      </c>
      <c r="AS54" s="9">
        <v>-84</v>
      </c>
      <c r="AT54" s="9">
        <v>-239</v>
      </c>
      <c r="AU54" s="9">
        <v>-292</v>
      </c>
      <c r="AV54" s="9">
        <v>-216</v>
      </c>
      <c r="AW54" s="9">
        <v>-36</v>
      </c>
      <c r="AX54" s="9">
        <v>-18</v>
      </c>
      <c r="AY54" s="9">
        <v>64</v>
      </c>
      <c r="AZ54" s="1">
        <f>362-SUM(AW54:AY54)</f>
        <v>352</v>
      </c>
      <c r="BA54" s="9">
        <v>37</v>
      </c>
      <c r="BB54" s="9">
        <v>-27</v>
      </c>
      <c r="BC54" s="9">
        <v>181</v>
      </c>
      <c r="BD54" s="1">
        <f>218-SUM(BA54:BC54)</f>
        <v>27</v>
      </c>
      <c r="BE54" s="9">
        <v>-31</v>
      </c>
      <c r="BF54" s="9">
        <v>-14</v>
      </c>
      <c r="BG54" s="9">
        <v>-50</v>
      </c>
      <c r="BH54" s="1">
        <f>-38-SUM(BE54:BG54)</f>
        <v>57</v>
      </c>
      <c r="BI54" s="9">
        <v>-43</v>
      </c>
      <c r="BJ54" s="9">
        <v>-18</v>
      </c>
      <c r="BK54" s="9">
        <v>-17</v>
      </c>
      <c r="BL54" s="1">
        <f>-93-SUM(BI54:BK54)</f>
        <v>-15</v>
      </c>
      <c r="BM54" s="9">
        <v>2</v>
      </c>
      <c r="BN54" s="9">
        <v>-23</v>
      </c>
      <c r="BO54" s="9">
        <v>14</v>
      </c>
      <c r="BP54" s="1">
        <f>-16-SUM(BM54:BO54)</f>
        <v>-9</v>
      </c>
      <c r="BQ54" s="9">
        <v>-34</v>
      </c>
      <c r="BR54" s="19"/>
      <c r="BS54" s="19"/>
      <c r="BT54" s="19"/>
      <c r="BU54" s="19"/>
      <c r="BV54" s="19"/>
      <c r="BW54" s="19"/>
      <c r="BX54" s="19"/>
      <c r="CD54" s="9">
        <f t="shared" si="51"/>
        <v>-414</v>
      </c>
      <c r="CE54" s="9">
        <f t="shared" si="52"/>
        <v>-407</v>
      </c>
      <c r="CF54" s="9">
        <f t="shared" si="53"/>
        <v>-262</v>
      </c>
      <c r="CG54" s="9">
        <f t="shared" si="54"/>
        <v>-239</v>
      </c>
      <c r="CH54" s="9">
        <f t="shared" si="55"/>
        <v>-343</v>
      </c>
      <c r="CI54" s="9">
        <f t="shared" si="56"/>
        <v>-208</v>
      </c>
      <c r="CJ54" s="9">
        <f t="shared" si="57"/>
        <v>-367</v>
      </c>
      <c r="CK54" s="9">
        <f t="shared" si="58"/>
        <v>-270</v>
      </c>
      <c r="CL54" s="9">
        <f t="shared" si="59"/>
        <v>-353</v>
      </c>
      <c r="CM54" s="9">
        <f t="shared" si="60"/>
        <v>-85</v>
      </c>
      <c r="CN54" s="9">
        <f t="shared" si="61"/>
        <v>-831</v>
      </c>
      <c r="CO54" s="9">
        <f t="shared" si="62"/>
        <v>362</v>
      </c>
      <c r="CP54" s="9">
        <f t="shared" si="63"/>
        <v>218</v>
      </c>
      <c r="CQ54" s="9">
        <f t="shared" si="64"/>
        <v>-38</v>
      </c>
      <c r="CR54" s="9">
        <f t="shared" si="65"/>
        <v>-93</v>
      </c>
      <c r="CS54" s="9">
        <f t="shared" si="66"/>
        <v>-16</v>
      </c>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61</v>
      </c>
      <c r="C55" s="9">
        <f t="shared" ref="C55:BG55" si="74">C52+C53+C54</f>
        <v>100</v>
      </c>
      <c r="D55" s="9">
        <f t="shared" si="74"/>
        <v>-68</v>
      </c>
      <c r="E55" s="9">
        <f t="shared" si="74"/>
        <v>-97</v>
      </c>
      <c r="F55" s="9">
        <f t="shared" si="74"/>
        <v>180</v>
      </c>
      <c r="G55" s="9">
        <f t="shared" si="74"/>
        <v>-44</v>
      </c>
      <c r="H55" s="9">
        <f t="shared" si="74"/>
        <v>-1347</v>
      </c>
      <c r="I55" s="9">
        <f t="shared" si="74"/>
        <v>-1575</v>
      </c>
      <c r="J55" s="9">
        <f t="shared" si="74"/>
        <v>119</v>
      </c>
      <c r="K55" s="9">
        <f t="shared" si="74"/>
        <v>163</v>
      </c>
      <c r="L55" s="9">
        <f t="shared" si="74"/>
        <v>230</v>
      </c>
      <c r="M55" s="9">
        <f t="shared" si="74"/>
        <v>273</v>
      </c>
      <c r="N55" s="9">
        <f t="shared" si="74"/>
        <v>158</v>
      </c>
      <c r="O55" s="9">
        <f t="shared" si="74"/>
        <v>111</v>
      </c>
      <c r="P55" s="9">
        <f t="shared" si="74"/>
        <v>100</v>
      </c>
      <c r="Q55" s="9">
        <f t="shared" si="74"/>
        <v>123</v>
      </c>
      <c r="R55" s="9">
        <f t="shared" si="74"/>
        <v>-3618</v>
      </c>
      <c r="S55" s="9">
        <f t="shared" si="74"/>
        <v>-663</v>
      </c>
      <c r="T55" s="9">
        <f t="shared" si="74"/>
        <v>51</v>
      </c>
      <c r="U55" s="9">
        <f t="shared" si="74"/>
        <v>-394</v>
      </c>
      <c r="V55" s="9">
        <f t="shared" si="74"/>
        <v>152</v>
      </c>
      <c r="W55" s="9">
        <f t="shared" si="74"/>
        <v>-40</v>
      </c>
      <c r="X55" s="9">
        <f t="shared" si="74"/>
        <v>59</v>
      </c>
      <c r="Y55" s="9">
        <f t="shared" si="74"/>
        <v>146</v>
      </c>
      <c r="Z55" s="9">
        <f t="shared" si="74"/>
        <v>-104</v>
      </c>
      <c r="AA55" s="9">
        <f t="shared" si="74"/>
        <v>3</v>
      </c>
      <c r="AB55" s="9">
        <f t="shared" si="74"/>
        <v>-554</v>
      </c>
      <c r="AC55" s="9">
        <f t="shared" si="74"/>
        <v>-51</v>
      </c>
      <c r="AD55" s="9">
        <f t="shared" si="74"/>
        <v>105</v>
      </c>
      <c r="AE55" s="9">
        <f t="shared" si="74"/>
        <v>-367</v>
      </c>
      <c r="AF55" s="9">
        <f t="shared" si="74"/>
        <v>-337</v>
      </c>
      <c r="AG55" s="9">
        <f t="shared" si="74"/>
        <v>228</v>
      </c>
      <c r="AH55" s="9">
        <f t="shared" si="74"/>
        <v>-397</v>
      </c>
      <c r="AI55" s="9">
        <f t="shared" si="74"/>
        <v>257</v>
      </c>
      <c r="AJ55" s="9">
        <f t="shared" si="74"/>
        <v>89</v>
      </c>
      <c r="AK55" s="9">
        <f t="shared" si="74"/>
        <v>305</v>
      </c>
      <c r="AL55" s="9">
        <f t="shared" si="74"/>
        <v>91</v>
      </c>
      <c r="AM55" s="9">
        <f t="shared" si="74"/>
        <v>309</v>
      </c>
      <c r="AN55" s="9">
        <f t="shared" si="74"/>
        <v>227</v>
      </c>
      <c r="AO55" s="9">
        <f t="shared" si="74"/>
        <v>323</v>
      </c>
      <c r="AP55" s="9">
        <f t="shared" si="74"/>
        <v>347</v>
      </c>
      <c r="AQ55" s="9">
        <f t="shared" si="74"/>
        <v>456</v>
      </c>
      <c r="AR55" s="9">
        <f t="shared" si="74"/>
        <v>295</v>
      </c>
      <c r="AS55" s="9">
        <f t="shared" si="74"/>
        <v>457</v>
      </c>
      <c r="AT55" s="9">
        <f t="shared" si="74"/>
        <v>145</v>
      </c>
      <c r="AU55" s="9">
        <f t="shared" si="74"/>
        <v>91</v>
      </c>
      <c r="AV55" s="9">
        <f t="shared" si="74"/>
        <v>-6</v>
      </c>
      <c r="AW55" s="9">
        <f t="shared" si="74"/>
        <v>22</v>
      </c>
      <c r="AX55" s="9">
        <f t="shared" si="74"/>
        <v>-180</v>
      </c>
      <c r="AY55" s="9">
        <f t="shared" si="74"/>
        <v>-227</v>
      </c>
      <c r="AZ55" s="9">
        <f t="shared" si="74"/>
        <v>306</v>
      </c>
      <c r="BA55" s="9">
        <f t="shared" si="74"/>
        <v>325</v>
      </c>
      <c r="BB55" s="9">
        <f t="shared" si="74"/>
        <v>149</v>
      </c>
      <c r="BC55" s="9">
        <f t="shared" si="74"/>
        <v>482</v>
      </c>
      <c r="BD55" s="9">
        <f t="shared" si="74"/>
        <v>119</v>
      </c>
      <c r="BE55" s="9">
        <f t="shared" si="74"/>
        <v>156</v>
      </c>
      <c r="BF55" s="9">
        <f t="shared" si="74"/>
        <v>345</v>
      </c>
      <c r="BG55" s="9">
        <f t="shared" si="74"/>
        <v>245</v>
      </c>
      <c r="BH55" s="9">
        <f t="shared" ref="BH55:BQ55" si="75">BH52+BH53+BH54</f>
        <v>393</v>
      </c>
      <c r="BI55" s="9">
        <f>BI52+BI53+BI54</f>
        <v>444</v>
      </c>
      <c r="BJ55" s="9">
        <f t="shared" si="75"/>
        <v>426</v>
      </c>
      <c r="BK55" s="9">
        <f t="shared" si="75"/>
        <v>610</v>
      </c>
      <c r="BL55" s="9">
        <f t="shared" si="75"/>
        <v>505</v>
      </c>
      <c r="BM55" s="9">
        <f t="shared" si="75"/>
        <v>608</v>
      </c>
      <c r="BN55" s="9">
        <f t="shared" si="75"/>
        <v>420</v>
      </c>
      <c r="BO55" s="9">
        <f t="shared" si="75"/>
        <v>668</v>
      </c>
      <c r="BP55" s="9">
        <f t="shared" si="75"/>
        <v>588</v>
      </c>
      <c r="BQ55" s="9">
        <f t="shared" si="75"/>
        <v>805</v>
      </c>
      <c r="BR55" s="19"/>
      <c r="BS55" s="19"/>
      <c r="BT55" s="19"/>
      <c r="BU55" s="19"/>
      <c r="BV55" s="19"/>
      <c r="BW55" s="19"/>
      <c r="BX55" s="19"/>
      <c r="CD55" s="9">
        <f t="shared" si="51"/>
        <v>-1308</v>
      </c>
      <c r="CE55" s="9">
        <f t="shared" si="52"/>
        <v>-1063</v>
      </c>
      <c r="CF55" s="9">
        <f t="shared" si="53"/>
        <v>642</v>
      </c>
      <c r="CG55" s="9">
        <f t="shared" si="54"/>
        <v>-4107</v>
      </c>
      <c r="CH55" s="9">
        <f t="shared" si="55"/>
        <v>-223</v>
      </c>
      <c r="CI55" s="9">
        <f t="shared" si="56"/>
        <v>-509</v>
      </c>
      <c r="CJ55" s="9">
        <f t="shared" si="57"/>
        <v>-650</v>
      </c>
      <c r="CK55" s="9">
        <f t="shared" si="58"/>
        <v>177</v>
      </c>
      <c r="CL55" s="9">
        <f t="shared" si="59"/>
        <v>932</v>
      </c>
      <c r="CM55" s="9">
        <f t="shared" si="60"/>
        <v>1421</v>
      </c>
      <c r="CN55" s="9">
        <f t="shared" si="61"/>
        <v>687</v>
      </c>
      <c r="CO55" s="9">
        <f t="shared" si="62"/>
        <v>-79</v>
      </c>
      <c r="CP55" s="9">
        <f t="shared" si="63"/>
        <v>1075</v>
      </c>
      <c r="CQ55" s="9">
        <f t="shared" si="64"/>
        <v>1139</v>
      </c>
      <c r="CR55" s="9">
        <f t="shared" si="65"/>
        <v>1985</v>
      </c>
      <c r="CS55" s="9">
        <f t="shared" si="66"/>
        <v>2284</v>
      </c>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171</v>
      </c>
      <c r="C56" s="9">
        <v>2</v>
      </c>
      <c r="D56" s="9">
        <v>-6</v>
      </c>
      <c r="E56" s="9">
        <v>-84</v>
      </c>
      <c r="F56" s="9">
        <v>22</v>
      </c>
      <c r="G56" s="9">
        <v>50</v>
      </c>
      <c r="H56" s="9">
        <v>-271</v>
      </c>
      <c r="I56" s="9">
        <v>14</v>
      </c>
      <c r="J56" s="9">
        <v>21</v>
      </c>
      <c r="K56" s="9">
        <v>-27</v>
      </c>
      <c r="L56" s="9">
        <v>-6</v>
      </c>
      <c r="M56" s="9">
        <v>227</v>
      </c>
      <c r="N56" s="9">
        <v>12</v>
      </c>
      <c r="O56" s="9">
        <v>-31</v>
      </c>
      <c r="P56" s="9">
        <v>-7</v>
      </c>
      <c r="Q56" s="9">
        <v>10</v>
      </c>
      <c r="R56" s="9">
        <v>-40</v>
      </c>
      <c r="S56" s="9">
        <v>1</v>
      </c>
      <c r="T56" s="9">
        <v>-10</v>
      </c>
      <c r="U56" s="9">
        <v>-40</v>
      </c>
      <c r="V56" s="9">
        <v>22</v>
      </c>
      <c r="W56" s="9">
        <v>-35</v>
      </c>
      <c r="X56" s="9">
        <v>-49</v>
      </c>
      <c r="Y56" s="9">
        <v>13</v>
      </c>
      <c r="Z56" s="9">
        <v>-108</v>
      </c>
      <c r="AA56" s="9">
        <v>-40</v>
      </c>
      <c r="AB56" s="9">
        <v>-255</v>
      </c>
      <c r="AC56" s="9">
        <v>-50</v>
      </c>
      <c r="AD56" s="9">
        <v>3</v>
      </c>
      <c r="AE56" s="9">
        <v>-169</v>
      </c>
      <c r="AF56" s="9">
        <v>-195</v>
      </c>
      <c r="AG56" s="9">
        <v>26</v>
      </c>
      <c r="AH56" s="9">
        <v>-190</v>
      </c>
      <c r="AI56" s="9">
        <v>29</v>
      </c>
      <c r="AJ56" s="9">
        <v>-35</v>
      </c>
      <c r="AK56" s="9">
        <v>15</v>
      </c>
      <c r="AL56" s="9">
        <v>-55</v>
      </c>
      <c r="AM56" s="9">
        <v>26</v>
      </c>
      <c r="AN56" s="9">
        <v>842</v>
      </c>
      <c r="AO56" s="9">
        <v>26</v>
      </c>
      <c r="AP56" s="9">
        <v>-209</v>
      </c>
      <c r="AQ56" s="9">
        <v>24</v>
      </c>
      <c r="AR56" s="9">
        <v>-90</v>
      </c>
      <c r="AS56" s="9">
        <v>33</v>
      </c>
      <c r="AT56" s="9">
        <v>-9</v>
      </c>
      <c r="AU56" s="9">
        <v>-35</v>
      </c>
      <c r="AV56" s="9">
        <v>-4002</v>
      </c>
      <c r="AW56" s="9">
        <v>11</v>
      </c>
      <c r="AX56" s="9">
        <v>-33</v>
      </c>
      <c r="AY56" s="9">
        <v>-72</v>
      </c>
      <c r="AZ56" s="1">
        <f>2-SUM(AW56:AY56)</f>
        <v>96</v>
      </c>
      <c r="BA56" s="9">
        <v>-16</v>
      </c>
      <c r="BB56" s="9">
        <v>-37</v>
      </c>
      <c r="BC56" s="9">
        <v>63</v>
      </c>
      <c r="BD56" s="1">
        <f>36-SUM(BA56:BC56)</f>
        <v>26</v>
      </c>
      <c r="BE56" s="9">
        <v>45</v>
      </c>
      <c r="BF56" s="9">
        <v>85</v>
      </c>
      <c r="BG56" s="9">
        <v>57</v>
      </c>
      <c r="BH56" s="1">
        <f>443-SUM(BE56:BG56)</f>
        <v>256</v>
      </c>
      <c r="BI56" s="9">
        <v>130</v>
      </c>
      <c r="BJ56" s="9">
        <v>156</v>
      </c>
      <c r="BK56" s="9">
        <v>106</v>
      </c>
      <c r="BL56" s="1">
        <f>393-SUM(BI56:BK56)</f>
        <v>1</v>
      </c>
      <c r="BM56" s="9">
        <v>115</v>
      </c>
      <c r="BN56" s="9">
        <v>98</v>
      </c>
      <c r="BO56" s="9">
        <v>200</v>
      </c>
      <c r="BP56" s="1">
        <f>436-SUM(BM56:BO56)</f>
        <v>23</v>
      </c>
      <c r="BQ56" s="9">
        <v>133</v>
      </c>
      <c r="BR56" s="19"/>
      <c r="BS56" s="19"/>
      <c r="BT56" s="19"/>
      <c r="BU56" s="19"/>
      <c r="BV56" s="19"/>
      <c r="BW56" s="19"/>
      <c r="BX56" s="19"/>
      <c r="CD56" s="9">
        <f t="shared" si="51"/>
        <v>-283</v>
      </c>
      <c r="CE56" s="9">
        <f t="shared" si="52"/>
        <v>2</v>
      </c>
      <c r="CF56" s="9">
        <f t="shared" si="53"/>
        <v>201</v>
      </c>
      <c r="CG56" s="9">
        <f t="shared" si="54"/>
        <v>-39</v>
      </c>
      <c r="CH56" s="9">
        <f t="shared" si="55"/>
        <v>-102</v>
      </c>
      <c r="CI56" s="9">
        <f t="shared" si="56"/>
        <v>-390</v>
      </c>
      <c r="CJ56" s="9">
        <f t="shared" si="57"/>
        <v>-411</v>
      </c>
      <c r="CK56" s="9">
        <f t="shared" si="58"/>
        <v>-170</v>
      </c>
      <c r="CL56" s="9">
        <f t="shared" si="59"/>
        <v>828</v>
      </c>
      <c r="CM56" s="9">
        <f t="shared" si="60"/>
        <v>-249</v>
      </c>
      <c r="CN56" s="9">
        <f t="shared" si="61"/>
        <v>-4013</v>
      </c>
      <c r="CO56" s="9">
        <f t="shared" si="62"/>
        <v>2</v>
      </c>
      <c r="CP56" s="9">
        <f t="shared" si="63"/>
        <v>36</v>
      </c>
      <c r="CQ56" s="9">
        <f t="shared" si="64"/>
        <v>443</v>
      </c>
      <c r="CR56" s="9">
        <f t="shared" si="65"/>
        <v>393</v>
      </c>
      <c r="CS56" s="9">
        <f t="shared" si="66"/>
        <v>436</v>
      </c>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60</v>
      </c>
      <c r="C57" s="9">
        <f t="shared" ref="C57:BN57" si="76">C55-C56</f>
        <v>98</v>
      </c>
      <c r="D57" s="9">
        <f t="shared" si="76"/>
        <v>-62</v>
      </c>
      <c r="E57" s="9">
        <f t="shared" si="76"/>
        <v>-13</v>
      </c>
      <c r="F57" s="9">
        <f t="shared" si="76"/>
        <v>158</v>
      </c>
      <c r="G57" s="9">
        <f t="shared" si="76"/>
        <v>-94</v>
      </c>
      <c r="H57" s="9">
        <f t="shared" si="76"/>
        <v>-1076</v>
      </c>
      <c r="I57" s="9">
        <f t="shared" si="76"/>
        <v>-1589</v>
      </c>
      <c r="J57" s="9">
        <f t="shared" si="76"/>
        <v>98</v>
      </c>
      <c r="K57" s="9">
        <f t="shared" si="76"/>
        <v>190</v>
      </c>
      <c r="L57" s="9">
        <f t="shared" si="76"/>
        <v>236</v>
      </c>
      <c r="M57" s="9">
        <f t="shared" si="76"/>
        <v>46</v>
      </c>
      <c r="N57" s="9">
        <f t="shared" si="76"/>
        <v>146</v>
      </c>
      <c r="O57" s="9">
        <f t="shared" si="76"/>
        <v>142</v>
      </c>
      <c r="P57" s="9">
        <f t="shared" si="76"/>
        <v>107</v>
      </c>
      <c r="Q57" s="9">
        <f t="shared" si="76"/>
        <v>113</v>
      </c>
      <c r="R57" s="9">
        <f t="shared" si="76"/>
        <v>-3578</v>
      </c>
      <c r="S57" s="9">
        <f t="shared" si="76"/>
        <v>-664</v>
      </c>
      <c r="T57" s="9">
        <f t="shared" si="76"/>
        <v>61</v>
      </c>
      <c r="U57" s="9">
        <f t="shared" si="76"/>
        <v>-354</v>
      </c>
      <c r="V57" s="9">
        <f t="shared" si="76"/>
        <v>130</v>
      </c>
      <c r="W57" s="9">
        <f t="shared" si="76"/>
        <v>-5</v>
      </c>
      <c r="X57" s="9">
        <f t="shared" si="76"/>
        <v>108</v>
      </c>
      <c r="Y57" s="9">
        <f t="shared" si="76"/>
        <v>133</v>
      </c>
      <c r="Z57" s="9">
        <f t="shared" si="76"/>
        <v>4</v>
      </c>
      <c r="AA57" s="9">
        <f t="shared" si="76"/>
        <v>43</v>
      </c>
      <c r="AB57" s="9">
        <f t="shared" si="76"/>
        <v>-299</v>
      </c>
      <c r="AC57" s="9">
        <f t="shared" si="76"/>
        <v>-1</v>
      </c>
      <c r="AD57" s="9">
        <f t="shared" si="76"/>
        <v>102</v>
      </c>
      <c r="AE57" s="9">
        <f t="shared" si="76"/>
        <v>-198</v>
      </c>
      <c r="AF57" s="9">
        <f t="shared" si="76"/>
        <v>-142</v>
      </c>
      <c r="AG57" s="9">
        <f t="shared" si="76"/>
        <v>202</v>
      </c>
      <c r="AH57" s="9">
        <f t="shared" si="76"/>
        <v>-207</v>
      </c>
      <c r="AI57" s="9">
        <f t="shared" si="76"/>
        <v>228</v>
      </c>
      <c r="AJ57" s="9">
        <f t="shared" si="76"/>
        <v>124</v>
      </c>
      <c r="AK57" s="9">
        <f t="shared" si="76"/>
        <v>290</v>
      </c>
      <c r="AL57" s="9">
        <f t="shared" si="76"/>
        <v>146</v>
      </c>
      <c r="AM57" s="9">
        <f t="shared" si="76"/>
        <v>283</v>
      </c>
      <c r="AN57" s="9">
        <f t="shared" si="76"/>
        <v>-615</v>
      </c>
      <c r="AO57" s="9">
        <f t="shared" si="76"/>
        <v>297</v>
      </c>
      <c r="AP57" s="9">
        <f t="shared" si="76"/>
        <v>556</v>
      </c>
      <c r="AQ57" s="9">
        <f t="shared" si="76"/>
        <v>432</v>
      </c>
      <c r="AR57" s="9">
        <f t="shared" si="76"/>
        <v>385</v>
      </c>
      <c r="AS57" s="9">
        <f t="shared" si="76"/>
        <v>424</v>
      </c>
      <c r="AT57" s="9">
        <f t="shared" si="76"/>
        <v>154</v>
      </c>
      <c r="AU57" s="9">
        <f t="shared" si="76"/>
        <v>126</v>
      </c>
      <c r="AV57" s="9">
        <f t="shared" si="76"/>
        <v>3996</v>
      </c>
      <c r="AW57" s="9">
        <f t="shared" si="76"/>
        <v>11</v>
      </c>
      <c r="AX57" s="9">
        <f t="shared" si="76"/>
        <v>-147</v>
      </c>
      <c r="AY57" s="9">
        <f t="shared" si="76"/>
        <v>-155</v>
      </c>
      <c r="AZ57" s="9">
        <f t="shared" si="76"/>
        <v>210</v>
      </c>
      <c r="BA57" s="9">
        <f t="shared" si="76"/>
        <v>341</v>
      </c>
      <c r="BB57" s="9">
        <f t="shared" si="76"/>
        <v>186</v>
      </c>
      <c r="BC57" s="9">
        <f t="shared" si="76"/>
        <v>419</v>
      </c>
      <c r="BD57" s="9">
        <f t="shared" si="76"/>
        <v>93</v>
      </c>
      <c r="BE57" s="9">
        <f t="shared" si="76"/>
        <v>111</v>
      </c>
      <c r="BF57" s="9">
        <f t="shared" si="76"/>
        <v>260</v>
      </c>
      <c r="BG57" s="9">
        <f t="shared" si="76"/>
        <v>188</v>
      </c>
      <c r="BH57" s="9">
        <f t="shared" si="76"/>
        <v>137</v>
      </c>
      <c r="BI57" s="9">
        <f t="shared" si="76"/>
        <v>314</v>
      </c>
      <c r="BJ57" s="9">
        <f t="shared" si="76"/>
        <v>270</v>
      </c>
      <c r="BK57" s="9">
        <f t="shared" si="76"/>
        <v>504</v>
      </c>
      <c r="BL57" s="9">
        <f t="shared" si="76"/>
        <v>504</v>
      </c>
      <c r="BM57" s="9">
        <f t="shared" si="76"/>
        <v>493</v>
      </c>
      <c r="BN57" s="9">
        <f t="shared" si="76"/>
        <v>322</v>
      </c>
      <c r="BO57" s="9">
        <f t="shared" ref="BO57:BQ57" si="77">BO55-BO56</f>
        <v>468</v>
      </c>
      <c r="BP57" s="9">
        <f>BP55-BP56</f>
        <v>565</v>
      </c>
      <c r="BQ57" s="9">
        <f t="shared" si="77"/>
        <v>672</v>
      </c>
      <c r="BR57" s="19"/>
      <c r="BS57" s="19"/>
      <c r="BT57" s="19"/>
      <c r="BU57" s="19"/>
      <c r="BV57" s="19"/>
      <c r="BW57" s="19"/>
      <c r="BX57" s="19"/>
      <c r="CD57" s="9">
        <f>SUM(E57:H57)</f>
        <v>-1025</v>
      </c>
      <c r="CE57" s="9">
        <f t="shared" si="52"/>
        <v>-1065</v>
      </c>
      <c r="CF57" s="9">
        <f t="shared" si="53"/>
        <v>441</v>
      </c>
      <c r="CG57" s="9">
        <f t="shared" si="54"/>
        <v>-4068</v>
      </c>
      <c r="CH57" s="9">
        <f t="shared" si="55"/>
        <v>-121</v>
      </c>
      <c r="CI57" s="9">
        <f t="shared" si="56"/>
        <v>-119</v>
      </c>
      <c r="CJ57" s="9">
        <f t="shared" si="57"/>
        <v>-239</v>
      </c>
      <c r="CK57" s="9">
        <f t="shared" si="58"/>
        <v>347</v>
      </c>
      <c r="CL57" s="9">
        <f t="shared" si="59"/>
        <v>104</v>
      </c>
      <c r="CM57" s="9">
        <f t="shared" si="60"/>
        <v>1670</v>
      </c>
      <c r="CN57" s="9">
        <f t="shared" si="61"/>
        <v>4700</v>
      </c>
      <c r="CO57" s="9">
        <f t="shared" si="62"/>
        <v>-81</v>
      </c>
      <c r="CP57" s="9">
        <f t="shared" si="63"/>
        <v>1039</v>
      </c>
      <c r="CQ57" s="9">
        <f t="shared" si="64"/>
        <v>696</v>
      </c>
      <c r="CR57" s="9">
        <f t="shared" si="65"/>
        <v>1592</v>
      </c>
      <c r="CS57" s="9">
        <f t="shared" si="66"/>
        <v>1848</v>
      </c>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167</v>
      </c>
      <c r="AW58" s="9">
        <v>0</v>
      </c>
      <c r="AX58" s="9">
        <v>-5</v>
      </c>
      <c r="AY58" s="9">
        <v>-14</v>
      </c>
      <c r="AZ58" s="1">
        <f>-33-SUM(AW58:AY58)</f>
        <v>-14</v>
      </c>
      <c r="BA58" s="9">
        <v>-14</v>
      </c>
      <c r="BB58" s="9">
        <v>-14</v>
      </c>
      <c r="BC58" s="9">
        <v>-14</v>
      </c>
      <c r="BD58" s="1">
        <f>-55-SUM(BA58:BC58)</f>
        <v>-13</v>
      </c>
      <c r="BE58" s="9">
        <v>-14</v>
      </c>
      <c r="BF58" s="9">
        <v>-14</v>
      </c>
      <c r="BG58" s="9">
        <v>-14</v>
      </c>
      <c r="BH58" s="1">
        <f>-55-SUM(BE58:BG58)</f>
        <v>-13</v>
      </c>
      <c r="BI58" s="9">
        <v>-14</v>
      </c>
      <c r="BJ58" s="9">
        <v>-9</v>
      </c>
      <c r="BK58" s="9">
        <v>0</v>
      </c>
      <c r="BL58" s="1">
        <f>-23-SUM(BI58:BK58)</f>
        <v>0</v>
      </c>
      <c r="BM58" s="9">
        <v>0</v>
      </c>
      <c r="BN58" s="9">
        <v>0</v>
      </c>
      <c r="BO58" s="9">
        <v>0</v>
      </c>
      <c r="BP58" s="1">
        <f>0-SUM(BM58:BO58)</f>
        <v>0</v>
      </c>
      <c r="BQ58" s="9">
        <v>0</v>
      </c>
      <c r="BR58" s="19"/>
      <c r="BS58" s="19"/>
      <c r="BT58" s="19"/>
      <c r="BU58" s="19"/>
      <c r="BV58" s="19"/>
      <c r="BW58" s="19"/>
      <c r="BX58" s="19"/>
      <c r="CO58" s="9">
        <f>SUM(AW58:AZ58)</f>
        <v>-33</v>
      </c>
      <c r="CP58" s="9">
        <f t="shared" ref="CP58:CP62" si="78">SUM(BA58:BD58)</f>
        <v>-55</v>
      </c>
      <c r="CQ58" s="9">
        <f t="shared" ref="CQ58:CQ62" si="79">SUM(BE58:BH58)</f>
        <v>-55</v>
      </c>
      <c r="CR58" s="9">
        <f t="shared" ref="CR58:CR62" si="80">SUM(BI58:BL58)</f>
        <v>-23</v>
      </c>
      <c r="CS58" s="9">
        <f t="shared" si="66"/>
        <v>0</v>
      </c>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169</v>
      </c>
      <c r="AW59" s="9">
        <v>0</v>
      </c>
      <c r="AX59" s="9">
        <v>0</v>
      </c>
      <c r="AY59" s="9">
        <v>0</v>
      </c>
      <c r="AZ59" s="1">
        <v>0</v>
      </c>
      <c r="BA59" s="9">
        <v>0</v>
      </c>
      <c r="BB59" s="9">
        <v>0</v>
      </c>
      <c r="BC59" s="9">
        <v>0</v>
      </c>
      <c r="BD59" s="1">
        <v>0</v>
      </c>
      <c r="BE59" s="9">
        <v>0</v>
      </c>
      <c r="BF59" s="9">
        <v>0</v>
      </c>
      <c r="BG59" s="9">
        <v>0</v>
      </c>
      <c r="BH59" s="1">
        <v>0</v>
      </c>
      <c r="BI59" s="9">
        <v>0</v>
      </c>
      <c r="BJ59" s="9">
        <v>0</v>
      </c>
      <c r="BK59" s="9">
        <v>0</v>
      </c>
      <c r="BL59" s="1">
        <v>0</v>
      </c>
      <c r="BM59" s="9">
        <v>-2</v>
      </c>
      <c r="BN59" s="9">
        <v>-2</v>
      </c>
      <c r="BO59" s="9">
        <v>0</v>
      </c>
      <c r="BP59" s="1">
        <f>-4-SUM(BM59:BO59)</f>
        <v>0</v>
      </c>
      <c r="BQ59" s="9">
        <v>-2</v>
      </c>
      <c r="BR59" s="19"/>
      <c r="BS59" s="19"/>
      <c r="BT59" s="19"/>
      <c r="BU59" s="19"/>
      <c r="BV59" s="19"/>
      <c r="BW59" s="19"/>
      <c r="BX59" s="19"/>
      <c r="CO59" s="9">
        <f>SUM(AW59:AZ59)</f>
        <v>0</v>
      </c>
      <c r="CP59" s="9">
        <f t="shared" si="78"/>
        <v>0</v>
      </c>
      <c r="CQ59" s="9">
        <f t="shared" si="79"/>
        <v>0</v>
      </c>
      <c r="CR59" s="9">
        <f t="shared" si="80"/>
        <v>0</v>
      </c>
      <c r="CS59" s="9">
        <f t="shared" si="66"/>
        <v>-4</v>
      </c>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10" customFormat="1" ht="15">
      <c r="B60" s="10" t="s">
        <v>168</v>
      </c>
      <c r="C60" s="10">
        <f t="shared" ref="C60" si="81">C57+C58-C59</f>
        <v>98</v>
      </c>
      <c r="D60" s="10">
        <f t="shared" ref="D60" si="82">D57+D58-D59</f>
        <v>-62</v>
      </c>
      <c r="E60" s="10">
        <f t="shared" ref="E60" si="83">E57+E58-E59</f>
        <v>-13</v>
      </c>
      <c r="F60" s="10">
        <f t="shared" ref="F60" si="84">F57+F58-F59</f>
        <v>158</v>
      </c>
      <c r="G60" s="10">
        <f t="shared" ref="G60" si="85">G57+G58-G59</f>
        <v>-94</v>
      </c>
      <c r="H60" s="10">
        <f t="shared" ref="H60" si="86">H57+H58-H59</f>
        <v>-1076</v>
      </c>
      <c r="I60" s="10">
        <f t="shared" ref="I60" si="87">I57+I58-I59</f>
        <v>-1589</v>
      </c>
      <c r="J60" s="10">
        <f t="shared" ref="J60" si="88">J57+J58-J59</f>
        <v>98</v>
      </c>
      <c r="K60" s="10">
        <f t="shared" ref="K60" si="89">K57+K58-K59</f>
        <v>190</v>
      </c>
      <c r="L60" s="10">
        <f t="shared" ref="L60" si="90">L57+L58-L59</f>
        <v>236</v>
      </c>
      <c r="M60" s="10">
        <f t="shared" ref="M60" si="91">M57+M58-M59</f>
        <v>46</v>
      </c>
      <c r="N60" s="10">
        <f t="shared" ref="N60" si="92">N57+N58-N59</f>
        <v>146</v>
      </c>
      <c r="O60" s="10">
        <f t="shared" ref="O60" si="93">O57+O58-O59</f>
        <v>142</v>
      </c>
      <c r="P60" s="10">
        <f t="shared" ref="P60" si="94">P57+P58-P59</f>
        <v>107</v>
      </c>
      <c r="Q60" s="10">
        <f t="shared" ref="Q60" si="95">Q57+Q58-Q59</f>
        <v>113</v>
      </c>
      <c r="R60" s="10">
        <f t="shared" ref="R60" si="96">R57+R58-R59</f>
        <v>-3578</v>
      </c>
      <c r="S60" s="10">
        <f t="shared" ref="S60" si="97">S57+S58-S59</f>
        <v>-664</v>
      </c>
      <c r="T60" s="10">
        <f t="shared" ref="T60" si="98">T57+T58-T59</f>
        <v>61</v>
      </c>
      <c r="U60" s="10">
        <f t="shared" ref="U60" si="99">U57+U58-U59</f>
        <v>-354</v>
      </c>
      <c r="V60" s="10">
        <f t="shared" ref="V60" si="100">V57+V58-V59</f>
        <v>130</v>
      </c>
      <c r="W60" s="10">
        <f t="shared" ref="W60" si="101">W57+W58-W59</f>
        <v>-5</v>
      </c>
      <c r="X60" s="10">
        <f t="shared" ref="X60" si="102">X57+X58-X59</f>
        <v>108</v>
      </c>
      <c r="Y60" s="10">
        <f t="shared" ref="Y60" si="103">Y57+Y58-Y59</f>
        <v>133</v>
      </c>
      <c r="Z60" s="10">
        <f t="shared" ref="Z60" si="104">Z57+Z58-Z59</f>
        <v>4</v>
      </c>
      <c r="AA60" s="10">
        <f t="shared" ref="AA60" si="105">AA57+AA58-AA59</f>
        <v>43</v>
      </c>
      <c r="AB60" s="10">
        <f t="shared" ref="AB60" si="106">AB57+AB58-AB59</f>
        <v>-299</v>
      </c>
      <c r="AC60" s="10">
        <f t="shared" ref="AC60" si="107">AC57+AC58-AC59</f>
        <v>-1</v>
      </c>
      <c r="AD60" s="10">
        <f t="shared" ref="AD60" si="108">AD57+AD58-AD59</f>
        <v>102</v>
      </c>
      <c r="AE60" s="10">
        <f t="shared" ref="AE60" si="109">AE57+AE58-AE59</f>
        <v>-198</v>
      </c>
      <c r="AF60" s="10">
        <f t="shared" ref="AF60" si="110">AF57+AF58-AF59</f>
        <v>-142</v>
      </c>
      <c r="AG60" s="10">
        <f t="shared" ref="AG60" si="111">AG57+AG58-AG59</f>
        <v>202</v>
      </c>
      <c r="AH60" s="10">
        <f t="shared" ref="AH60" si="112">AH57+AH58-AH59</f>
        <v>-207</v>
      </c>
      <c r="AI60" s="10">
        <f t="shared" ref="AI60" si="113">AI57+AI58-AI59</f>
        <v>228</v>
      </c>
      <c r="AJ60" s="10">
        <f t="shared" ref="AJ60" si="114">AJ57+AJ58-AJ59</f>
        <v>124</v>
      </c>
      <c r="AK60" s="10">
        <f t="shared" ref="AK60" si="115">AK57+AK58-AK59</f>
        <v>290</v>
      </c>
      <c r="AL60" s="10">
        <f t="shared" ref="AL60" si="116">AL57+AL58-AL59</f>
        <v>146</v>
      </c>
      <c r="AM60" s="10">
        <f t="shared" ref="AM60" si="117">AM57+AM58-AM59</f>
        <v>283</v>
      </c>
      <c r="AN60" s="10">
        <f t="shared" ref="AN60" si="118">AN57+AN58-AN59</f>
        <v>-615</v>
      </c>
      <c r="AO60" s="10">
        <f t="shared" ref="AO60" si="119">AO57+AO58-AO59</f>
        <v>297</v>
      </c>
      <c r="AP60" s="10">
        <f t="shared" ref="AP60" si="120">AP57+AP58-AP59</f>
        <v>556</v>
      </c>
      <c r="AQ60" s="10">
        <f t="shared" ref="AQ60" si="121">AQ57+AQ58-AQ59</f>
        <v>432</v>
      </c>
      <c r="AR60" s="10">
        <f t="shared" ref="AR60" si="122">AR57+AR58-AR59</f>
        <v>385</v>
      </c>
      <c r="AS60" s="10">
        <f t="shared" ref="AS60" si="123">AS57+AS58-AS59</f>
        <v>424</v>
      </c>
      <c r="AT60" s="10">
        <f t="shared" ref="AT60" si="124">AT57+AT58-AT59</f>
        <v>154</v>
      </c>
      <c r="AU60" s="10">
        <f t="shared" ref="AU60" si="125">AU57+AU58-AU59</f>
        <v>126</v>
      </c>
      <c r="AV60" s="10">
        <f t="shared" ref="AV60" si="126">AV57+AV58-AV59</f>
        <v>3996</v>
      </c>
      <c r="AW60" s="10">
        <f t="shared" ref="AW60" si="127">AW57+AW58-AW59</f>
        <v>11</v>
      </c>
      <c r="AX60" s="10">
        <f t="shared" ref="AX60" si="128">AX57+AX58-AX59</f>
        <v>-152</v>
      </c>
      <c r="AY60" s="10">
        <f t="shared" ref="AY60:AZ60" si="129">AY57+AY58-AY59</f>
        <v>-169</v>
      </c>
      <c r="AZ60" s="10">
        <f t="shared" si="129"/>
        <v>196</v>
      </c>
      <c r="BA60" s="10">
        <f t="shared" ref="BA60" si="130">BA57+BA58-BA59</f>
        <v>327</v>
      </c>
      <c r="BB60" s="10">
        <f t="shared" ref="BB60" si="131">BB57+BB58-BB59</f>
        <v>172</v>
      </c>
      <c r="BC60" s="10">
        <f t="shared" ref="BC60:BD60" si="132">BC57+BC58-BC59</f>
        <v>405</v>
      </c>
      <c r="BD60" s="10">
        <f t="shared" si="132"/>
        <v>80</v>
      </c>
      <c r="BE60" s="10">
        <f t="shared" ref="BE60" si="133">BE57+BE58-BE59</f>
        <v>97</v>
      </c>
      <c r="BF60" s="10">
        <f t="shared" ref="BF60" si="134">BF57+BF58-BF59</f>
        <v>246</v>
      </c>
      <c r="BG60" s="10">
        <f t="shared" ref="BG60" si="135">BG57+BG58-BG59</f>
        <v>174</v>
      </c>
      <c r="BH60" s="10">
        <f t="shared" ref="BH60:BM60" si="136">BH57+BH58-BH59</f>
        <v>124</v>
      </c>
      <c r="BI60" s="10">
        <f t="shared" si="136"/>
        <v>300</v>
      </c>
      <c r="BJ60" s="10">
        <f t="shared" si="136"/>
        <v>261</v>
      </c>
      <c r="BK60" s="10">
        <f t="shared" si="136"/>
        <v>504</v>
      </c>
      <c r="BL60" s="10">
        <f t="shared" si="136"/>
        <v>504</v>
      </c>
      <c r="BM60" s="10">
        <f t="shared" si="136"/>
        <v>495</v>
      </c>
      <c r="BN60" s="10">
        <f>BN57+BN58-BN59</f>
        <v>324</v>
      </c>
      <c r="BO60" s="10">
        <f t="shared" ref="BO60:BQ60" si="137">BO57+BO58-BO59</f>
        <v>468</v>
      </c>
      <c r="BP60" s="10">
        <f t="shared" si="137"/>
        <v>565</v>
      </c>
      <c r="BQ60" s="10">
        <f t="shared" si="137"/>
        <v>674</v>
      </c>
      <c r="BR60" s="20"/>
      <c r="BS60" s="20"/>
      <c r="BT60" s="20"/>
      <c r="BU60" s="20"/>
      <c r="BV60" s="20"/>
      <c r="BW60" s="20"/>
      <c r="BX60" s="20"/>
      <c r="CD60" s="9"/>
      <c r="CE60" s="9"/>
      <c r="CF60" s="9"/>
      <c r="CG60" s="9"/>
      <c r="CH60" s="9"/>
      <c r="CI60" s="9"/>
      <c r="CJ60" s="9"/>
      <c r="CK60" s="9"/>
      <c r="CL60" s="9"/>
      <c r="CM60" s="9"/>
      <c r="CO60" s="10">
        <f>SUM(AW60:AZ60)</f>
        <v>-114</v>
      </c>
      <c r="CP60" s="10">
        <f t="shared" si="78"/>
        <v>984</v>
      </c>
      <c r="CQ60" s="10">
        <f t="shared" si="79"/>
        <v>641</v>
      </c>
      <c r="CR60" s="10">
        <f t="shared" si="80"/>
        <v>1569</v>
      </c>
      <c r="CS60" s="10">
        <f t="shared" si="66"/>
        <v>1852</v>
      </c>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row>
    <row r="61" spans="2:138" s="9" customFormat="1">
      <c r="B61" s="9" t="s">
        <v>1</v>
      </c>
      <c r="AW61" s="9">
        <v>1397.4</v>
      </c>
      <c r="AX61" s="9">
        <v>1410.9</v>
      </c>
      <c r="AY61" s="9">
        <v>1430.9</v>
      </c>
      <c r="AZ61" s="9">
        <v>1416.7</v>
      </c>
      <c r="BA61" s="9">
        <v>1418.7</v>
      </c>
      <c r="BB61" s="9">
        <v>1421.3</v>
      </c>
      <c r="BC61" s="9">
        <v>1423.8</v>
      </c>
      <c r="BD61" s="9">
        <v>1422.3</v>
      </c>
      <c r="BE61" s="9">
        <v>1427.8</v>
      </c>
      <c r="BF61" s="9">
        <v>1429.7</v>
      </c>
      <c r="BG61" s="9">
        <v>1431.6</v>
      </c>
      <c r="BH61" s="9">
        <v>1430.5</v>
      </c>
      <c r="BI61" s="9">
        <v>1435.8</v>
      </c>
      <c r="BJ61" s="9">
        <v>1446.2</v>
      </c>
      <c r="BK61" s="9">
        <v>1464.5</v>
      </c>
      <c r="BL61" s="9">
        <v>1453</v>
      </c>
      <c r="BM61" s="9">
        <v>1468.4</v>
      </c>
      <c r="BN61" s="9">
        <v>1470.6</v>
      </c>
      <c r="BO61" s="9">
        <v>1472.7</v>
      </c>
      <c r="BP61" s="9">
        <v>1471.5</v>
      </c>
      <c r="BQ61" s="9">
        <v>1477.2</v>
      </c>
      <c r="BR61" s="19"/>
      <c r="BS61" s="19"/>
      <c r="BT61" s="19"/>
      <c r="BU61" s="19"/>
      <c r="BV61" s="19"/>
      <c r="BW61" s="19"/>
      <c r="BX61" s="19"/>
      <c r="CO61" s="9">
        <f>SUM(AW61:AZ61)</f>
        <v>5655.9000000000005</v>
      </c>
      <c r="CP61" s="9">
        <f t="shared" si="78"/>
        <v>5686.1</v>
      </c>
      <c r="CQ61" s="9">
        <f t="shared" si="79"/>
        <v>5719.6</v>
      </c>
      <c r="CR61" s="9">
        <f t="shared" si="80"/>
        <v>5799.5</v>
      </c>
      <c r="CS61" s="9">
        <f t="shared" si="66"/>
        <v>5883.2</v>
      </c>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170</v>
      </c>
      <c r="AW62" s="12">
        <f t="shared" ref="AW62:BH62" si="138">AW60/AW61</f>
        <v>7.8717618434235009E-3</v>
      </c>
      <c r="AX62" s="12">
        <f t="shared" si="138"/>
        <v>-0.10773265291657806</v>
      </c>
      <c r="AY62" s="12">
        <f t="shared" si="138"/>
        <v>-0.11810748479977635</v>
      </c>
      <c r="AZ62" s="12">
        <f t="shared" si="138"/>
        <v>0.13834968588974378</v>
      </c>
      <c r="BA62" s="12">
        <f t="shared" si="138"/>
        <v>0.23049270458870796</v>
      </c>
      <c r="BB62" s="12">
        <f t="shared" si="138"/>
        <v>0.12101597129388589</v>
      </c>
      <c r="BC62" s="12">
        <f t="shared" si="138"/>
        <v>0.28445006321112515</v>
      </c>
      <c r="BD62" s="12">
        <f t="shared" si="138"/>
        <v>5.6246923996343949E-2</v>
      </c>
      <c r="BE62" s="12">
        <f t="shared" si="138"/>
        <v>6.7936685810337585E-2</v>
      </c>
      <c r="BF62" s="12">
        <f t="shared" si="138"/>
        <v>0.1720640693851857</v>
      </c>
      <c r="BG62" s="12">
        <f t="shared" si="138"/>
        <v>0.12154233025984913</v>
      </c>
      <c r="BH62" s="12">
        <f t="shared" si="138"/>
        <v>8.6682977979727363E-2</v>
      </c>
      <c r="BI62" s="12">
        <f t="shared" ref="BI62:BQ62" si="139">BI60/BI61</f>
        <v>0.20894274968658588</v>
      </c>
      <c r="BJ62" s="12">
        <f t="shared" si="139"/>
        <v>0.18047296362882034</v>
      </c>
      <c r="BK62" s="12">
        <f t="shared" si="139"/>
        <v>0.34414475930351657</v>
      </c>
      <c r="BL62" s="12">
        <f t="shared" si="139"/>
        <v>0.34686854783207155</v>
      </c>
      <c r="BM62" s="12">
        <f t="shared" si="139"/>
        <v>0.33710160719150095</v>
      </c>
      <c r="BN62" s="12">
        <f t="shared" si="139"/>
        <v>0.22031823745410037</v>
      </c>
      <c r="BO62" s="12">
        <f t="shared" si="139"/>
        <v>0.31778366266041963</v>
      </c>
      <c r="BP62" s="12">
        <f t="shared" si="139"/>
        <v>0.3839619435949711</v>
      </c>
      <c r="BQ62" s="12">
        <f t="shared" si="139"/>
        <v>0.45626861630111021</v>
      </c>
      <c r="BR62" s="23"/>
      <c r="BS62" s="23"/>
      <c r="BT62" s="23"/>
      <c r="BU62" s="19"/>
      <c r="BV62" s="19"/>
      <c r="BW62" s="19"/>
      <c r="BX62" s="19"/>
      <c r="CN62" s="12"/>
      <c r="CO62" s="12">
        <f>SUM(AW62:AZ62)</f>
        <v>-7.9618689983187135E-2</v>
      </c>
      <c r="CP62" s="12">
        <f t="shared" si="78"/>
        <v>0.69220566309006282</v>
      </c>
      <c r="CQ62" s="12">
        <f t="shared" si="79"/>
        <v>0.44822606343509974</v>
      </c>
      <c r="CR62" s="12">
        <f t="shared" si="80"/>
        <v>1.0804290204509943</v>
      </c>
      <c r="CS62" s="12">
        <f t="shared" si="66"/>
        <v>1.259165450900992</v>
      </c>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ht="1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20"/>
      <c r="BS63" s="20"/>
      <c r="BT63" s="20"/>
      <c r="BU63" s="19"/>
      <c r="BV63" s="19"/>
      <c r="BW63" s="19"/>
      <c r="BX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59</v>
      </c>
      <c r="C64" s="13">
        <f t="shared" ref="C64:BN64" si="140">C42/C40</f>
        <v>0.70158102766798414</v>
      </c>
      <c r="D64" s="13">
        <f t="shared" si="140"/>
        <v>0.66885743174924162</v>
      </c>
      <c r="E64" s="13">
        <f t="shared" si="140"/>
        <v>0.69800995024875623</v>
      </c>
      <c r="F64" s="13">
        <f t="shared" si="140"/>
        <v>0.6962391513982642</v>
      </c>
      <c r="G64" s="13">
        <f t="shared" si="140"/>
        <v>0.68938271604938273</v>
      </c>
      <c r="H64" s="13">
        <f t="shared" si="140"/>
        <v>0.65848965848965846</v>
      </c>
      <c r="I64" s="13">
        <f t="shared" si="140"/>
        <v>0.66173469387755102</v>
      </c>
      <c r="J64" s="13">
        <f t="shared" si="140"/>
        <v>0.66078838174273857</v>
      </c>
      <c r="K64" s="13">
        <f t="shared" si="140"/>
        <v>0.67484342379958251</v>
      </c>
      <c r="L64" s="13">
        <f t="shared" si="140"/>
        <v>0.67082917082917082</v>
      </c>
      <c r="M64" s="13">
        <f t="shared" si="140"/>
        <v>0.67220779220779225</v>
      </c>
      <c r="N64" s="13">
        <f t="shared" si="140"/>
        <v>0.65164556962025322</v>
      </c>
      <c r="O64" s="13">
        <f t="shared" si="140"/>
        <v>0.63713980789754532</v>
      </c>
      <c r="P64" s="13">
        <f t="shared" si="140"/>
        <v>0.6428571428571429</v>
      </c>
      <c r="Q64" s="13">
        <f t="shared" si="140"/>
        <v>0.66184351554126475</v>
      </c>
      <c r="R64" s="13">
        <f t="shared" si="140"/>
        <v>0.6838074398249453</v>
      </c>
      <c r="S64" s="13">
        <f t="shared" si="140"/>
        <v>0.67838616714697408</v>
      </c>
      <c r="T64" s="13">
        <f t="shared" si="140"/>
        <v>0.68021978021978025</v>
      </c>
      <c r="U64" s="13">
        <f t="shared" si="140"/>
        <v>0.67177739920499713</v>
      </c>
      <c r="V64" s="13">
        <f t="shared" si="140"/>
        <v>0.70702045328911001</v>
      </c>
      <c r="W64" s="13">
        <f t="shared" si="140"/>
        <v>0.70605187319884721</v>
      </c>
      <c r="X64" s="13">
        <f t="shared" si="140"/>
        <v>0.69749727965179542</v>
      </c>
      <c r="Y64" s="13">
        <f t="shared" si="140"/>
        <v>0.69729425028184888</v>
      </c>
      <c r="Z64" s="13">
        <f t="shared" si="140"/>
        <v>0.69941270688734647</v>
      </c>
      <c r="AA64" s="13">
        <f t="shared" si="140"/>
        <v>0.70205850487540633</v>
      </c>
      <c r="AB64" s="13">
        <f t="shared" si="140"/>
        <v>0.70323264440911504</v>
      </c>
      <c r="AC64" s="13">
        <f t="shared" si="140"/>
        <v>0.70588235294117652</v>
      </c>
      <c r="AD64" s="13">
        <f t="shared" si="140"/>
        <v>0.70699945740640258</v>
      </c>
      <c r="AE64" s="13">
        <f t="shared" si="140"/>
        <v>0.71451271186440679</v>
      </c>
      <c r="AF64" s="13">
        <f t="shared" si="140"/>
        <v>0.70980788675429729</v>
      </c>
      <c r="AG64" s="13">
        <f t="shared" si="140"/>
        <v>0.7082484725050916</v>
      </c>
      <c r="AH64" s="13">
        <f t="shared" si="140"/>
        <v>0.69943555973659455</v>
      </c>
      <c r="AI64" s="13">
        <f t="shared" si="140"/>
        <v>0.71781472684085512</v>
      </c>
      <c r="AJ64" s="13">
        <f t="shared" si="140"/>
        <v>0.71793701506161567</v>
      </c>
      <c r="AK64" s="13">
        <f t="shared" si="140"/>
        <v>0.69907407407407407</v>
      </c>
      <c r="AL64" s="13">
        <f t="shared" si="140"/>
        <v>0.71998227735932652</v>
      </c>
      <c r="AM64" s="13">
        <f t="shared" si="140"/>
        <v>0.71332133213321336</v>
      </c>
      <c r="AN64" s="13">
        <f t="shared" si="140"/>
        <v>0.72021585720215853</v>
      </c>
      <c r="AO64" s="13">
        <f t="shared" si="140"/>
        <v>0.71752837326607821</v>
      </c>
      <c r="AP64" s="13">
        <f t="shared" si="140"/>
        <v>0.70321285140562251</v>
      </c>
      <c r="AQ64" s="13">
        <f t="shared" si="140"/>
        <v>0.7191809444212286</v>
      </c>
      <c r="AR64" s="13">
        <f t="shared" si="140"/>
        <v>0.71495509566575555</v>
      </c>
      <c r="AS64" s="13">
        <f t="shared" si="140"/>
        <v>0.70718010429201761</v>
      </c>
      <c r="AT64" s="13">
        <f t="shared" si="140"/>
        <v>0.71189661725579623</v>
      </c>
      <c r="AU64" s="13">
        <f t="shared" si="140"/>
        <v>0.71296638345031405</v>
      </c>
      <c r="AV64" s="13">
        <f t="shared" si="140"/>
        <v>0.70695592286501374</v>
      </c>
      <c r="AW64" s="13">
        <f t="shared" si="140"/>
        <v>0.68305151395988994</v>
      </c>
      <c r="AX64" s="13">
        <f t="shared" si="140"/>
        <v>0.60509236145781331</v>
      </c>
      <c r="AY64" s="13">
        <f t="shared" si="140"/>
        <v>0.67318540804813842</v>
      </c>
      <c r="AZ64" s="13">
        <f t="shared" si="140"/>
        <v>0.63109305760709011</v>
      </c>
      <c r="BA64" s="13">
        <f t="shared" si="140"/>
        <v>0.67514534883720934</v>
      </c>
      <c r="BB64" s="13">
        <f t="shared" si="140"/>
        <v>0.69288267793305169</v>
      </c>
      <c r="BC64" s="13">
        <f t="shared" si="140"/>
        <v>0.69304229195088674</v>
      </c>
      <c r="BD64" s="13">
        <f t="shared" si="140"/>
        <v>0.68915893827950114</v>
      </c>
      <c r="BE64" s="13">
        <f t="shared" si="140"/>
        <v>0.68440185062789161</v>
      </c>
      <c r="BF64" s="13">
        <f t="shared" si="140"/>
        <v>0.68834771886559798</v>
      </c>
      <c r="BG64" s="13">
        <f t="shared" si="140"/>
        <v>0.69116719242902214</v>
      </c>
      <c r="BH64" s="13">
        <f t="shared" si="140"/>
        <v>0.68815545959284397</v>
      </c>
      <c r="BI64" s="13">
        <f t="shared" si="140"/>
        <v>0.69312481557981709</v>
      </c>
      <c r="BJ64" s="13">
        <f t="shared" si="140"/>
        <v>0.70602945262572936</v>
      </c>
      <c r="BK64" s="13">
        <f t="shared" si="140"/>
        <v>0.68783668840374257</v>
      </c>
      <c r="BL64" s="13">
        <f t="shared" si="140"/>
        <v>0.69234899328859056</v>
      </c>
      <c r="BM64" s="13">
        <f t="shared" si="140"/>
        <v>0.68654394607207669</v>
      </c>
      <c r="BN64" s="13">
        <f t="shared" si="140"/>
        <v>0.69174757281553401</v>
      </c>
      <c r="BO64" s="13">
        <f t="shared" ref="BO64:BQ64" si="141">BO42/BO40</f>
        <v>0.68828700403896415</v>
      </c>
      <c r="BP64" s="13">
        <f>BP42/BP40</f>
        <v>0.67857925893444415</v>
      </c>
      <c r="BQ64" s="13">
        <f t="shared" si="141"/>
        <v>0.68839802702123098</v>
      </c>
      <c r="BR64" s="21"/>
      <c r="BS64" s="21"/>
      <c r="BT64" s="21"/>
      <c r="BU64" s="19"/>
      <c r="BV64" s="19"/>
      <c r="BW64" s="19"/>
      <c r="BX64" s="19"/>
      <c r="CD64" s="13">
        <f t="shared" ref="CD64:CS64" si="142">CD42/CD40</f>
        <v>0.6853932584269663</v>
      </c>
      <c r="CE64" s="13">
        <f t="shared" si="142"/>
        <v>0.66705098642070204</v>
      </c>
      <c r="CF64" s="13">
        <f t="shared" si="142"/>
        <v>0.65114143269483071</v>
      </c>
      <c r="CG64" s="13">
        <f t="shared" si="142"/>
        <v>0.67595530417988692</v>
      </c>
      <c r="CH64" s="13">
        <f t="shared" si="142"/>
        <v>0.69564608707825848</v>
      </c>
      <c r="CI64" s="13">
        <f t="shared" si="142"/>
        <v>0.70054200542005418</v>
      </c>
      <c r="CJ64" s="13">
        <f t="shared" si="142"/>
        <v>0.709375417948375</v>
      </c>
      <c r="CK64" s="13">
        <f t="shared" si="142"/>
        <v>0.7109468161221083</v>
      </c>
      <c r="CL64" s="13">
        <f t="shared" si="142"/>
        <v>0.71341732979664019</v>
      </c>
      <c r="CM64" s="13">
        <f t="shared" si="142"/>
        <v>0.71363127354168787</v>
      </c>
      <c r="CN64" s="13">
        <f t="shared" si="142"/>
        <v>0.70973451327433623</v>
      </c>
      <c r="CO64" s="13">
        <f t="shared" si="142"/>
        <v>0.65045899324119838</v>
      </c>
      <c r="CP64" s="13">
        <f t="shared" si="142"/>
        <v>0.68783647375504708</v>
      </c>
      <c r="CQ64" s="13">
        <f t="shared" si="142"/>
        <v>0.68806181990222359</v>
      </c>
      <c r="CR64" s="13">
        <f t="shared" si="142"/>
        <v>0.694873595505618</v>
      </c>
      <c r="CS64" s="13">
        <f t="shared" si="142"/>
        <v>0.68609303158774704</v>
      </c>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55</v>
      </c>
      <c r="C65" s="13">
        <f t="shared" ref="C65:AH65" si="143">C43/C40</f>
        <v>0.32361660079051385</v>
      </c>
      <c r="D65" s="13">
        <f t="shared" si="143"/>
        <v>0.30839231547017187</v>
      </c>
      <c r="E65" s="13">
        <f t="shared" si="143"/>
        <v>0.32388059701492539</v>
      </c>
      <c r="F65" s="13">
        <f t="shared" si="143"/>
        <v>0.3235294117647059</v>
      </c>
      <c r="G65" s="13">
        <f t="shared" si="143"/>
        <v>0.32839506172839505</v>
      </c>
      <c r="H65" s="13">
        <f t="shared" si="143"/>
        <v>0.31168831168831168</v>
      </c>
      <c r="I65" s="13">
        <f t="shared" si="143"/>
        <v>0.32040816326530613</v>
      </c>
      <c r="J65" s="13">
        <f t="shared" si="143"/>
        <v>0.32883817427385892</v>
      </c>
      <c r="K65" s="13">
        <f t="shared" si="143"/>
        <v>0.33089770354906056</v>
      </c>
      <c r="L65" s="13">
        <f t="shared" si="143"/>
        <v>0.34265734265734266</v>
      </c>
      <c r="M65" s="13">
        <f t="shared" si="143"/>
        <v>0.31272727272727274</v>
      </c>
      <c r="N65" s="13">
        <f t="shared" si="143"/>
        <v>0.32860759493670888</v>
      </c>
      <c r="O65" s="13">
        <f t="shared" si="143"/>
        <v>0.33884738527214514</v>
      </c>
      <c r="P65" s="13">
        <f t="shared" si="143"/>
        <v>0.32900432900432902</v>
      </c>
      <c r="Q65" s="13">
        <f t="shared" si="143"/>
        <v>0.35852090032154343</v>
      </c>
      <c r="R65" s="13">
        <f t="shared" si="143"/>
        <v>0.35503282275711162</v>
      </c>
      <c r="S65" s="13">
        <f t="shared" si="143"/>
        <v>0.32795389048991352</v>
      </c>
      <c r="T65" s="13">
        <f t="shared" si="143"/>
        <v>0.35274725274725277</v>
      </c>
      <c r="U65" s="13">
        <f t="shared" si="143"/>
        <v>0.34525837592277114</v>
      </c>
      <c r="V65" s="13">
        <f t="shared" si="143"/>
        <v>0.36539524599226092</v>
      </c>
      <c r="W65" s="13">
        <f t="shared" si="143"/>
        <v>0.37925072046109509</v>
      </c>
      <c r="X65" s="13">
        <f t="shared" si="143"/>
        <v>0.40859630032644179</v>
      </c>
      <c r="Y65" s="13">
        <f t="shared" si="143"/>
        <v>0.37542277339346108</v>
      </c>
      <c r="Z65" s="13">
        <f t="shared" si="143"/>
        <v>0.39668980245595303</v>
      </c>
      <c r="AA65" s="13">
        <f t="shared" si="143"/>
        <v>0.40140845070422537</v>
      </c>
      <c r="AB65" s="13">
        <f t="shared" si="143"/>
        <v>0.39851616322204558</v>
      </c>
      <c r="AC65" s="13">
        <f t="shared" si="143"/>
        <v>0.37782805429864252</v>
      </c>
      <c r="AD65" s="13">
        <f t="shared" si="143"/>
        <v>0.37981551817688552</v>
      </c>
      <c r="AE65" s="13">
        <f t="shared" si="143"/>
        <v>0.3861228813559322</v>
      </c>
      <c r="AF65" s="13">
        <f t="shared" si="143"/>
        <v>0.39231547017189078</v>
      </c>
      <c r="AG65" s="13">
        <f t="shared" si="143"/>
        <v>0.36456211812627293</v>
      </c>
      <c r="AH65" s="13">
        <f t="shared" si="143"/>
        <v>0.36641580432737536</v>
      </c>
      <c r="AI65" s="13">
        <f t="shared" ref="AI65:BQ65" si="144">AI43/AI40</f>
        <v>0.36674584323040382</v>
      </c>
      <c r="AJ65" s="13">
        <f t="shared" si="144"/>
        <v>0.37973528069374712</v>
      </c>
      <c r="AK65" s="13">
        <f t="shared" si="144"/>
        <v>0.36759259259259258</v>
      </c>
      <c r="AL65" s="13">
        <f t="shared" si="144"/>
        <v>0.36109880372175457</v>
      </c>
      <c r="AM65" s="13">
        <f t="shared" si="144"/>
        <v>0.36003600360036003</v>
      </c>
      <c r="AN65" s="13">
        <f t="shared" si="144"/>
        <v>0.36737235367372356</v>
      </c>
      <c r="AO65" s="13">
        <f t="shared" si="144"/>
        <v>0.36149642707019758</v>
      </c>
      <c r="AP65" s="13">
        <f t="shared" si="144"/>
        <v>0.35582329317269074</v>
      </c>
      <c r="AQ65" s="13">
        <f t="shared" si="144"/>
        <v>0.36356038445465944</v>
      </c>
      <c r="AR65" s="13">
        <f t="shared" si="144"/>
        <v>0.37212026552128075</v>
      </c>
      <c r="AS65" s="13">
        <f t="shared" si="144"/>
        <v>0.34857601283594064</v>
      </c>
      <c r="AT65" s="13">
        <f t="shared" si="144"/>
        <v>0.36792094260737362</v>
      </c>
      <c r="AU65" s="13">
        <f t="shared" si="144"/>
        <v>0.37384558551902475</v>
      </c>
      <c r="AV65" s="13">
        <f t="shared" si="144"/>
        <v>0.37603305785123969</v>
      </c>
      <c r="AW65" s="13">
        <f t="shared" si="144"/>
        <v>0.38458513566653557</v>
      </c>
      <c r="AX65" s="13">
        <f t="shared" si="144"/>
        <v>0.39840239640539193</v>
      </c>
      <c r="AY65" s="13">
        <f t="shared" si="144"/>
        <v>0.37006393380970287</v>
      </c>
      <c r="AZ65" s="13">
        <f t="shared" si="144"/>
        <v>0.37924667651403249</v>
      </c>
      <c r="BA65" s="13">
        <f t="shared" si="144"/>
        <v>0.37027616279069769</v>
      </c>
      <c r="BB65" s="13">
        <f t="shared" si="144"/>
        <v>0.36431589210269744</v>
      </c>
      <c r="BC65" s="13">
        <f t="shared" si="144"/>
        <v>0.36357435197817189</v>
      </c>
      <c r="BD65" s="13">
        <f t="shared" si="144"/>
        <v>0.36872401662935722</v>
      </c>
      <c r="BE65" s="13">
        <f t="shared" si="144"/>
        <v>0.35029742233972239</v>
      </c>
      <c r="BF65" s="13">
        <f t="shared" si="144"/>
        <v>0.35912453760789148</v>
      </c>
      <c r="BG65" s="13">
        <f t="shared" si="144"/>
        <v>0.35709779179810724</v>
      </c>
      <c r="BH65" s="13">
        <f t="shared" si="144"/>
        <v>0.35872917951881556</v>
      </c>
      <c r="BI65" s="13">
        <f t="shared" si="144"/>
        <v>0.35851283564473296</v>
      </c>
      <c r="BJ65" s="13">
        <f t="shared" si="144"/>
        <v>0.37621561544873577</v>
      </c>
      <c r="BK65" s="13">
        <f t="shared" si="144"/>
        <v>0.3521406294301106</v>
      </c>
      <c r="BL65" s="13">
        <f t="shared" si="144"/>
        <v>0.37020134228187918</v>
      </c>
      <c r="BM65" s="13">
        <f t="shared" si="144"/>
        <v>0.35364272750842624</v>
      </c>
      <c r="BN65" s="13">
        <f t="shared" si="144"/>
        <v>0.35097087378640779</v>
      </c>
      <c r="BO65" s="13">
        <f t="shared" si="144"/>
        <v>0.37110952720361129</v>
      </c>
      <c r="BP65" s="13">
        <f t="shared" si="144"/>
        <v>0.3534312650734488</v>
      </c>
      <c r="BQ65" s="13">
        <f t="shared" si="144"/>
        <v>0.34248337979841303</v>
      </c>
      <c r="BR65" s="21"/>
      <c r="BS65" s="21"/>
      <c r="BT65" s="21"/>
      <c r="BU65" s="19"/>
      <c r="BV65" s="19"/>
      <c r="BW65" s="19"/>
      <c r="BX65" s="19"/>
      <c r="CD65" s="13">
        <f t="shared" ref="CD65:CS65" si="145">CD43/CD40</f>
        <v>0.32181240840254033</v>
      </c>
      <c r="CE65" s="13">
        <f t="shared" si="145"/>
        <v>0.33077120163976426</v>
      </c>
      <c r="CF65" s="13">
        <f t="shared" si="145"/>
        <v>0.32721070585148254</v>
      </c>
      <c r="CG65" s="13">
        <f t="shared" si="145"/>
        <v>0.34887570699406817</v>
      </c>
      <c r="CH65" s="13">
        <f t="shared" si="145"/>
        <v>0.37491250174996499</v>
      </c>
      <c r="CI65" s="13">
        <f t="shared" si="145"/>
        <v>0.39322493224932248</v>
      </c>
      <c r="CJ65" s="13">
        <f t="shared" si="145"/>
        <v>0.38424501805536981</v>
      </c>
      <c r="CK65" s="13">
        <f t="shared" si="145"/>
        <v>0.36954447889339376</v>
      </c>
      <c r="CL65" s="13">
        <f t="shared" si="145"/>
        <v>0.36405835543766579</v>
      </c>
      <c r="CM65" s="13">
        <f t="shared" si="145"/>
        <v>0.36333095795581799</v>
      </c>
      <c r="CN65" s="13">
        <f t="shared" si="145"/>
        <v>0.36711690731252911</v>
      </c>
      <c r="CO65" s="13">
        <f t="shared" si="145"/>
        <v>0.38202360536669022</v>
      </c>
      <c r="CP65" s="13">
        <f t="shared" si="145"/>
        <v>0.36667227456258411</v>
      </c>
      <c r="CQ65" s="13">
        <f t="shared" si="145"/>
        <v>0.35641066077905692</v>
      </c>
      <c r="CR65" s="13">
        <f t="shared" si="145"/>
        <v>0.36446629213483145</v>
      </c>
      <c r="CS65" s="13">
        <f t="shared" si="145"/>
        <v>0.35731772854839672</v>
      </c>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9" customFormat="1">
      <c r="B66" s="9" t="s">
        <v>56</v>
      </c>
      <c r="C66" s="13">
        <f t="shared" ref="C66:BN66" si="146">C44/C40</f>
        <v>0.13290513833992096</v>
      </c>
      <c r="D66" s="13">
        <f t="shared" si="146"/>
        <v>0.12335692618806876</v>
      </c>
      <c r="E66" s="13">
        <f t="shared" si="146"/>
        <v>0.12786069651741294</v>
      </c>
      <c r="F66" s="13">
        <f t="shared" si="146"/>
        <v>0.13500482160077146</v>
      </c>
      <c r="G66" s="13">
        <f t="shared" si="146"/>
        <v>0.12740740740740741</v>
      </c>
      <c r="H66" s="13">
        <f t="shared" si="146"/>
        <v>0.12554112554112554</v>
      </c>
      <c r="I66" s="13">
        <f t="shared" si="146"/>
        <v>0.12908163265306122</v>
      </c>
      <c r="J66" s="13">
        <f t="shared" si="146"/>
        <v>0.12033195020746888</v>
      </c>
      <c r="K66" s="13">
        <f t="shared" si="146"/>
        <v>0.12004175365344467</v>
      </c>
      <c r="L66" s="13">
        <f t="shared" si="146"/>
        <v>0.11188811188811189</v>
      </c>
      <c r="M66" s="13">
        <f t="shared" si="146"/>
        <v>0.11012987012987013</v>
      </c>
      <c r="N66" s="13">
        <f t="shared" si="146"/>
        <v>0.11291139240506329</v>
      </c>
      <c r="O66" s="13">
        <f t="shared" si="146"/>
        <v>0.12219850586979722</v>
      </c>
      <c r="P66" s="13">
        <f t="shared" si="146"/>
        <v>0.125</v>
      </c>
      <c r="Q66" s="13">
        <f t="shared" si="146"/>
        <v>0.11521972132904609</v>
      </c>
      <c r="R66" s="13">
        <f t="shared" si="146"/>
        <v>0.11652078774617068</v>
      </c>
      <c r="S66" s="13">
        <f t="shared" si="146"/>
        <v>0.12680115273775217</v>
      </c>
      <c r="T66" s="13">
        <f t="shared" si="146"/>
        <v>0.13076923076923078</v>
      </c>
      <c r="U66" s="13">
        <f t="shared" si="146"/>
        <v>0.11584327086882454</v>
      </c>
      <c r="V66" s="13">
        <f t="shared" si="146"/>
        <v>0.12327252625760088</v>
      </c>
      <c r="W66" s="13">
        <f t="shared" si="146"/>
        <v>0.12507204610951009</v>
      </c>
      <c r="X66" s="13">
        <f t="shared" si="146"/>
        <v>0.11806311207834602</v>
      </c>
      <c r="Y66" s="13">
        <f t="shared" si="146"/>
        <v>0.10766629086809471</v>
      </c>
      <c r="Z66" s="13">
        <f t="shared" si="146"/>
        <v>0.10998398291510945</v>
      </c>
      <c r="AA66" s="13">
        <f t="shared" si="146"/>
        <v>0.11484290357529794</v>
      </c>
      <c r="AB66" s="13">
        <f t="shared" si="146"/>
        <v>0.11022787493375728</v>
      </c>
      <c r="AC66" s="13">
        <f t="shared" si="146"/>
        <v>0.10859728506787331</v>
      </c>
      <c r="AD66" s="13">
        <f t="shared" si="146"/>
        <v>0.11937059142702117</v>
      </c>
      <c r="AE66" s="13">
        <f t="shared" si="146"/>
        <v>0.11705508474576271</v>
      </c>
      <c r="AF66" s="13">
        <f t="shared" si="146"/>
        <v>0.12285136501516683</v>
      </c>
      <c r="AG66" s="13">
        <f t="shared" si="146"/>
        <v>0.10692464358452139</v>
      </c>
      <c r="AH66" s="13">
        <f t="shared" si="146"/>
        <v>0.10442144873000941</v>
      </c>
      <c r="AI66" s="13">
        <f t="shared" si="146"/>
        <v>0.11021377672209026</v>
      </c>
      <c r="AJ66" s="13">
        <f t="shared" si="146"/>
        <v>0.11684162482884528</v>
      </c>
      <c r="AK66" s="13">
        <f t="shared" si="146"/>
        <v>0.10879629629629629</v>
      </c>
      <c r="AL66" s="13">
        <f t="shared" si="146"/>
        <v>0.10810810810810811</v>
      </c>
      <c r="AM66" s="13">
        <f t="shared" si="146"/>
        <v>0.11431143114311432</v>
      </c>
      <c r="AN66" s="13">
        <f t="shared" si="146"/>
        <v>0.1095890410958904</v>
      </c>
      <c r="AO66" s="13">
        <f t="shared" si="146"/>
        <v>0.10970996216897856</v>
      </c>
      <c r="AP66" s="13">
        <f t="shared" si="146"/>
        <v>0.11044176706827309</v>
      </c>
      <c r="AQ66" s="13">
        <f t="shared" si="146"/>
        <v>0.12076890931884664</v>
      </c>
      <c r="AR66" s="13">
        <f t="shared" si="146"/>
        <v>0.11245607184693479</v>
      </c>
      <c r="AS66" s="13">
        <f t="shared" si="146"/>
        <v>0.11231448054552748</v>
      </c>
      <c r="AT66" s="13">
        <f t="shared" si="146"/>
        <v>0.1064234131508932</v>
      </c>
      <c r="AU66" s="13">
        <f t="shared" si="146"/>
        <v>0.11304026597709642</v>
      </c>
      <c r="AV66" s="13">
        <f t="shared" si="146"/>
        <v>0.10606060606060606</v>
      </c>
      <c r="AW66" s="13">
        <f t="shared" si="146"/>
        <v>0.11797090051120723</v>
      </c>
      <c r="AX66" s="13">
        <f t="shared" si="146"/>
        <v>0.12081877184223665</v>
      </c>
      <c r="AY66" s="13">
        <f t="shared" si="146"/>
        <v>0.11846558856713051</v>
      </c>
      <c r="AZ66" s="13">
        <f t="shared" si="146"/>
        <v>0.10561299852289513</v>
      </c>
      <c r="BA66" s="13">
        <f t="shared" si="146"/>
        <v>0.1002906976744186</v>
      </c>
      <c r="BB66" s="13">
        <f t="shared" si="146"/>
        <v>9.684757881052973E-2</v>
      </c>
      <c r="BC66" s="13">
        <f t="shared" si="146"/>
        <v>0.10572987721691678</v>
      </c>
      <c r="BD66" s="13">
        <f t="shared" si="146"/>
        <v>0.10233450591621363</v>
      </c>
      <c r="BE66" s="13">
        <f t="shared" si="146"/>
        <v>0.10541969596827495</v>
      </c>
      <c r="BF66" s="13">
        <f t="shared" si="146"/>
        <v>0.1032675709001233</v>
      </c>
      <c r="BG66" s="13">
        <f t="shared" si="146"/>
        <v>0.10694006309148266</v>
      </c>
      <c r="BH66" s="13">
        <f t="shared" si="146"/>
        <v>0.10178901912399753</v>
      </c>
      <c r="BI66" s="13">
        <f t="shared" si="146"/>
        <v>9.9439362643847742E-2</v>
      </c>
      <c r="BJ66" s="13">
        <f t="shared" si="146"/>
        <v>9.9749930536260079E-2</v>
      </c>
      <c r="BK66" s="13">
        <f t="shared" si="146"/>
        <v>0.10093563935355826</v>
      </c>
      <c r="BL66" s="13">
        <f t="shared" si="146"/>
        <v>9.7181208053691279E-2</v>
      </c>
      <c r="BM66" s="13">
        <f t="shared" si="146"/>
        <v>9.4892403422348975E-2</v>
      </c>
      <c r="BN66" s="13">
        <f t="shared" si="146"/>
        <v>9.2961165048543695E-2</v>
      </c>
      <c r="BO66" s="13">
        <f t="shared" ref="BO66:BQ66" si="147">BO44/BO40</f>
        <v>9.6697552862912803E-2</v>
      </c>
      <c r="BP66" s="13">
        <f>BP44/BP40</f>
        <v>0.10063582547686911</v>
      </c>
      <c r="BQ66" s="13">
        <f t="shared" si="147"/>
        <v>9.5003216813210375E-2</v>
      </c>
      <c r="BR66" s="21"/>
      <c r="BS66" s="21"/>
      <c r="BT66" s="21"/>
      <c r="BU66" s="19"/>
      <c r="BV66" s="19"/>
      <c r="BW66" s="19"/>
      <c r="BX66" s="19"/>
      <c r="CD66" s="13">
        <f t="shared" ref="CD66:CS66" si="148">CD44/CD40</f>
        <v>0.12896922325354176</v>
      </c>
      <c r="CE66" s="13">
        <f t="shared" si="148"/>
        <v>0.12029208301306688</v>
      </c>
      <c r="CF66" s="13">
        <f t="shared" si="148"/>
        <v>0.11742324849120965</v>
      </c>
      <c r="CG66" s="13">
        <f t="shared" si="148"/>
        <v>0.12222375500068976</v>
      </c>
      <c r="CH66" s="13">
        <f t="shared" si="148"/>
        <v>0.12053758924821503</v>
      </c>
      <c r="CI66" s="13">
        <f t="shared" si="148"/>
        <v>0.11070460704607046</v>
      </c>
      <c r="CJ66" s="13">
        <f t="shared" si="148"/>
        <v>0.11715928848468637</v>
      </c>
      <c r="CK66" s="13">
        <f t="shared" si="148"/>
        <v>0.10970665394705462</v>
      </c>
      <c r="CL66" s="13">
        <f t="shared" si="148"/>
        <v>0.11019009725906277</v>
      </c>
      <c r="CM66" s="13">
        <f t="shared" si="148"/>
        <v>0.11330550748243917</v>
      </c>
      <c r="CN66" s="13">
        <f t="shared" si="148"/>
        <v>0.10936190032603633</v>
      </c>
      <c r="CO66" s="13">
        <f t="shared" si="148"/>
        <v>0.11530313729446182</v>
      </c>
      <c r="CP66" s="13">
        <f t="shared" si="148"/>
        <v>0.10127860026917901</v>
      </c>
      <c r="CQ66" s="13">
        <f t="shared" si="148"/>
        <v>0.10432108500236556</v>
      </c>
      <c r="CR66" s="13">
        <f t="shared" si="148"/>
        <v>9.9297752808988768E-2</v>
      </c>
      <c r="CS66" s="13">
        <f t="shared" si="148"/>
        <v>9.6435182420732068E-2</v>
      </c>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row>
    <row r="67" spans="2:138" s="9" customFormat="1">
      <c r="B67" s="9" t="s">
        <v>58</v>
      </c>
      <c r="C67" s="13">
        <f t="shared" ref="C67:BN67" si="149">C52/C40</f>
        <v>0.14970355731225296</v>
      </c>
      <c r="D67" s="13">
        <f t="shared" si="149"/>
        <v>1.4155712841253791E-2</v>
      </c>
      <c r="E67" s="13">
        <f t="shared" si="149"/>
        <v>5.4726368159203984E-3</v>
      </c>
      <c r="F67" s="13">
        <f t="shared" si="149"/>
        <v>0.13259402121504341</v>
      </c>
      <c r="G67" s="13">
        <f t="shared" si="149"/>
        <v>2.5185185185185185E-2</v>
      </c>
      <c r="H67" s="13">
        <f t="shared" si="149"/>
        <v>-0.59211159211159214</v>
      </c>
      <c r="I67" s="13">
        <f t="shared" si="149"/>
        <v>-0.75816326530612244</v>
      </c>
      <c r="J67" s="13">
        <f t="shared" si="149"/>
        <v>0.11981327800829876</v>
      </c>
      <c r="K67" s="13">
        <f t="shared" si="149"/>
        <v>0.13100208768267224</v>
      </c>
      <c r="L67" s="13">
        <f t="shared" si="149"/>
        <v>0.17382617382617382</v>
      </c>
      <c r="M67" s="13">
        <f t="shared" si="149"/>
        <v>0.16727272727272727</v>
      </c>
      <c r="N67" s="13">
        <f t="shared" si="149"/>
        <v>0.12</v>
      </c>
      <c r="O67" s="13">
        <f t="shared" si="149"/>
        <v>9.2849519743863393E-2</v>
      </c>
      <c r="P67" s="13">
        <f t="shared" si="149"/>
        <v>9.2532467532467536E-2</v>
      </c>
      <c r="Q67" s="13">
        <f t="shared" si="149"/>
        <v>0.10503751339764202</v>
      </c>
      <c r="R67" s="13">
        <f t="shared" si="149"/>
        <v>-1.9622538293216629</v>
      </c>
      <c r="S67" s="13">
        <f t="shared" si="149"/>
        <v>-0.34236311239193085</v>
      </c>
      <c r="T67" s="13">
        <f t="shared" si="149"/>
        <v>6.4285714285714279E-2</v>
      </c>
      <c r="U67" s="13">
        <f t="shared" si="149"/>
        <v>-0.18739352640545145</v>
      </c>
      <c r="V67" s="13">
        <f t="shared" si="149"/>
        <v>0.12161415146489774</v>
      </c>
      <c r="W67" s="13">
        <f t="shared" si="149"/>
        <v>5.936599423631124E-2</v>
      </c>
      <c r="X67" s="13">
        <f t="shared" si="149"/>
        <v>6.9096844396082699E-2</v>
      </c>
      <c r="Y67" s="13">
        <f t="shared" si="149"/>
        <v>0.11104847801578353</v>
      </c>
      <c r="Z67" s="13">
        <f t="shared" si="149"/>
        <v>-3.6839295248264813E-2</v>
      </c>
      <c r="AA67" s="13">
        <f t="shared" si="149"/>
        <v>3.4669555796316358E-2</v>
      </c>
      <c r="AB67" s="13">
        <f t="shared" si="149"/>
        <v>-0.26126126126126126</v>
      </c>
      <c r="AC67" s="13">
        <f t="shared" si="149"/>
        <v>1.3574660633484163E-2</v>
      </c>
      <c r="AD67" s="13">
        <f t="shared" si="149"/>
        <v>0.11882799782962561</v>
      </c>
      <c r="AE67" s="13">
        <f t="shared" si="149"/>
        <v>-0.1583686440677966</v>
      </c>
      <c r="AF67" s="13">
        <f t="shared" si="149"/>
        <v>-0.1147623862487361</v>
      </c>
      <c r="AG67" s="13">
        <f t="shared" si="149"/>
        <v>0.14918533604887985</v>
      </c>
      <c r="AH67" s="13">
        <f t="shared" si="149"/>
        <v>-0.15710253998118531</v>
      </c>
      <c r="AI67" s="13">
        <f t="shared" si="149"/>
        <v>0.16532066508313539</v>
      </c>
      <c r="AJ67" s="13">
        <f t="shared" si="149"/>
        <v>6.3897763578274758E-2</v>
      </c>
      <c r="AK67" s="13">
        <f t="shared" si="149"/>
        <v>0.16851851851851851</v>
      </c>
      <c r="AL67" s="13">
        <f t="shared" si="149"/>
        <v>9.9689853788214447E-2</v>
      </c>
      <c r="AM67" s="13">
        <f t="shared" si="149"/>
        <v>0.16966696669666967</v>
      </c>
      <c r="AN67" s="13">
        <f t="shared" si="149"/>
        <v>0.13242009132420091</v>
      </c>
      <c r="AO67" s="13">
        <f t="shared" si="149"/>
        <v>0.1710802858343842</v>
      </c>
      <c r="AP67" s="13">
        <f t="shared" si="149"/>
        <v>0.157429718875502</v>
      </c>
      <c r="AQ67" s="13">
        <f t="shared" si="149"/>
        <v>0.16213957375679064</v>
      </c>
      <c r="AR67" s="13">
        <f t="shared" si="149"/>
        <v>0.12456071846934791</v>
      </c>
      <c r="AS67" s="13">
        <f t="shared" si="149"/>
        <v>0.21700762133975129</v>
      </c>
      <c r="AT67" s="13">
        <f t="shared" si="149"/>
        <v>0.1459521094640821</v>
      </c>
      <c r="AU67" s="13">
        <f t="shared" si="149"/>
        <v>0.14148503878832655</v>
      </c>
      <c r="AV67" s="13">
        <f t="shared" si="149"/>
        <v>7.2314049586776855E-2</v>
      </c>
      <c r="AW67" s="13">
        <f t="shared" si="149"/>
        <v>5.7412504915454188E-2</v>
      </c>
      <c r="AX67" s="13">
        <f t="shared" si="149"/>
        <v>-3.5446829755366949E-2</v>
      </c>
      <c r="AY67" s="13">
        <f t="shared" si="149"/>
        <v>-7.7096652877021443E-2</v>
      </c>
      <c r="AZ67" s="13">
        <f t="shared" si="149"/>
        <v>1.8463810930576072E-2</v>
      </c>
      <c r="BA67" s="13">
        <f t="shared" si="149"/>
        <v>0.13444767441860464</v>
      </c>
      <c r="BB67" s="13">
        <f t="shared" si="149"/>
        <v>8.5147871303217423E-2</v>
      </c>
      <c r="BC67" s="13">
        <f t="shared" si="149"/>
        <v>0.13199181446111868</v>
      </c>
      <c r="BD67" s="13">
        <f t="shared" si="149"/>
        <v>5.7243364246881999E-2</v>
      </c>
      <c r="BE67" s="13">
        <f t="shared" si="149"/>
        <v>0.15399867812293458</v>
      </c>
      <c r="BF67" s="13">
        <f t="shared" si="149"/>
        <v>0.13039457459926018</v>
      </c>
      <c r="BG67" s="13">
        <f t="shared" si="149"/>
        <v>0.11293375394321767</v>
      </c>
      <c r="BH67" s="13">
        <f t="shared" si="149"/>
        <v>0.12338062924120913</v>
      </c>
      <c r="BI67" s="13">
        <f t="shared" si="149"/>
        <v>0.16287990557686632</v>
      </c>
      <c r="BJ67" s="13">
        <f t="shared" si="149"/>
        <v>0.14281744929146986</v>
      </c>
      <c r="BK67" s="13">
        <f t="shared" si="149"/>
        <v>0.19648426424723561</v>
      </c>
      <c r="BL67" s="13">
        <f t="shared" si="149"/>
        <v>0.15677852348993288</v>
      </c>
      <c r="BM67" s="13">
        <f t="shared" si="149"/>
        <v>0.17500648172154523</v>
      </c>
      <c r="BN67" s="13">
        <f t="shared" si="149"/>
        <v>0.12621359223300971</v>
      </c>
      <c r="BO67" s="13">
        <f t="shared" ref="BO67:BQ67" si="150">BO52/BO40</f>
        <v>0.17415062960323116</v>
      </c>
      <c r="BP67" s="13">
        <f>BP52/BP40</f>
        <v>0.14843236132427098</v>
      </c>
      <c r="BQ67" s="13">
        <f t="shared" si="150"/>
        <v>0.19751233111730646</v>
      </c>
      <c r="BR67" s="21"/>
      <c r="BS67" s="21"/>
      <c r="BT67" s="21"/>
      <c r="BU67" s="19"/>
      <c r="BV67" s="19"/>
      <c r="BW67" s="19"/>
      <c r="BX67" s="19"/>
      <c r="CD67" s="13">
        <f t="shared" ref="CD67:CS67" si="151">CD52/CD40</f>
        <v>-0.10918417195896434</v>
      </c>
      <c r="CE67" s="13">
        <f t="shared" si="151"/>
        <v>-8.4037919549064824E-2</v>
      </c>
      <c r="CF67" s="13">
        <f t="shared" si="151"/>
        <v>0.11860404093413802</v>
      </c>
      <c r="CG67" s="13">
        <f t="shared" si="151"/>
        <v>-0.5335908401158781</v>
      </c>
      <c r="CH67" s="13">
        <f t="shared" si="151"/>
        <v>1.6799664006719867E-2</v>
      </c>
      <c r="CI67" s="13">
        <f t="shared" si="151"/>
        <v>-4.0785907859078589E-2</v>
      </c>
      <c r="CJ67" s="13">
        <f t="shared" si="151"/>
        <v>-3.7849404841513973E-2</v>
      </c>
      <c r="CK67" s="13">
        <f t="shared" si="151"/>
        <v>5.3303124254710232E-2</v>
      </c>
      <c r="CL67" s="13">
        <f t="shared" si="151"/>
        <v>0.14202033598585323</v>
      </c>
      <c r="CM67" s="13">
        <f t="shared" si="151"/>
        <v>0.15331365163392038</v>
      </c>
      <c r="CN67" s="13">
        <f t="shared" si="151"/>
        <v>0.14140661387983233</v>
      </c>
      <c r="CO67" s="13">
        <f t="shared" si="151"/>
        <v>-8.0702108342580441E-3</v>
      </c>
      <c r="CP67" s="13">
        <f t="shared" si="151"/>
        <v>0.10077388963660834</v>
      </c>
      <c r="CQ67" s="13">
        <f t="shared" si="151"/>
        <v>0.12986910581927141</v>
      </c>
      <c r="CR67" s="13">
        <f t="shared" si="151"/>
        <v>0.16453651685393259</v>
      </c>
      <c r="CS67" s="13">
        <f t="shared" si="151"/>
        <v>0.15555024780557711</v>
      </c>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57</v>
      </c>
      <c r="C68" s="13">
        <f t="shared" ref="C68:BN68" si="152">C57/C40</f>
        <v>4.8418972332015808E-2</v>
      </c>
      <c r="D68" s="13">
        <f t="shared" si="152"/>
        <v>-3.1344792719919107E-2</v>
      </c>
      <c r="E68" s="13">
        <f t="shared" si="152"/>
        <v>-6.4676616915422883E-3</v>
      </c>
      <c r="F68" s="13">
        <f t="shared" si="152"/>
        <v>7.6181292189006752E-2</v>
      </c>
      <c r="G68" s="13">
        <f t="shared" si="152"/>
        <v>-4.6419753086419754E-2</v>
      </c>
      <c r="H68" s="13">
        <f t="shared" si="152"/>
        <v>-0.51755651755651755</v>
      </c>
      <c r="I68" s="13">
        <f t="shared" si="152"/>
        <v>-0.81071428571428572</v>
      </c>
      <c r="J68" s="13">
        <f t="shared" si="152"/>
        <v>5.0829875518672199E-2</v>
      </c>
      <c r="K68" s="13">
        <f t="shared" si="152"/>
        <v>9.916492693110647E-2</v>
      </c>
      <c r="L68" s="13">
        <f t="shared" si="152"/>
        <v>0.11788211788211789</v>
      </c>
      <c r="M68" s="13">
        <f t="shared" si="152"/>
        <v>2.3896103896103898E-2</v>
      </c>
      <c r="N68" s="13">
        <f t="shared" si="152"/>
        <v>7.3924050632911395E-2</v>
      </c>
      <c r="O68" s="13">
        <f t="shared" si="152"/>
        <v>7.577374599786553E-2</v>
      </c>
      <c r="P68" s="13">
        <f t="shared" si="152"/>
        <v>5.7900432900432904E-2</v>
      </c>
      <c r="Q68" s="13">
        <f t="shared" si="152"/>
        <v>6.0557341907824226E-2</v>
      </c>
      <c r="R68" s="13">
        <f t="shared" si="152"/>
        <v>-1.9573304157549234</v>
      </c>
      <c r="S68" s="13">
        <f t="shared" si="152"/>
        <v>-0.38270893371757925</v>
      </c>
      <c r="T68" s="13">
        <f t="shared" si="152"/>
        <v>3.3516483516483515E-2</v>
      </c>
      <c r="U68" s="13">
        <f t="shared" si="152"/>
        <v>-0.20102214650766609</v>
      </c>
      <c r="V68" s="13">
        <f t="shared" si="152"/>
        <v>7.1862907683803212E-2</v>
      </c>
      <c r="W68" s="13">
        <f t="shared" si="152"/>
        <v>-2.881844380403458E-3</v>
      </c>
      <c r="X68" s="13">
        <f t="shared" si="152"/>
        <v>5.8759521218715999E-2</v>
      </c>
      <c r="Y68" s="13">
        <f t="shared" si="152"/>
        <v>7.4971815107102588E-2</v>
      </c>
      <c r="Z68" s="13">
        <f t="shared" si="152"/>
        <v>2.1356113187399892E-3</v>
      </c>
      <c r="AA68" s="13">
        <f t="shared" si="152"/>
        <v>2.3293607800650054E-2</v>
      </c>
      <c r="AB68" s="13">
        <f t="shared" si="152"/>
        <v>-0.1584525702172761</v>
      </c>
      <c r="AC68" s="13">
        <f t="shared" si="152"/>
        <v>-5.6561085972850684E-4</v>
      </c>
      <c r="AD68" s="13">
        <f t="shared" si="152"/>
        <v>5.5344546934346171E-2</v>
      </c>
      <c r="AE68" s="13">
        <f t="shared" si="152"/>
        <v>-0.1048728813559322</v>
      </c>
      <c r="AF68" s="13">
        <f t="shared" si="152"/>
        <v>-7.1789686552072796E-2</v>
      </c>
      <c r="AG68" s="13">
        <f t="shared" si="152"/>
        <v>0.10285132382892057</v>
      </c>
      <c r="AH68" s="13">
        <f t="shared" si="152"/>
        <v>-9.7365945437441204E-2</v>
      </c>
      <c r="AI68" s="13">
        <f t="shared" si="152"/>
        <v>0.10831353919239906</v>
      </c>
      <c r="AJ68" s="13">
        <f t="shared" si="152"/>
        <v>5.6595162026471933E-2</v>
      </c>
      <c r="AK68" s="13">
        <f t="shared" si="152"/>
        <v>0.13425925925925927</v>
      </c>
      <c r="AL68" s="13">
        <f t="shared" si="152"/>
        <v>6.4687638458130262E-2</v>
      </c>
      <c r="AM68" s="13">
        <f t="shared" si="152"/>
        <v>0.12736273627362737</v>
      </c>
      <c r="AN68" s="13">
        <f t="shared" si="152"/>
        <v>-0.25529265255292655</v>
      </c>
      <c r="AO68" s="13">
        <f t="shared" si="152"/>
        <v>0.12484237074401008</v>
      </c>
      <c r="AP68" s="13">
        <f t="shared" si="152"/>
        <v>0.22329317269076304</v>
      </c>
      <c r="AQ68" s="13">
        <f t="shared" si="152"/>
        <v>0.18052653572921021</v>
      </c>
      <c r="AR68" s="13">
        <f t="shared" si="152"/>
        <v>0.15033190160093712</v>
      </c>
      <c r="AS68" s="13">
        <f t="shared" si="152"/>
        <v>0.17007621339751303</v>
      </c>
      <c r="AT68" s="13">
        <f t="shared" si="152"/>
        <v>5.8532877232991255E-2</v>
      </c>
      <c r="AU68" s="13">
        <f t="shared" si="152"/>
        <v>4.6545991872922056E-2</v>
      </c>
      <c r="AV68" s="13">
        <f t="shared" si="152"/>
        <v>1.3760330578512396</v>
      </c>
      <c r="AW68" s="13">
        <f t="shared" si="152"/>
        <v>4.3255996854109323E-3</v>
      </c>
      <c r="AX68" s="13">
        <f t="shared" si="152"/>
        <v>-7.3389915127309038E-2</v>
      </c>
      <c r="AY68" s="13">
        <f t="shared" si="152"/>
        <v>-5.8292591199699137E-2</v>
      </c>
      <c r="AZ68" s="13">
        <f t="shared" si="152"/>
        <v>7.7548005908419496E-2</v>
      </c>
      <c r="BA68" s="13">
        <f t="shared" si="152"/>
        <v>0.12390988372093023</v>
      </c>
      <c r="BB68" s="13">
        <f t="shared" si="152"/>
        <v>6.0448488787780308E-2</v>
      </c>
      <c r="BC68" s="13">
        <f t="shared" si="152"/>
        <v>0.14290586630286495</v>
      </c>
      <c r="BD68" s="13">
        <f t="shared" si="152"/>
        <v>2.9740965781899584E-2</v>
      </c>
      <c r="BE68" s="13">
        <f t="shared" si="152"/>
        <v>3.6682088565763382E-2</v>
      </c>
      <c r="BF68" s="13">
        <f t="shared" si="152"/>
        <v>8.0147965474722568E-2</v>
      </c>
      <c r="BG68" s="13">
        <f t="shared" si="152"/>
        <v>5.9305993690851738E-2</v>
      </c>
      <c r="BH68" s="13">
        <f t="shared" si="152"/>
        <v>4.2257865515114131E-2</v>
      </c>
      <c r="BI68" s="13">
        <f t="shared" si="152"/>
        <v>9.2652699911478315E-2</v>
      </c>
      <c r="BJ68" s="13">
        <f t="shared" si="152"/>
        <v>7.5020839121978322E-2</v>
      </c>
      <c r="BK68" s="13">
        <f t="shared" si="152"/>
        <v>0.14289764672526226</v>
      </c>
      <c r="BL68" s="13">
        <f t="shared" si="152"/>
        <v>0.13530201342281878</v>
      </c>
      <c r="BM68" s="13">
        <f t="shared" si="152"/>
        <v>0.12781954887218044</v>
      </c>
      <c r="BN68" s="13">
        <f t="shared" si="152"/>
        <v>7.8155339805825244E-2</v>
      </c>
      <c r="BO68" s="13">
        <f t="shared" ref="BO68:BQ68" si="153">BO57/BO40</f>
        <v>0.11119030648610122</v>
      </c>
      <c r="BP68" s="13">
        <f>BP57/BP40</f>
        <v>0.12387634290725719</v>
      </c>
      <c r="BQ68" s="13">
        <f t="shared" si="153"/>
        <v>0.14411323182500535</v>
      </c>
      <c r="BR68" s="21"/>
      <c r="BS68" s="21"/>
      <c r="BT68" s="21"/>
      <c r="BU68" s="19"/>
      <c r="BV68" s="19"/>
      <c r="BW68" s="19"/>
      <c r="BX68" s="19"/>
      <c r="CD68" s="13">
        <f t="shared" ref="CD68:CS68" si="154">CD57/CD40</f>
        <v>-0.12518319491939423</v>
      </c>
      <c r="CE68" s="13">
        <f t="shared" si="154"/>
        <v>-0.13643351268255188</v>
      </c>
      <c r="CF68" s="13">
        <f t="shared" si="154"/>
        <v>5.7858829703489899E-2</v>
      </c>
      <c r="CG68" s="13">
        <f t="shared" si="154"/>
        <v>-0.56118085253138361</v>
      </c>
      <c r="CH68" s="13">
        <f t="shared" si="154"/>
        <v>-1.6939661206775865E-2</v>
      </c>
      <c r="CI68" s="13">
        <f t="shared" si="154"/>
        <v>-1.6124661246612465E-2</v>
      </c>
      <c r="CJ68" s="13">
        <f t="shared" si="154"/>
        <v>-3.1964691721278589E-2</v>
      </c>
      <c r="CK68" s="13">
        <f t="shared" si="154"/>
        <v>4.1378487956117337E-2</v>
      </c>
      <c r="CL68" s="13">
        <f t="shared" si="154"/>
        <v>1.1494252873563218E-2</v>
      </c>
      <c r="CM68" s="13">
        <f t="shared" si="154"/>
        <v>0.17000916217041637</v>
      </c>
      <c r="CN68" s="13">
        <f t="shared" si="154"/>
        <v>0.43782021425244527</v>
      </c>
      <c r="CO68" s="13">
        <f t="shared" si="154"/>
        <v>-8.1710884696862707E-3</v>
      </c>
      <c r="CP68" s="13">
        <f t="shared" si="154"/>
        <v>8.7399057873485869E-2</v>
      </c>
      <c r="CQ68" s="13">
        <f t="shared" si="154"/>
        <v>5.4880933606686645E-2</v>
      </c>
      <c r="CR68" s="13">
        <f t="shared" si="154"/>
        <v>0.11179775280898877</v>
      </c>
      <c r="CS68" s="13">
        <f t="shared" si="154"/>
        <v>0.11034812205171075</v>
      </c>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c r="BQ69" s="1"/>
    </row>
    <row r="70" spans="2:138">
      <c r="B70" s="1" t="s">
        <v>208</v>
      </c>
      <c r="AZ70" s="1">
        <v>1734</v>
      </c>
      <c r="BA70" s="1">
        <v>2016</v>
      </c>
      <c r="BB70" s="1">
        <v>2675</v>
      </c>
      <c r="BC70" s="1">
        <v>1947</v>
      </c>
      <c r="BD70" s="1">
        <v>1925</v>
      </c>
      <c r="BE70" s="1">
        <v>325</v>
      </c>
      <c r="BF70" s="1">
        <v>276</v>
      </c>
      <c r="BG70" s="1">
        <v>339</v>
      </c>
      <c r="BH70" s="1">
        <v>928</v>
      </c>
      <c r="BI70" s="1">
        <v>570</v>
      </c>
      <c r="BJ70" s="1">
        <v>426</v>
      </c>
      <c r="BK70" s="1">
        <v>952</v>
      </c>
      <c r="BL70" s="1">
        <v>866</v>
      </c>
      <c r="BM70" s="1">
        <v>2329</v>
      </c>
      <c r="BN70" s="1">
        <v>2913</v>
      </c>
      <c r="BO70" s="1">
        <v>2502</v>
      </c>
      <c r="BP70" s="1">
        <v>413</v>
      </c>
      <c r="BQ70" s="1">
        <v>2502</v>
      </c>
      <c r="CO70" s="1">
        <f>AZ70</f>
        <v>1734</v>
      </c>
      <c r="CP70" s="1">
        <f>BD70</f>
        <v>1925</v>
      </c>
      <c r="CQ70" s="1">
        <f>BH70</f>
        <v>928</v>
      </c>
      <c r="CR70" s="1">
        <f>BL70</f>
        <v>866</v>
      </c>
      <c r="CS70" s="1">
        <f>BP70</f>
        <v>413</v>
      </c>
    </row>
    <row r="71" spans="2:138">
      <c r="B71" s="1" t="s">
        <v>209</v>
      </c>
      <c r="AZ71" s="1">
        <v>1531</v>
      </c>
      <c r="BA71" s="1">
        <v>1631</v>
      </c>
      <c r="BB71" s="1">
        <v>1675</v>
      </c>
      <c r="BC71" s="1">
        <v>1669</v>
      </c>
      <c r="BD71" s="1">
        <v>1778</v>
      </c>
      <c r="BE71" s="1">
        <v>1866</v>
      </c>
      <c r="BF71" s="1">
        <v>1917</v>
      </c>
      <c r="BG71" s="1">
        <v>1871</v>
      </c>
      <c r="BH71" s="1">
        <v>1970</v>
      </c>
      <c r="BI71" s="1">
        <v>2076</v>
      </c>
      <c r="BJ71" s="1">
        <v>2134</v>
      </c>
      <c r="BK71" s="1">
        <v>2101</v>
      </c>
      <c r="BL71" s="1">
        <v>2229</v>
      </c>
      <c r="BM71" s="1">
        <v>2304</v>
      </c>
      <c r="BN71" s="1">
        <v>2400</v>
      </c>
      <c r="BO71" s="1">
        <v>2501</v>
      </c>
      <c r="BP71" s="1">
        <v>2558</v>
      </c>
      <c r="BQ71" s="1">
        <v>2501</v>
      </c>
      <c r="CO71" s="1">
        <f t="shared" ref="CO71:CO81" si="155">AZ71</f>
        <v>1531</v>
      </c>
      <c r="CP71" s="1">
        <f t="shared" ref="CP71:CP81" si="156">BD71</f>
        <v>1778</v>
      </c>
      <c r="CQ71" s="1">
        <f t="shared" ref="CQ71:CQ81" si="157">BH71</f>
        <v>1970</v>
      </c>
      <c r="CR71" s="1">
        <f t="shared" ref="CR71:CR81" si="158">BL71</f>
        <v>2229</v>
      </c>
      <c r="CS71" s="1">
        <f t="shared" ref="CS71:CS81" si="159">BP71</f>
        <v>2558</v>
      </c>
    </row>
    <row r="72" spans="2:138">
      <c r="B72" s="1" t="s">
        <v>210</v>
      </c>
      <c r="AZ72" s="1">
        <v>1351</v>
      </c>
      <c r="BA72" s="1">
        <v>1407</v>
      </c>
      <c r="BB72" s="1">
        <v>1430</v>
      </c>
      <c r="BC72" s="1">
        <v>1603</v>
      </c>
      <c r="BD72" s="1">
        <v>1610</v>
      </c>
      <c r="BE72" s="1">
        <v>1736</v>
      </c>
      <c r="BF72" s="1">
        <v>1752</v>
      </c>
      <c r="BG72" s="1">
        <v>1788</v>
      </c>
      <c r="BH72" s="1">
        <v>1867</v>
      </c>
      <c r="BI72" s="1">
        <v>2050</v>
      </c>
      <c r="BJ72" s="1">
        <v>2250</v>
      </c>
      <c r="BK72" s="1">
        <v>2404</v>
      </c>
      <c r="BL72" s="1">
        <v>2484</v>
      </c>
      <c r="BM72" s="1">
        <v>2561</v>
      </c>
      <c r="BN72" s="1">
        <v>2608</v>
      </c>
      <c r="BO72" s="1">
        <v>2753</v>
      </c>
      <c r="BP72" s="1">
        <v>2810</v>
      </c>
      <c r="BQ72" s="1">
        <v>2753</v>
      </c>
      <c r="CO72" s="1">
        <f t="shared" si="155"/>
        <v>1351</v>
      </c>
      <c r="CP72" s="1">
        <f t="shared" si="156"/>
        <v>1610</v>
      </c>
      <c r="CQ72" s="1">
        <f t="shared" si="157"/>
        <v>1867</v>
      </c>
      <c r="CR72" s="1">
        <f t="shared" si="158"/>
        <v>2484</v>
      </c>
      <c r="CS72" s="1">
        <f t="shared" si="159"/>
        <v>2810</v>
      </c>
    </row>
    <row r="73" spans="2:138">
      <c r="B73" s="1" t="s">
        <v>211</v>
      </c>
      <c r="AZ73" s="1">
        <v>194</v>
      </c>
      <c r="BA73" s="1">
        <v>192</v>
      </c>
      <c r="BB73" s="1">
        <v>202</v>
      </c>
      <c r="BC73" s="1">
        <v>217</v>
      </c>
      <c r="BD73" s="1">
        <v>205</v>
      </c>
      <c r="BE73" s="1">
        <v>249</v>
      </c>
      <c r="BF73" s="1">
        <v>264</v>
      </c>
      <c r="BG73" s="1">
        <v>262</v>
      </c>
      <c r="BH73" s="1">
        <v>264</v>
      </c>
      <c r="BI73" s="1">
        <v>296</v>
      </c>
      <c r="BJ73" s="1">
        <v>303</v>
      </c>
      <c r="BK73" s="1">
        <v>307</v>
      </c>
      <c r="BL73" s="1">
        <v>315</v>
      </c>
      <c r="BM73" s="1">
        <v>319</v>
      </c>
      <c r="BN73" s="1">
        <v>315</v>
      </c>
      <c r="BO73" s="1">
        <v>332</v>
      </c>
      <c r="BP73" s="1">
        <v>307</v>
      </c>
      <c r="BQ73" s="1">
        <v>332</v>
      </c>
      <c r="CO73" s="1">
        <f t="shared" si="155"/>
        <v>194</v>
      </c>
      <c r="CP73" s="1">
        <f t="shared" si="156"/>
        <v>205</v>
      </c>
      <c r="CQ73" s="1">
        <f t="shared" si="157"/>
        <v>264</v>
      </c>
      <c r="CR73" s="1">
        <f t="shared" si="158"/>
        <v>315</v>
      </c>
      <c r="CS73" s="1">
        <f t="shared" si="159"/>
        <v>307</v>
      </c>
    </row>
    <row r="74" spans="2:138">
      <c r="B74" s="1" t="s">
        <v>245</v>
      </c>
      <c r="AZ74" s="1">
        <v>1133</v>
      </c>
      <c r="BA74" s="1">
        <v>0</v>
      </c>
      <c r="BB74" s="1">
        <v>0</v>
      </c>
      <c r="BQ74" s="1"/>
      <c r="CO74" s="1">
        <f t="shared" si="155"/>
        <v>1133</v>
      </c>
      <c r="CP74" s="1">
        <v>0</v>
      </c>
      <c r="CQ74" s="1">
        <v>0</v>
      </c>
      <c r="CR74" s="1">
        <v>0</v>
      </c>
      <c r="CS74" s="1">
        <v>0</v>
      </c>
    </row>
    <row r="75" spans="2:138">
      <c r="B75" s="1" t="s">
        <v>212</v>
      </c>
      <c r="AZ75" s="1">
        <v>751</v>
      </c>
      <c r="BA75" s="1">
        <v>855</v>
      </c>
      <c r="BB75" s="1">
        <v>777</v>
      </c>
      <c r="BC75" s="1">
        <v>792</v>
      </c>
      <c r="BD75" s="1">
        <v>799</v>
      </c>
      <c r="BE75" s="1">
        <v>889</v>
      </c>
      <c r="BF75" s="1">
        <v>874</v>
      </c>
      <c r="BG75" s="1">
        <v>884</v>
      </c>
      <c r="BH75" s="1">
        <v>731</v>
      </c>
      <c r="BI75" s="1">
        <v>711</v>
      </c>
      <c r="BJ75" s="1">
        <v>773</v>
      </c>
      <c r="BK75" s="1">
        <v>741</v>
      </c>
      <c r="BL75" s="1">
        <v>621</v>
      </c>
      <c r="BM75" s="1">
        <v>671</v>
      </c>
      <c r="BN75" s="1">
        <v>756</v>
      </c>
      <c r="BO75" s="1">
        <v>674</v>
      </c>
      <c r="BP75" s="1">
        <v>831</v>
      </c>
      <c r="BQ75" s="1">
        <v>674</v>
      </c>
      <c r="CO75" s="1">
        <f t="shared" si="155"/>
        <v>751</v>
      </c>
      <c r="CP75" s="1">
        <f t="shared" si="156"/>
        <v>799</v>
      </c>
      <c r="CQ75" s="1">
        <f t="shared" si="157"/>
        <v>731</v>
      </c>
      <c r="CR75" s="1">
        <f t="shared" si="158"/>
        <v>621</v>
      </c>
      <c r="CS75" s="1">
        <f t="shared" si="159"/>
        <v>831</v>
      </c>
    </row>
    <row r="76" spans="2:138">
      <c r="B76" s="1" t="s">
        <v>213</v>
      </c>
      <c r="AZ76" s="1">
        <v>2084</v>
      </c>
      <c r="BA76" s="1">
        <v>2053</v>
      </c>
      <c r="BB76" s="1">
        <v>2082</v>
      </c>
      <c r="BC76" s="1">
        <v>2109</v>
      </c>
      <c r="BD76" s="1">
        <v>2252</v>
      </c>
      <c r="BE76" s="1">
        <v>2265</v>
      </c>
      <c r="BF76" s="1">
        <v>2246</v>
      </c>
      <c r="BG76" s="1">
        <v>2273</v>
      </c>
      <c r="BH76" s="1">
        <v>2446</v>
      </c>
      <c r="BI76" s="1">
        <v>2478</v>
      </c>
      <c r="BJ76" s="1">
        <v>2534</v>
      </c>
      <c r="BK76" s="1">
        <v>2635</v>
      </c>
      <c r="BL76" s="1">
        <v>2859</v>
      </c>
      <c r="BM76" s="1">
        <v>2897</v>
      </c>
      <c r="BN76" s="1">
        <v>2951</v>
      </c>
      <c r="BO76" s="1">
        <v>3072</v>
      </c>
      <c r="BP76" s="1">
        <v>3294</v>
      </c>
      <c r="BQ76" s="1">
        <v>3072</v>
      </c>
      <c r="CO76" s="1">
        <f t="shared" si="155"/>
        <v>2084</v>
      </c>
      <c r="CP76" s="1">
        <f t="shared" si="156"/>
        <v>2252</v>
      </c>
      <c r="CQ76" s="1">
        <f t="shared" si="157"/>
        <v>2446</v>
      </c>
      <c r="CR76" s="1">
        <f t="shared" si="158"/>
        <v>2859</v>
      </c>
      <c r="CS76" s="1">
        <f t="shared" si="159"/>
        <v>3294</v>
      </c>
    </row>
    <row r="77" spans="2:138">
      <c r="B77" s="1" t="s">
        <v>214</v>
      </c>
      <c r="AZ77" s="1">
        <v>9951</v>
      </c>
      <c r="BA77" s="1">
        <v>10868</v>
      </c>
      <c r="BB77" s="1">
        <v>10874</v>
      </c>
      <c r="BC77" s="1">
        <v>11820</v>
      </c>
      <c r="BD77" s="1">
        <v>11988</v>
      </c>
      <c r="BE77" s="1">
        <v>12949</v>
      </c>
      <c r="BF77" s="1">
        <v>12883</v>
      </c>
      <c r="BG77" s="1">
        <v>12852</v>
      </c>
      <c r="BH77" s="1">
        <v>12920</v>
      </c>
      <c r="BI77" s="1">
        <v>13269</v>
      </c>
      <c r="BJ77" s="1">
        <v>13659</v>
      </c>
      <c r="BK77" s="1">
        <v>13608</v>
      </c>
      <c r="BL77" s="1">
        <v>14387</v>
      </c>
      <c r="BM77" s="1">
        <v>14361</v>
      </c>
      <c r="BN77" s="1">
        <v>14397</v>
      </c>
      <c r="BO77" s="1">
        <v>15033</v>
      </c>
      <c r="BP77" s="1">
        <v>17089</v>
      </c>
      <c r="BQ77" s="1">
        <v>15033</v>
      </c>
      <c r="CO77" s="1">
        <f t="shared" si="155"/>
        <v>9951</v>
      </c>
      <c r="CP77" s="1">
        <f t="shared" si="156"/>
        <v>11988</v>
      </c>
      <c r="CQ77" s="1">
        <f t="shared" si="157"/>
        <v>12920</v>
      </c>
      <c r="CR77" s="1">
        <f t="shared" si="158"/>
        <v>14387</v>
      </c>
      <c r="CS77" s="1">
        <f t="shared" si="159"/>
        <v>17089</v>
      </c>
    </row>
    <row r="78" spans="2:138">
      <c r="B78" s="1" t="s">
        <v>215</v>
      </c>
      <c r="AZ78" s="1">
        <v>5917</v>
      </c>
      <c r="BA78" s="1">
        <v>5991</v>
      </c>
      <c r="BB78" s="1">
        <v>5788</v>
      </c>
      <c r="BC78" s="1">
        <v>6227</v>
      </c>
      <c r="BD78" s="1">
        <v>6121</v>
      </c>
      <c r="BE78" s="1">
        <v>6581</v>
      </c>
      <c r="BF78" s="1">
        <v>6349</v>
      </c>
      <c r="BG78" s="1">
        <v>6058</v>
      </c>
      <c r="BH78" s="1">
        <v>5902</v>
      </c>
      <c r="BI78" s="1">
        <v>6060</v>
      </c>
      <c r="BJ78" s="1">
        <v>6063</v>
      </c>
      <c r="BK78" s="1">
        <v>5849</v>
      </c>
      <c r="BL78" s="1">
        <v>6003</v>
      </c>
      <c r="BM78" s="1">
        <v>5839</v>
      </c>
      <c r="BN78" s="1">
        <v>5417</v>
      </c>
      <c r="BO78" s="1">
        <v>5754</v>
      </c>
      <c r="BP78" s="1">
        <v>6684</v>
      </c>
      <c r="BQ78" s="1">
        <v>5754</v>
      </c>
      <c r="CO78" s="1">
        <f t="shared" si="155"/>
        <v>5917</v>
      </c>
      <c r="CP78" s="1">
        <f t="shared" si="156"/>
        <v>6121</v>
      </c>
      <c r="CQ78" s="1">
        <f t="shared" si="157"/>
        <v>5902</v>
      </c>
      <c r="CR78" s="1">
        <f t="shared" si="158"/>
        <v>6003</v>
      </c>
      <c r="CS78" s="1">
        <f t="shared" si="159"/>
        <v>6684</v>
      </c>
    </row>
    <row r="79" spans="2:138">
      <c r="B79" s="1" t="s">
        <v>216</v>
      </c>
      <c r="AZ79" s="1">
        <v>4210</v>
      </c>
      <c r="BA79" s="1">
        <v>4173</v>
      </c>
      <c r="BB79" s="1">
        <v>4036</v>
      </c>
      <c r="BC79" s="1">
        <v>4049</v>
      </c>
      <c r="BD79" s="1">
        <v>4142</v>
      </c>
      <c r="BE79" s="1">
        <v>4102</v>
      </c>
      <c r="BF79" s="1">
        <v>4059</v>
      </c>
      <c r="BG79" s="1">
        <v>4018</v>
      </c>
      <c r="BH79" s="1">
        <v>3942</v>
      </c>
      <c r="BI79" s="1">
        <v>3900</v>
      </c>
      <c r="BJ79" s="1">
        <v>3865</v>
      </c>
      <c r="BK79" s="1">
        <v>3840</v>
      </c>
      <c r="BL79" s="1">
        <v>3841</v>
      </c>
      <c r="BM79" s="1">
        <v>3792</v>
      </c>
      <c r="BN79" s="1">
        <v>3801</v>
      </c>
      <c r="BO79" s="1">
        <v>3816</v>
      </c>
      <c r="BP79" s="1">
        <v>3655</v>
      </c>
      <c r="BQ79" s="1">
        <v>3816</v>
      </c>
      <c r="CO79" s="1">
        <f t="shared" si="155"/>
        <v>4210</v>
      </c>
      <c r="CP79" s="1">
        <f t="shared" si="156"/>
        <v>4142</v>
      </c>
      <c r="CQ79" s="1">
        <f t="shared" si="157"/>
        <v>3942</v>
      </c>
      <c r="CR79" s="1">
        <f t="shared" si="158"/>
        <v>3841</v>
      </c>
      <c r="CS79" s="1">
        <f t="shared" si="159"/>
        <v>3655</v>
      </c>
    </row>
    <row r="80" spans="2:138">
      <c r="B80" s="1" t="s">
        <v>217</v>
      </c>
      <c r="AZ80" s="1">
        <v>1921</v>
      </c>
      <c r="BA80" s="1">
        <v>1714</v>
      </c>
      <c r="BB80" s="1">
        <v>1629</v>
      </c>
      <c r="BC80" s="1">
        <v>1444</v>
      </c>
      <c r="BD80" s="1">
        <v>1409</v>
      </c>
      <c r="BE80" s="1">
        <v>1375</v>
      </c>
      <c r="BF80" s="1">
        <v>1569</v>
      </c>
      <c r="BG80" s="1">
        <v>1602</v>
      </c>
      <c r="BH80" s="1">
        <v>1500</v>
      </c>
      <c r="BI80" s="1">
        <v>1482</v>
      </c>
      <c r="BJ80" s="1">
        <v>1595</v>
      </c>
      <c r="BK80" s="1">
        <v>1605</v>
      </c>
      <c r="BL80" s="1">
        <v>1531</v>
      </c>
      <c r="BM80" s="1">
        <v>1596</v>
      </c>
      <c r="BN80" s="1">
        <v>1550</v>
      </c>
      <c r="BO80" s="1">
        <v>1642</v>
      </c>
      <c r="BP80" s="1">
        <v>1753</v>
      </c>
      <c r="BQ80" s="1">
        <v>1642</v>
      </c>
      <c r="CO80" s="1">
        <f t="shared" si="155"/>
        <v>1921</v>
      </c>
      <c r="CP80" s="1">
        <f t="shared" si="156"/>
        <v>1409</v>
      </c>
      <c r="CQ80" s="1">
        <f t="shared" si="157"/>
        <v>1500</v>
      </c>
      <c r="CR80" s="1">
        <f t="shared" si="158"/>
        <v>1531</v>
      </c>
      <c r="CS80" s="1">
        <f t="shared" si="159"/>
        <v>1753</v>
      </c>
    </row>
    <row r="81" spans="2:97">
      <c r="B81" s="1" t="s">
        <v>218</v>
      </c>
      <c r="AZ81" s="1">
        <f t="shared" ref="AZ81:BQ81" si="160">SUM(AZ70:AZ80)</f>
        <v>30777</v>
      </c>
      <c r="BA81" s="1">
        <f t="shared" si="160"/>
        <v>30900</v>
      </c>
      <c r="BB81" s="1">
        <f t="shared" si="160"/>
        <v>31168</v>
      </c>
      <c r="BC81" s="1">
        <f t="shared" si="160"/>
        <v>31877</v>
      </c>
      <c r="BD81" s="1">
        <f t="shared" si="160"/>
        <v>32229</v>
      </c>
      <c r="BE81" s="1">
        <f t="shared" si="160"/>
        <v>32337</v>
      </c>
      <c r="BF81" s="1">
        <f t="shared" si="160"/>
        <v>32189</v>
      </c>
      <c r="BG81" s="1">
        <f t="shared" si="160"/>
        <v>31947</v>
      </c>
      <c r="BH81" s="1">
        <f t="shared" si="160"/>
        <v>32470</v>
      </c>
      <c r="BI81" s="1">
        <f t="shared" si="160"/>
        <v>32892</v>
      </c>
      <c r="BJ81" s="1">
        <f t="shared" si="160"/>
        <v>33602</v>
      </c>
      <c r="BK81" s="1">
        <f t="shared" si="160"/>
        <v>34042</v>
      </c>
      <c r="BL81" s="1">
        <f t="shared" si="160"/>
        <v>35136</v>
      </c>
      <c r="BM81" s="1">
        <f t="shared" si="160"/>
        <v>36669</v>
      </c>
      <c r="BN81" s="1">
        <f t="shared" si="160"/>
        <v>37108</v>
      </c>
      <c r="BO81" s="1">
        <f t="shared" si="160"/>
        <v>38079</v>
      </c>
      <c r="BP81" s="1">
        <f>SUM(BP70:BP80)</f>
        <v>39394</v>
      </c>
      <c r="BQ81" s="1">
        <f t="shared" si="160"/>
        <v>38079</v>
      </c>
      <c r="CO81" s="1">
        <f t="shared" si="155"/>
        <v>30777</v>
      </c>
      <c r="CP81" s="1">
        <f t="shared" si="156"/>
        <v>32229</v>
      </c>
      <c r="CQ81" s="1">
        <f t="shared" si="157"/>
        <v>32470</v>
      </c>
      <c r="CR81" s="1">
        <f t="shared" si="158"/>
        <v>35136</v>
      </c>
      <c r="CS81" s="1">
        <f t="shared" si="159"/>
        <v>39394</v>
      </c>
    </row>
    <row r="82" spans="2:97">
      <c r="BQ82" s="1"/>
    </row>
    <row r="83" spans="2:97">
      <c r="B83" s="1" t="s">
        <v>219</v>
      </c>
      <c r="AZ83" s="1">
        <v>13</v>
      </c>
      <c r="BA83" s="1">
        <v>13</v>
      </c>
      <c r="BB83" s="1">
        <v>262</v>
      </c>
      <c r="BC83" s="1">
        <v>261</v>
      </c>
      <c r="BD83" s="1">
        <v>260</v>
      </c>
      <c r="BE83" s="1">
        <v>238</v>
      </c>
      <c r="BF83" s="1">
        <v>170</v>
      </c>
      <c r="BG83" s="1">
        <v>20</v>
      </c>
      <c r="BH83" s="1">
        <v>20</v>
      </c>
      <c r="BI83" s="1">
        <v>510</v>
      </c>
      <c r="BJ83" s="1">
        <v>559</v>
      </c>
      <c r="BK83" s="1">
        <v>513</v>
      </c>
      <c r="BL83" s="1">
        <v>531</v>
      </c>
      <c r="BM83" s="1">
        <v>1085</v>
      </c>
      <c r="BN83" s="1">
        <v>1580</v>
      </c>
      <c r="BO83" s="1">
        <v>1652</v>
      </c>
      <c r="BP83" s="1">
        <v>1778</v>
      </c>
      <c r="BQ83" s="1">
        <v>1652</v>
      </c>
      <c r="CO83" s="1">
        <f t="shared" ref="CO83:CO91" si="161">AZ83</f>
        <v>13</v>
      </c>
      <c r="CP83" s="1">
        <f t="shared" ref="CP83:CP91" si="162">BD83</f>
        <v>260</v>
      </c>
      <c r="CQ83" s="1">
        <f t="shared" ref="CQ83:CQ91" si="163">BH83</f>
        <v>20</v>
      </c>
      <c r="CR83" s="1">
        <f t="shared" ref="CR83:CR91" si="164">BL83</f>
        <v>531</v>
      </c>
      <c r="CS83" s="1">
        <f t="shared" ref="CS83:CS91" si="165">BP83</f>
        <v>1778</v>
      </c>
    </row>
    <row r="84" spans="2:97">
      <c r="B84" s="1" t="s">
        <v>220</v>
      </c>
      <c r="AZ84" s="1">
        <v>513</v>
      </c>
      <c r="BA84" s="1">
        <v>615</v>
      </c>
      <c r="BB84" s="1">
        <v>689</v>
      </c>
      <c r="BC84" s="1">
        <v>674</v>
      </c>
      <c r="BD84" s="1">
        <v>794</v>
      </c>
      <c r="BE84" s="1">
        <v>696</v>
      </c>
      <c r="BF84" s="1">
        <v>732</v>
      </c>
      <c r="BG84" s="1">
        <v>803</v>
      </c>
      <c r="BH84" s="1">
        <v>862</v>
      </c>
      <c r="BI84" s="1">
        <v>868</v>
      </c>
      <c r="BJ84" s="1">
        <v>899</v>
      </c>
      <c r="BK84" s="1">
        <v>929</v>
      </c>
      <c r="BL84" s="1">
        <v>943</v>
      </c>
      <c r="BM84" s="1">
        <v>921</v>
      </c>
      <c r="BN84" s="1">
        <v>906</v>
      </c>
      <c r="BO84" s="1">
        <v>908</v>
      </c>
      <c r="BP84" s="1">
        <v>960</v>
      </c>
      <c r="BQ84" s="1">
        <v>908</v>
      </c>
      <c r="CO84" s="1">
        <f t="shared" si="161"/>
        <v>513</v>
      </c>
      <c r="CP84" s="1">
        <f t="shared" si="162"/>
        <v>794</v>
      </c>
      <c r="CQ84" s="1">
        <f t="shared" si="163"/>
        <v>862</v>
      </c>
      <c r="CR84" s="1">
        <f t="shared" si="164"/>
        <v>943</v>
      </c>
      <c r="CS84" s="1">
        <f t="shared" si="165"/>
        <v>960</v>
      </c>
    </row>
    <row r="85" spans="2:97">
      <c r="B85" s="1" t="s">
        <v>221</v>
      </c>
      <c r="AZ85" s="1">
        <v>2197</v>
      </c>
      <c r="BA85" s="1">
        <v>2060</v>
      </c>
      <c r="BB85" s="1">
        <v>2442</v>
      </c>
      <c r="BC85" s="1">
        <v>2418</v>
      </c>
      <c r="BD85" s="1">
        <v>2436</v>
      </c>
      <c r="BE85" s="1">
        <v>2306</v>
      </c>
      <c r="BF85" s="1">
        <v>2197</v>
      </c>
      <c r="BG85" s="1">
        <v>1974</v>
      </c>
      <c r="BH85" s="1">
        <v>2160</v>
      </c>
      <c r="BI85" s="1">
        <v>1918</v>
      </c>
      <c r="BJ85" s="1">
        <v>2164</v>
      </c>
      <c r="BK85" s="1">
        <v>2255</v>
      </c>
      <c r="BL85" s="1">
        <v>2646</v>
      </c>
      <c r="BM85" s="1">
        <v>2083</v>
      </c>
      <c r="BN85" s="1">
        <v>2320</v>
      </c>
      <c r="BO85" s="1">
        <v>2460</v>
      </c>
      <c r="BP85" s="1">
        <v>2773</v>
      </c>
      <c r="BQ85" s="1">
        <v>2460</v>
      </c>
      <c r="CO85" s="1">
        <f t="shared" si="161"/>
        <v>2197</v>
      </c>
      <c r="CP85" s="1">
        <f t="shared" si="162"/>
        <v>2436</v>
      </c>
      <c r="CQ85" s="1">
        <f t="shared" si="163"/>
        <v>2160</v>
      </c>
      <c r="CR85" s="1">
        <f t="shared" si="164"/>
        <v>2646</v>
      </c>
      <c r="CS85" s="1">
        <f t="shared" si="165"/>
        <v>2773</v>
      </c>
    </row>
    <row r="86" spans="2:97">
      <c r="B86" s="1" t="s">
        <v>222</v>
      </c>
      <c r="AZ86" s="1">
        <v>958</v>
      </c>
      <c r="BA86" s="1">
        <v>705</v>
      </c>
      <c r="BB86" s="1">
        <v>680</v>
      </c>
      <c r="BC86" s="1">
        <v>669</v>
      </c>
      <c r="BD86" s="1">
        <v>783</v>
      </c>
      <c r="BE86" s="1">
        <v>1034</v>
      </c>
      <c r="BF86" s="1">
        <v>784</v>
      </c>
      <c r="BG86" s="1">
        <v>752</v>
      </c>
      <c r="BH86" s="1">
        <v>761</v>
      </c>
      <c r="BI86" s="1">
        <v>787</v>
      </c>
      <c r="BJ86" s="1">
        <v>940</v>
      </c>
      <c r="BK86" s="1">
        <v>882</v>
      </c>
      <c r="BL86" s="1">
        <v>814</v>
      </c>
      <c r="BM86" s="1">
        <v>827</v>
      </c>
      <c r="BN86" s="1">
        <v>770</v>
      </c>
      <c r="BO86" s="1">
        <v>891</v>
      </c>
      <c r="BP86" s="1">
        <v>887</v>
      </c>
      <c r="BQ86" s="1">
        <v>891</v>
      </c>
      <c r="CO86" s="1">
        <f t="shared" si="161"/>
        <v>958</v>
      </c>
      <c r="CP86" s="1">
        <f t="shared" si="162"/>
        <v>783</v>
      </c>
      <c r="CQ86" s="1">
        <f t="shared" si="163"/>
        <v>761</v>
      </c>
      <c r="CR86" s="1">
        <f t="shared" si="164"/>
        <v>814</v>
      </c>
      <c r="CS86" s="1">
        <f t="shared" si="165"/>
        <v>887</v>
      </c>
    </row>
    <row r="87" spans="2:97">
      <c r="B87" s="1" t="s">
        <v>225</v>
      </c>
      <c r="AZ87" s="1">
        <v>9130</v>
      </c>
      <c r="BA87" s="1">
        <v>9082</v>
      </c>
      <c r="BB87" s="1">
        <v>8847</v>
      </c>
      <c r="BC87" s="1">
        <v>8824</v>
      </c>
      <c r="BD87" s="1">
        <v>8804</v>
      </c>
      <c r="BE87" s="1">
        <v>9067</v>
      </c>
      <c r="BF87" s="1">
        <v>8802</v>
      </c>
      <c r="BG87" s="1">
        <v>8564</v>
      </c>
      <c r="BH87" s="1">
        <v>8915</v>
      </c>
      <c r="BI87" s="1">
        <v>8495</v>
      </c>
      <c r="BJ87" s="1">
        <v>8494</v>
      </c>
      <c r="BK87" s="1">
        <v>8386</v>
      </c>
      <c r="BL87" s="1">
        <v>8571</v>
      </c>
      <c r="BM87" s="1">
        <v>9534</v>
      </c>
      <c r="BN87" s="1">
        <v>8991</v>
      </c>
      <c r="BO87" s="1">
        <v>9233</v>
      </c>
      <c r="BP87" s="1">
        <v>8968</v>
      </c>
      <c r="BQ87" s="1">
        <v>9233</v>
      </c>
      <c r="CO87" s="1">
        <f t="shared" si="161"/>
        <v>9130</v>
      </c>
      <c r="CP87" s="1">
        <f t="shared" si="162"/>
        <v>8804</v>
      </c>
      <c r="CQ87" s="1">
        <f t="shared" si="163"/>
        <v>8915</v>
      </c>
      <c r="CR87" s="1">
        <f t="shared" si="164"/>
        <v>8571</v>
      </c>
      <c r="CS87" s="1">
        <f t="shared" si="165"/>
        <v>8968</v>
      </c>
    </row>
    <row r="88" spans="2:97">
      <c r="B88" s="1" t="s">
        <v>223</v>
      </c>
      <c r="AZ88" s="1">
        <v>330</v>
      </c>
      <c r="BA88" s="1">
        <v>336</v>
      </c>
      <c r="BB88" s="1">
        <v>115</v>
      </c>
      <c r="BC88" s="1">
        <v>274</v>
      </c>
      <c r="BD88" s="1">
        <v>310</v>
      </c>
      <c r="BE88" s="1">
        <v>261</v>
      </c>
      <c r="BF88" s="1">
        <v>265</v>
      </c>
      <c r="BG88" s="1">
        <v>278</v>
      </c>
      <c r="BH88" s="1">
        <v>144</v>
      </c>
      <c r="BI88" s="1">
        <v>210</v>
      </c>
      <c r="BJ88" s="1">
        <v>135</v>
      </c>
      <c r="BK88" s="1">
        <v>91</v>
      </c>
      <c r="BL88" s="1">
        <v>134</v>
      </c>
      <c r="BM88" s="1">
        <v>132</v>
      </c>
      <c r="BN88" s="1">
        <v>132</v>
      </c>
      <c r="BO88" s="1">
        <v>138</v>
      </c>
      <c r="BP88" s="1">
        <v>155</v>
      </c>
      <c r="BQ88" s="1">
        <v>138</v>
      </c>
      <c r="CO88" s="1">
        <f t="shared" si="161"/>
        <v>330</v>
      </c>
      <c r="CP88" s="1">
        <f t="shared" si="162"/>
        <v>310</v>
      </c>
      <c r="CQ88" s="1">
        <f t="shared" si="163"/>
        <v>144</v>
      </c>
      <c r="CR88" s="1">
        <f t="shared" si="164"/>
        <v>134</v>
      </c>
      <c r="CS88" s="1">
        <f t="shared" si="165"/>
        <v>155</v>
      </c>
    </row>
    <row r="89" spans="2:97">
      <c r="B89" s="1" t="s">
        <v>224</v>
      </c>
      <c r="AZ89" s="1">
        <v>2309</v>
      </c>
      <c r="BA89" s="1">
        <v>2370</v>
      </c>
      <c r="BB89" s="1">
        <v>2190</v>
      </c>
      <c r="BC89" s="1">
        <v>2296</v>
      </c>
      <c r="BD89" s="1">
        <v>2220</v>
      </c>
      <c r="BE89" s="1">
        <v>2000</v>
      </c>
      <c r="BF89" s="1">
        <v>1988</v>
      </c>
      <c r="BG89" s="1">
        <v>1916</v>
      </c>
      <c r="BH89" s="1">
        <v>2035</v>
      </c>
      <c r="BI89" s="1">
        <v>1995</v>
      </c>
      <c r="BJ89" s="1">
        <v>1926</v>
      </c>
      <c r="BK89" s="1">
        <v>1858</v>
      </c>
      <c r="BL89" s="1">
        <v>1967</v>
      </c>
      <c r="BM89" s="1">
        <v>1919</v>
      </c>
      <c r="BN89" s="1">
        <v>1800</v>
      </c>
      <c r="BO89" s="1">
        <v>1841</v>
      </c>
      <c r="BP89" s="1">
        <v>1870</v>
      </c>
      <c r="BQ89" s="1">
        <v>1841</v>
      </c>
      <c r="CO89" s="1">
        <f t="shared" si="161"/>
        <v>2309</v>
      </c>
      <c r="CP89" s="1">
        <f t="shared" si="162"/>
        <v>2220</v>
      </c>
      <c r="CQ89" s="1">
        <f t="shared" si="163"/>
        <v>2035</v>
      </c>
      <c r="CR89" s="1">
        <f t="shared" si="164"/>
        <v>1967</v>
      </c>
      <c r="CS89" s="1">
        <f t="shared" si="165"/>
        <v>1870</v>
      </c>
    </row>
    <row r="90" spans="2:97">
      <c r="B90" s="1" t="s">
        <v>226</v>
      </c>
      <c r="AZ90" s="1">
        <v>15327</v>
      </c>
      <c r="BA90" s="1">
        <v>15719</v>
      </c>
      <c r="BB90" s="1">
        <v>15943</v>
      </c>
      <c r="BC90" s="1">
        <v>16461</v>
      </c>
      <c r="BD90" s="1">
        <v>16622</v>
      </c>
      <c r="BE90" s="1">
        <v>16735</v>
      </c>
      <c r="BF90" s="1">
        <v>17251</v>
      </c>
      <c r="BG90" s="1">
        <v>17640</v>
      </c>
      <c r="BH90" s="1">
        <v>17573</v>
      </c>
      <c r="BI90" s="1">
        <v>18109</v>
      </c>
      <c r="BJ90" s="1">
        <v>18485</v>
      </c>
      <c r="BK90" s="1">
        <v>19129</v>
      </c>
      <c r="BL90" s="1">
        <v>19530</v>
      </c>
      <c r="BM90" s="1">
        <v>20168</v>
      </c>
      <c r="BN90" s="1">
        <v>20609</v>
      </c>
      <c r="BO90" s="1">
        <v>20956</v>
      </c>
      <c r="BP90" s="1">
        <v>22003</v>
      </c>
      <c r="BQ90" s="1">
        <v>20956</v>
      </c>
      <c r="CO90" s="1">
        <f t="shared" si="161"/>
        <v>15327</v>
      </c>
      <c r="CP90" s="1">
        <f t="shared" si="162"/>
        <v>16622</v>
      </c>
      <c r="CQ90" s="1">
        <f t="shared" si="163"/>
        <v>17573</v>
      </c>
      <c r="CR90" s="1">
        <f t="shared" si="164"/>
        <v>19530</v>
      </c>
      <c r="CS90" s="1">
        <f t="shared" si="165"/>
        <v>22003</v>
      </c>
    </row>
    <row r="91" spans="2:97">
      <c r="B91" s="1" t="s">
        <v>227</v>
      </c>
      <c r="AZ91" s="1">
        <f t="shared" ref="AZ91:BK91" si="166">SUM(AZ83:AZ90)</f>
        <v>30777</v>
      </c>
      <c r="BA91" s="1">
        <f t="shared" si="166"/>
        <v>30900</v>
      </c>
      <c r="BB91" s="1">
        <f t="shared" si="166"/>
        <v>31168</v>
      </c>
      <c r="BC91" s="1">
        <f t="shared" si="166"/>
        <v>31877</v>
      </c>
      <c r="BD91" s="1">
        <f t="shared" si="166"/>
        <v>32229</v>
      </c>
      <c r="BE91" s="1">
        <f t="shared" si="166"/>
        <v>32337</v>
      </c>
      <c r="BF91" s="1">
        <f t="shared" si="166"/>
        <v>32189</v>
      </c>
      <c r="BG91" s="1">
        <f t="shared" si="166"/>
        <v>31947</v>
      </c>
      <c r="BH91" s="1">
        <f t="shared" si="166"/>
        <v>32470</v>
      </c>
      <c r="BI91" s="1">
        <f t="shared" si="166"/>
        <v>32892</v>
      </c>
      <c r="BJ91" s="1">
        <f t="shared" si="166"/>
        <v>33602</v>
      </c>
      <c r="BK91" s="1">
        <f t="shared" si="166"/>
        <v>34043</v>
      </c>
      <c r="BL91" s="1">
        <f t="shared" ref="BL91:BQ91" si="167">SUM(BL83:BL90)</f>
        <v>35136</v>
      </c>
      <c r="BM91" s="1">
        <f t="shared" si="167"/>
        <v>36669</v>
      </c>
      <c r="BN91" s="1">
        <f t="shared" si="167"/>
        <v>37108</v>
      </c>
      <c r="BO91" s="1">
        <f t="shared" si="167"/>
        <v>38079</v>
      </c>
      <c r="BP91" s="1">
        <f t="shared" si="167"/>
        <v>39394</v>
      </c>
      <c r="BQ91" s="1">
        <f t="shared" si="167"/>
        <v>38079</v>
      </c>
      <c r="CO91" s="1">
        <f t="shared" si="161"/>
        <v>30777</v>
      </c>
      <c r="CP91" s="1">
        <f t="shared" si="162"/>
        <v>32229</v>
      </c>
      <c r="CQ91" s="1">
        <f t="shared" si="163"/>
        <v>32470</v>
      </c>
      <c r="CR91" s="1">
        <f t="shared" si="164"/>
        <v>35136</v>
      </c>
      <c r="CS91" s="1">
        <f t="shared" si="165"/>
        <v>39394</v>
      </c>
    </row>
    <row r="92" spans="2:97">
      <c r="BQ92" s="1"/>
    </row>
    <row r="93" spans="2:97" hidden="1">
      <c r="B93" s="1" t="s">
        <v>228</v>
      </c>
      <c r="BQ93" s="1"/>
    </row>
    <row r="94" spans="2:97" hidden="1">
      <c r="B94" s="1" t="s">
        <v>229</v>
      </c>
      <c r="BQ94" s="1"/>
    </row>
    <row r="95" spans="2:97" hidden="1">
      <c r="B95" s="1" t="s">
        <v>230</v>
      </c>
      <c r="BQ95" s="1"/>
    </row>
    <row r="96" spans="2:97" hidden="1">
      <c r="B96" s="1" t="s">
        <v>231</v>
      </c>
      <c r="BQ96" s="1"/>
    </row>
    <row r="97" spans="2:97" hidden="1">
      <c r="B97" s="1" t="s">
        <v>232</v>
      </c>
      <c r="BQ97" s="1"/>
    </row>
    <row r="98" spans="2:97" hidden="1">
      <c r="B98" s="1" t="s">
        <v>233</v>
      </c>
      <c r="BQ98" s="1"/>
    </row>
    <row r="99" spans="2:97" hidden="1">
      <c r="B99" s="1" t="s">
        <v>234</v>
      </c>
      <c r="BQ99" s="1"/>
    </row>
    <row r="100" spans="2:97" hidden="1">
      <c r="BQ100" s="1"/>
    </row>
    <row r="101" spans="2:97">
      <c r="B101" s="1" t="s">
        <v>235</v>
      </c>
      <c r="AW101" s="1">
        <v>-77</v>
      </c>
      <c r="AX101" s="1">
        <f>192-AW101</f>
        <v>269</v>
      </c>
      <c r="AY101" s="1">
        <f>835-SUM(AW101:AX101)</f>
        <v>643</v>
      </c>
      <c r="AZ101" s="1">
        <f>1508-SUM(AW101:AY101)</f>
        <v>673</v>
      </c>
      <c r="BA101" s="1">
        <v>284</v>
      </c>
      <c r="BB101" s="1">
        <f>927-BA101</f>
        <v>643</v>
      </c>
      <c r="BC101" s="1">
        <f>1392-SUM(BA101:BB101)</f>
        <v>465</v>
      </c>
      <c r="BD101" s="1">
        <f>1870-SUM(BA101:BC101)</f>
        <v>478</v>
      </c>
      <c r="BE101" s="1">
        <v>190</v>
      </c>
      <c r="BF101" s="1">
        <f>249-BE101</f>
        <v>59</v>
      </c>
      <c r="BG101" s="1">
        <f>719-SUM(BE101:BF101)</f>
        <v>470</v>
      </c>
      <c r="BH101" s="1">
        <f>1526-SUM(BE101:BG101)</f>
        <v>807</v>
      </c>
      <c r="BI101" s="1">
        <v>190</v>
      </c>
      <c r="BJ101" s="1">
        <f>848-BI101</f>
        <v>658</v>
      </c>
      <c r="BK101" s="1">
        <f>1546-SUM(BI101:BJ101)</f>
        <v>698</v>
      </c>
      <c r="BL101" s="1">
        <f>2503-SUM(BI101:BK101)</f>
        <v>957</v>
      </c>
      <c r="BM101" s="1">
        <v>164</v>
      </c>
      <c r="BN101" s="1">
        <f>977-BM101</f>
        <v>813</v>
      </c>
      <c r="BO101" s="1">
        <f>1979-SUM(BM101:BN101)</f>
        <v>1002</v>
      </c>
      <c r="BP101" s="1">
        <f>3435-SUM(BM101:BO101)</f>
        <v>1456</v>
      </c>
      <c r="BQ101" s="1">
        <f>1979-SUM(BO101:BP101)</f>
        <v>-479</v>
      </c>
      <c r="CN101" s="9"/>
      <c r="CO101" s="9">
        <f t="shared" ref="CO101:CO105" si="168">SUM(AW101:AZ101)</f>
        <v>1508</v>
      </c>
      <c r="CP101" s="9">
        <f t="shared" ref="CP101:CP105" si="169">SUM(BA101:BD101)</f>
        <v>1870</v>
      </c>
      <c r="CQ101" s="9">
        <f t="shared" ref="CQ101:CQ105" si="170">SUM(BE101:BH101)</f>
        <v>1526</v>
      </c>
      <c r="CR101" s="9">
        <f>SUM(BI101:BK101)</f>
        <v>1546</v>
      </c>
      <c r="CS101" s="9">
        <f t="shared" ref="CS101:CS105" si="171">SUM(BM101:BP101)</f>
        <v>3435</v>
      </c>
    </row>
    <row r="102" spans="2:97">
      <c r="B102" s="1" t="s">
        <v>242</v>
      </c>
      <c r="AW102" s="1">
        <f>-100+3</f>
        <v>-97</v>
      </c>
      <c r="AX102" s="1">
        <f>-168+4-AW102</f>
        <v>-67</v>
      </c>
      <c r="AY102" s="1">
        <f>-217+6-SUM(AW102:AX102)</f>
        <v>-47</v>
      </c>
      <c r="AZ102" s="1">
        <f>-376+12-SUM(AW102:AY102)</f>
        <v>-153</v>
      </c>
      <c r="BA102" s="1">
        <f>-75+4</f>
        <v>-71</v>
      </c>
      <c r="BB102" s="1">
        <f>-181+7-BA102</f>
        <v>-103</v>
      </c>
      <c r="BC102" s="1">
        <f>-288+10-SUM(BA102:BB102)</f>
        <v>-104</v>
      </c>
      <c r="BD102" s="1">
        <f>-554+14-SUM(BA102:BC102)</f>
        <v>-262</v>
      </c>
      <c r="BE102" s="1">
        <f>-111+3</f>
        <v>-108</v>
      </c>
      <c r="BF102" s="1">
        <f>-226+9-BE102</f>
        <v>-109</v>
      </c>
      <c r="BG102" s="1">
        <f>-376+10-SUM(BE102:BF102)</f>
        <v>-149</v>
      </c>
      <c r="BH102" s="1">
        <f>-588+12-SUM(BE102:BG102)</f>
        <v>-210</v>
      </c>
      <c r="BI102" s="1">
        <f>-111+3</f>
        <v>-108</v>
      </c>
      <c r="BJ102" s="1">
        <f>-254+3-BI102</f>
        <v>-143</v>
      </c>
      <c r="BK102" s="1">
        <f>-444+4-SUM(BI102:BJ102)</f>
        <v>-189</v>
      </c>
      <c r="BL102" s="1">
        <f>-711+4-SUM(BI102:BK102)</f>
        <v>-267</v>
      </c>
      <c r="BM102" s="1">
        <f>-179+1</f>
        <v>-178</v>
      </c>
      <c r="BN102" s="1">
        <f>-334+1-BM102</f>
        <v>-155</v>
      </c>
      <c r="BO102" s="1">
        <f>-513+1-SUM(BM102:BN102)</f>
        <v>-179</v>
      </c>
      <c r="BP102" s="1">
        <f>-790+3-SUM(BM102:BO102)</f>
        <v>-275</v>
      </c>
      <c r="BQ102" s="1">
        <f>-513+1-SUM(BO102:BP102)</f>
        <v>-58</v>
      </c>
      <c r="CN102" s="9"/>
      <c r="CO102" s="9">
        <f t="shared" si="168"/>
        <v>-364</v>
      </c>
      <c r="CP102" s="9">
        <f t="shared" si="169"/>
        <v>-540</v>
      </c>
      <c r="CQ102" s="9">
        <f t="shared" si="170"/>
        <v>-576</v>
      </c>
      <c r="CR102" s="9">
        <f>SUM(BI102:BK102)</f>
        <v>-440</v>
      </c>
      <c r="CS102" s="9">
        <f t="shared" si="171"/>
        <v>-787</v>
      </c>
    </row>
    <row r="103" spans="2:97">
      <c r="B103" s="1" t="s">
        <v>236</v>
      </c>
      <c r="AW103" s="1">
        <f t="shared" ref="AW103" si="172">AW101+AW102</f>
        <v>-174</v>
      </c>
      <c r="AX103" s="1">
        <f t="shared" ref="AX103" si="173">AX101+AX102</f>
        <v>202</v>
      </c>
      <c r="AY103" s="1">
        <f>AY101+AY102</f>
        <v>596</v>
      </c>
      <c r="AZ103" s="1">
        <f t="shared" ref="AZ103" si="174">AZ101+AZ102</f>
        <v>520</v>
      </c>
      <c r="BA103" s="1">
        <f t="shared" ref="BA103" si="175">BA101+BA102</f>
        <v>213</v>
      </c>
      <c r="BB103" s="1">
        <f t="shared" ref="BB103" si="176">BB101+BB102</f>
        <v>540</v>
      </c>
      <c r="BC103" s="1">
        <f>BC101+BC102</f>
        <v>361</v>
      </c>
      <c r="BD103" s="1">
        <f t="shared" ref="BD103" si="177">BD101+BD102</f>
        <v>216</v>
      </c>
      <c r="BE103" s="1">
        <f t="shared" ref="BE103" si="178">BE101+BE102</f>
        <v>82</v>
      </c>
      <c r="BF103" s="1">
        <f t="shared" ref="BF103" si="179">BF101+BF102</f>
        <v>-50</v>
      </c>
      <c r="BG103" s="1">
        <f>BG101+BG102</f>
        <v>321</v>
      </c>
      <c r="BH103" s="1">
        <f t="shared" ref="BH103" si="180">BH101+BH102</f>
        <v>597</v>
      </c>
      <c r="BI103" s="1">
        <f t="shared" ref="BI103:BN103" si="181">BI101+BI102</f>
        <v>82</v>
      </c>
      <c r="BJ103" s="1">
        <f t="shared" si="181"/>
        <v>515</v>
      </c>
      <c r="BK103" s="1">
        <f>BK101+BK102</f>
        <v>509</v>
      </c>
      <c r="BL103" s="1">
        <f t="shared" si="181"/>
        <v>690</v>
      </c>
      <c r="BM103" s="1">
        <f t="shared" si="181"/>
        <v>-14</v>
      </c>
      <c r="BN103" s="1">
        <f t="shared" si="181"/>
        <v>658</v>
      </c>
      <c r="BO103" s="1">
        <f>BO101+BO102</f>
        <v>823</v>
      </c>
      <c r="BP103" s="1">
        <f>BP101+BP102</f>
        <v>1181</v>
      </c>
      <c r="BQ103" s="1">
        <f>BQ101+BQ102</f>
        <v>-537</v>
      </c>
      <c r="CN103" s="9"/>
      <c r="CO103" s="9">
        <f t="shared" si="168"/>
        <v>1144</v>
      </c>
      <c r="CP103" s="9">
        <f t="shared" si="169"/>
        <v>1330</v>
      </c>
      <c r="CQ103" s="9">
        <f t="shared" si="170"/>
        <v>950</v>
      </c>
      <c r="CR103" s="9">
        <f>SUM(BI103:BK103)</f>
        <v>1106</v>
      </c>
      <c r="CS103" s="9">
        <f t="shared" si="171"/>
        <v>2648</v>
      </c>
    </row>
    <row r="104" spans="2:97">
      <c r="B104" s="1" t="s">
        <v>1</v>
      </c>
      <c r="AW104" s="1">
        <f t="shared" ref="AW104:BQ104" si="182">AW61</f>
        <v>1397.4</v>
      </c>
      <c r="AX104" s="1">
        <f t="shared" si="182"/>
        <v>1410.9</v>
      </c>
      <c r="AY104" s="1">
        <f t="shared" si="182"/>
        <v>1430.9</v>
      </c>
      <c r="AZ104" s="1">
        <f t="shared" si="182"/>
        <v>1416.7</v>
      </c>
      <c r="BA104" s="1">
        <f t="shared" si="182"/>
        <v>1418.7</v>
      </c>
      <c r="BB104" s="1">
        <f t="shared" si="182"/>
        <v>1421.3</v>
      </c>
      <c r="BC104" s="1">
        <f t="shared" si="182"/>
        <v>1423.8</v>
      </c>
      <c r="BD104" s="1">
        <f t="shared" si="182"/>
        <v>1422.3</v>
      </c>
      <c r="BE104" s="1">
        <f t="shared" si="182"/>
        <v>1427.8</v>
      </c>
      <c r="BF104" s="1">
        <f t="shared" si="182"/>
        <v>1429.7</v>
      </c>
      <c r="BG104" s="1">
        <f t="shared" si="182"/>
        <v>1431.6</v>
      </c>
      <c r="BH104" s="1">
        <f t="shared" si="182"/>
        <v>1430.5</v>
      </c>
      <c r="BI104" s="1">
        <f t="shared" si="182"/>
        <v>1435.8</v>
      </c>
      <c r="BJ104" s="1">
        <f t="shared" si="182"/>
        <v>1446.2</v>
      </c>
      <c r="BK104" s="1">
        <f t="shared" si="182"/>
        <v>1464.5</v>
      </c>
      <c r="BL104" s="1">
        <f t="shared" si="182"/>
        <v>1453</v>
      </c>
      <c r="BM104" s="1">
        <f t="shared" si="182"/>
        <v>1468.4</v>
      </c>
      <c r="BN104" s="1">
        <f t="shared" si="182"/>
        <v>1470.6</v>
      </c>
      <c r="BO104" s="1">
        <f t="shared" si="182"/>
        <v>1472.7</v>
      </c>
      <c r="BP104" s="1">
        <f t="shared" si="182"/>
        <v>1471.5</v>
      </c>
      <c r="BQ104" s="1">
        <f t="shared" si="182"/>
        <v>1477.2</v>
      </c>
      <c r="CN104" s="9"/>
      <c r="CO104" s="9">
        <f t="shared" si="168"/>
        <v>5655.9000000000005</v>
      </c>
      <c r="CP104" s="9">
        <f t="shared" si="169"/>
        <v>5686.1</v>
      </c>
      <c r="CQ104" s="9">
        <f t="shared" si="170"/>
        <v>5719.6</v>
      </c>
      <c r="CR104" s="9">
        <f>SUM(BI104:BK104)</f>
        <v>4346.5</v>
      </c>
      <c r="CS104" s="9">
        <f t="shared" si="171"/>
        <v>5883.2</v>
      </c>
    </row>
    <row r="105" spans="2:97">
      <c r="B105" s="1" t="s">
        <v>237</v>
      </c>
      <c r="AW105" s="16">
        <f t="shared" ref="AW105:BQ105" si="183">AW103/AW104</f>
        <v>-0.124516960068699</v>
      </c>
      <c r="AX105" s="16">
        <f t="shared" si="183"/>
        <v>0.14317102558650505</v>
      </c>
      <c r="AY105" s="16">
        <f t="shared" si="183"/>
        <v>0.41652107065483257</v>
      </c>
      <c r="AZ105" s="16">
        <f t="shared" si="183"/>
        <v>0.36705018705442222</v>
      </c>
      <c r="BA105" s="16">
        <f t="shared" si="183"/>
        <v>0.15013744977796573</v>
      </c>
      <c r="BB105" s="16">
        <f t="shared" si="183"/>
        <v>0.37993386336452545</v>
      </c>
      <c r="BC105" s="16">
        <f t="shared" si="183"/>
        <v>0.25354684646720044</v>
      </c>
      <c r="BD105" s="16">
        <f t="shared" si="183"/>
        <v>0.15186669479012868</v>
      </c>
      <c r="BE105" s="16">
        <f t="shared" si="183"/>
        <v>5.7431012746883316E-2</v>
      </c>
      <c r="BF105" s="16">
        <f t="shared" si="183"/>
        <v>-3.4972371826257252E-2</v>
      </c>
      <c r="BG105" s="16">
        <f t="shared" si="183"/>
        <v>0.2242246437552389</v>
      </c>
      <c r="BH105" s="16">
        <f t="shared" si="183"/>
        <v>0.41733659559594549</v>
      </c>
      <c r="BI105" s="16">
        <f t="shared" si="183"/>
        <v>5.711101824766681E-2</v>
      </c>
      <c r="BJ105" s="16">
        <f t="shared" si="183"/>
        <v>0.3561056562024616</v>
      </c>
      <c r="BK105" s="16">
        <f t="shared" si="183"/>
        <v>0.34755889382041655</v>
      </c>
      <c r="BL105" s="16">
        <f t="shared" si="183"/>
        <v>0.47487955953200273</v>
      </c>
      <c r="BM105" s="16">
        <f t="shared" si="183"/>
        <v>-9.5341868700626522E-3</v>
      </c>
      <c r="BN105" s="16">
        <f t="shared" si="183"/>
        <v>0.44743642050863597</v>
      </c>
      <c r="BO105" s="16">
        <f t="shared" si="183"/>
        <v>0.5588375093365926</v>
      </c>
      <c r="BP105" s="16">
        <f t="shared" si="183"/>
        <v>0.80258239891267413</v>
      </c>
      <c r="BQ105" s="16">
        <f t="shared" si="183"/>
        <v>-0.36352558895207149</v>
      </c>
      <c r="BR105" s="23"/>
      <c r="BS105" s="23"/>
      <c r="BT105" s="23"/>
      <c r="CN105" s="12"/>
      <c r="CO105" s="12">
        <f t="shared" si="168"/>
        <v>0.80222532322706086</v>
      </c>
      <c r="CP105" s="12">
        <f t="shared" si="169"/>
        <v>0.93548485439982032</v>
      </c>
      <c r="CQ105" s="12">
        <f t="shared" si="170"/>
        <v>0.66401988027181047</v>
      </c>
      <c r="CR105" s="12">
        <f>SUM(BI105:BL105)</f>
        <v>1.2356551278025476</v>
      </c>
      <c r="CS105" s="12">
        <f t="shared" si="171"/>
        <v>1.79932214188784</v>
      </c>
    </row>
    <row r="106" spans="2:97">
      <c r="BQ106" s="1"/>
    </row>
    <row r="107" spans="2:97">
      <c r="BQ107" s="1"/>
    </row>
    <row r="108" spans="2:97">
      <c r="BQ108" s="1"/>
    </row>
    <row r="109" spans="2:97">
      <c r="BQ109" s="1"/>
    </row>
    <row r="110" spans="2:97">
      <c r="BQ110" s="1"/>
    </row>
    <row r="111" spans="2:97">
      <c r="BQ111" s="1"/>
    </row>
    <row r="112" spans="2:97">
      <c r="BQ112" s="1"/>
    </row>
    <row r="113" spans="69:69">
      <c r="BQ113" s="1"/>
    </row>
    <row r="114" spans="69:69">
      <c r="BQ114" s="1"/>
    </row>
    <row r="115" spans="69:69">
      <c r="BQ115" s="1"/>
    </row>
    <row r="116" spans="69:69">
      <c r="BQ116" s="1"/>
    </row>
    <row r="117" spans="69:69">
      <c r="BQ117" s="1"/>
    </row>
    <row r="118" spans="69:69">
      <c r="BQ118" s="1"/>
    </row>
    <row r="119" spans="69:69">
      <c r="BQ119" s="1"/>
    </row>
  </sheetData>
  <pageMargins left="0.7" right="0.7" top="0.75" bottom="0.75" header="0.3" footer="0.3"/>
  <ignoredErrors>
    <ignoredError sqref="CD57:CR57 CD44:CR44 CD52:CR52 CD40:CR40 CD41:CR41 CD42:CR42 CD43:CR43 CD54:CR54 CD55:CR55 CD56:CR56 CS40:CS57 BP59 BD41:BD59 CO61:CS61 CO59:CR59" formulaRange="1"/>
    <ignoredError sqref="CO29:CS38 CN16:CS18 CO19:CS21" evalError="1"/>
    <ignoredError sqref="CN6:CS6 BO13 BA27 BA14 BH14"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W1:BL15"/>
  <sheetViews>
    <sheetView zoomScale="70" zoomScaleNormal="70" workbookViewId="0">
      <selection activeCell="W10" sqref="W10"/>
    </sheetView>
  </sheetViews>
  <sheetFormatPr defaultRowHeight="14.25"/>
  <cols>
    <col min="1" max="1" width="3.140625" style="1" customWidth="1"/>
    <col min="2" max="16384" width="9.140625" style="1"/>
  </cols>
  <sheetData>
    <row r="1" spans="23:64">
      <c r="BL1" s="1">
        <v>0</v>
      </c>
    </row>
    <row r="2" spans="23:64">
      <c r="W2" s="1" t="s">
        <v>254</v>
      </c>
    </row>
    <row r="3" spans="23:64">
      <c r="X3" s="1" t="s">
        <v>255</v>
      </c>
    </row>
    <row r="4" spans="23:64">
      <c r="X4" s="1" t="s">
        <v>256</v>
      </c>
    </row>
    <row r="5" spans="23:64">
      <c r="X5" s="1" t="s">
        <v>257</v>
      </c>
    </row>
    <row r="7" spans="23:64">
      <c r="X7" s="1" t="s">
        <v>258</v>
      </c>
    </row>
    <row r="9" spans="23:64">
      <c r="W9" s="1" t="s">
        <v>265</v>
      </c>
    </row>
    <row r="10" spans="23:64">
      <c r="X10" s="1" t="s">
        <v>259</v>
      </c>
    </row>
    <row r="11" spans="23:64">
      <c r="X11" s="1" t="s">
        <v>260</v>
      </c>
    </row>
    <row r="12" spans="23:64">
      <c r="Y12" s="1" t="s">
        <v>261</v>
      </c>
    </row>
    <row r="13" spans="23:64">
      <c r="X13" s="1" t="s">
        <v>262</v>
      </c>
    </row>
    <row r="14" spans="23:64">
      <c r="Y14" s="1" t="s">
        <v>263</v>
      </c>
    </row>
    <row r="15" spans="23:64">
      <c r="X15" s="1" t="s">
        <v>264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sqref="A1:XFD1048576"/>
    </sheetView>
  </sheetViews>
  <sheetFormatPr defaultRowHeight="14.25"/>
  <cols>
    <col min="1" max="1" width="3" style="1" customWidth="1"/>
    <col min="2" max="16384" width="9.140625" style="1"/>
  </cols>
  <sheetData>
    <row r="2" spans="2:3">
      <c r="B2" s="1" t="s">
        <v>117</v>
      </c>
    </row>
    <row r="3" spans="2:3">
      <c r="C3" s="1" t="s">
        <v>119</v>
      </c>
    </row>
    <row r="4" spans="2:3">
      <c r="C4" s="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RowHeight="14.25"/>
  <cols>
    <col min="1" max="1" width="3.28515625" style="1" customWidth="1"/>
    <col min="2" max="16384" width="9.140625" style="1"/>
  </cols>
  <sheetData>
    <row r="2" spans="2:2">
      <c r="B2" s="2" t="s">
        <v>120</v>
      </c>
    </row>
    <row r="3" spans="2:2">
      <c r="B3" s="2" t="s">
        <v>121</v>
      </c>
    </row>
    <row r="4" spans="2:2">
      <c r="B4" s="2" t="s">
        <v>122</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 Overview</vt:lpstr>
      <vt:lpstr>Model</vt:lpstr>
      <vt:lpstr>Notes | Quant Analysis</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2025-04-27T08:45:03Z</dcterms:modified>
</cp:coreProperties>
</file>