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710781D4-B9C0-4AB3-A6A2-92E6BA3E36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7" i="1"/>
  <c r="R19" i="1"/>
  <c r="R22" i="1"/>
  <c r="R20" i="1"/>
  <c r="R21" i="1"/>
  <c r="R23" i="1"/>
  <c r="R24" i="1"/>
  <c r="R25" i="1"/>
  <c r="R26" i="1"/>
  <c r="R28" i="1"/>
  <c r="R27" i="1"/>
  <c r="R34" i="1"/>
  <c r="R30" i="1"/>
  <c r="R32" i="1"/>
  <c r="R33" i="1"/>
  <c r="R31" i="1"/>
  <c r="R35" i="1"/>
  <c r="R36" i="1"/>
  <c r="R38" i="1"/>
  <c r="R37" i="1"/>
  <c r="R40" i="1"/>
  <c r="R39" i="1"/>
  <c r="R41" i="1"/>
  <c r="R44" i="1"/>
  <c r="R43" i="1"/>
  <c r="R42" i="1"/>
  <c r="R46" i="1"/>
  <c r="R45" i="1"/>
  <c r="R48" i="1"/>
  <c r="R47" i="1"/>
  <c r="R50" i="1"/>
  <c r="R49" i="1"/>
  <c r="R51" i="1"/>
  <c r="R52" i="1"/>
  <c r="R53" i="1"/>
  <c r="R54" i="1"/>
  <c r="R55" i="1"/>
  <c r="R56" i="1"/>
  <c r="R5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8" i="1"/>
  <c r="Q17" i="1"/>
  <c r="Q19" i="1"/>
  <c r="Q22" i="1"/>
  <c r="Q20" i="1"/>
  <c r="Q21" i="1"/>
  <c r="Q23" i="1"/>
  <c r="Q24" i="1"/>
  <c r="Q25" i="1"/>
  <c r="Q26" i="1"/>
  <c r="Q28" i="1"/>
  <c r="Q27" i="1"/>
  <c r="Q34" i="1"/>
  <c r="Q30" i="1"/>
  <c r="Q32" i="1"/>
  <c r="Q33" i="1"/>
  <c r="Q31" i="1"/>
  <c r="Q35" i="1"/>
  <c r="Q36" i="1"/>
  <c r="Q38" i="1"/>
  <c r="Q37" i="1"/>
  <c r="Q40" i="1"/>
  <c r="Q39" i="1"/>
  <c r="Q41" i="1"/>
  <c r="Q44" i="1"/>
  <c r="Q43" i="1"/>
  <c r="Q42" i="1"/>
  <c r="Q46" i="1"/>
  <c r="Q45" i="1"/>
  <c r="Q48" i="1"/>
  <c r="Q47" i="1"/>
  <c r="Q50" i="1"/>
  <c r="Q49" i="1"/>
  <c r="Q51" i="1"/>
  <c r="Q52" i="1"/>
  <c r="Q53" i="1"/>
  <c r="Q54" i="1"/>
  <c r="Q55" i="1"/>
  <c r="Q56" i="1"/>
  <c r="Q57" i="1"/>
  <c r="Q29" i="1" l="1"/>
  <c r="R29" i="1"/>
  <c r="G44" i="1"/>
  <c r="I44" i="1"/>
  <c r="F44" i="1"/>
  <c r="H10" i="1"/>
  <c r="G10" i="1"/>
  <c r="G9" i="1"/>
  <c r="H9" i="1"/>
  <c r="H30" i="1" l="1"/>
  <c r="K30" i="1" l="1"/>
  <c r="L30" i="1" s="1"/>
  <c r="J30" i="1"/>
  <c r="G38" i="1"/>
  <c r="F48" i="1"/>
  <c r="F40" i="1"/>
  <c r="H29" i="1" l="1"/>
  <c r="F23" i="1"/>
  <c r="I23" i="1" s="1"/>
  <c r="F41" i="1"/>
  <c r="I41" i="1" s="1"/>
  <c r="F26" i="1"/>
  <c r="F47" i="1"/>
  <c r="F6" i="1"/>
  <c r="F36" i="1"/>
  <c r="F55" i="1"/>
  <c r="F9" i="1"/>
  <c r="I9" i="1" s="1"/>
  <c r="F57" i="1"/>
  <c r="I57" i="1" s="1"/>
  <c r="F22" i="1"/>
  <c r="F15" i="1"/>
  <c r="F32" i="1"/>
  <c r="F24" i="1"/>
  <c r="F20" i="1"/>
  <c r="I20" i="1" s="1"/>
  <c r="F29" i="1"/>
  <c r="F18" i="1"/>
  <c r="I18" i="1" s="1"/>
  <c r="F4" i="1"/>
  <c r="I4" i="1" s="1"/>
  <c r="F12" i="1"/>
  <c r="F27" i="1"/>
  <c r="F54" i="1"/>
  <c r="F46" i="1"/>
  <c r="F34" i="1"/>
  <c r="F11" i="1"/>
  <c r="I11" i="1" s="1"/>
  <c r="F7" i="1"/>
  <c r="F56" i="1"/>
  <c r="F45" i="1"/>
  <c r="F25" i="1"/>
  <c r="F8" i="1"/>
  <c r="F17" i="1"/>
  <c r="F51" i="1"/>
  <c r="F49" i="1"/>
  <c r="I49" i="1" s="1"/>
  <c r="F13" i="1"/>
  <c r="I13" i="1" s="1"/>
  <c r="F31" i="1"/>
  <c r="F16" i="1"/>
  <c r="F30" i="1"/>
  <c r="F28" i="1"/>
  <c r="F35" i="1"/>
  <c r="F14" i="1"/>
  <c r="F37" i="1"/>
  <c r="I37" i="1" s="1"/>
  <c r="F19" i="1"/>
  <c r="I19" i="1" s="1"/>
  <c r="F39" i="1"/>
  <c r="F5" i="1"/>
  <c r="F3" i="1"/>
  <c r="F42" i="1"/>
  <c r="F33" i="1"/>
  <c r="F10" i="1"/>
  <c r="I10" i="1" s="1"/>
  <c r="F50" i="1"/>
  <c r="F21" i="1"/>
  <c r="F38" i="1"/>
  <c r="F43" i="1"/>
  <c r="F53" i="1"/>
  <c r="F52" i="1"/>
  <c r="I26" i="1" l="1"/>
  <c r="I22" i="1"/>
  <c r="I52" i="1"/>
  <c r="I33" i="1"/>
  <c r="I14" i="1"/>
  <c r="I51" i="1"/>
  <c r="I34" i="1"/>
  <c r="I53" i="1"/>
  <c r="I42" i="1"/>
  <c r="I35" i="1"/>
  <c r="I17" i="1"/>
  <c r="I46" i="1"/>
  <c r="I47" i="1"/>
  <c r="I43" i="1"/>
  <c r="I28" i="1"/>
  <c r="I8" i="1"/>
  <c r="I6" i="1"/>
  <c r="I15" i="1"/>
  <c r="I38" i="1"/>
  <c r="I3" i="1"/>
  <c r="I30" i="1"/>
  <c r="I25" i="1"/>
  <c r="I54" i="1"/>
  <c r="I36" i="1"/>
  <c r="I32" i="1"/>
  <c r="I21" i="1"/>
  <c r="I5" i="1"/>
  <c r="I16" i="1"/>
  <c r="I45" i="1"/>
  <c r="I27" i="1"/>
  <c r="I55" i="1"/>
  <c r="I24" i="1"/>
  <c r="I50" i="1"/>
  <c r="I39" i="1"/>
  <c r="I31" i="1"/>
  <c r="I56" i="1"/>
  <c r="I12" i="1"/>
  <c r="I7" i="1" l="1"/>
  <c r="J29" i="1" l="1"/>
  <c r="K29" i="1" l="1"/>
  <c r="L29" i="1" s="1"/>
  <c r="I29" i="1"/>
</calcChain>
</file>

<file path=xl/sharedStrings.xml><?xml version="1.0" encoding="utf-8"?>
<sst xmlns="http://schemas.openxmlformats.org/spreadsheetml/2006/main" count="269" uniqueCount="205">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</sst>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64" fontId="2" fillId="0" borderId="0" xfId="0" applyNumberFormat="1" applyFont="1"/>
    <xf numFmtId="44" fontId="2" fillId="3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0" fontId="10" fillId="2" borderId="0" xfId="0" applyFont="1" applyFill="1"/>
    <xf numFmtId="44" fontId="2" fillId="0" borderId="0" xfId="4" applyFont="1"/>
    <xf numFmtId="2" fontId="2" fillId="0" borderId="0" xfId="0" applyNumberFormat="1" applyFont="1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37</xdr:row>
      <xdr:rowOff>89596</xdr:rowOff>
    </xdr:from>
    <xdr:to>
      <xdr:col>22</xdr:col>
      <xdr:colOff>145676</xdr:colOff>
      <xdr:row>37</xdr:row>
      <xdr:rowOff>95199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32121" y="6648239"/>
          <a:ext cx="18473698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47</xdr:row>
      <xdr:rowOff>89316</xdr:rowOff>
    </xdr:from>
    <xdr:to>
      <xdr:col>22</xdr:col>
      <xdr:colOff>145676</xdr:colOff>
      <xdr:row>47</xdr:row>
      <xdr:rowOff>94919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46285" y="8115164"/>
          <a:ext cx="17723565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11206</xdr:colOff>
      <xdr:row>39</xdr:row>
      <xdr:rowOff>97931</xdr:rowOff>
    </xdr:from>
    <xdr:to>
      <xdr:col>22</xdr:col>
      <xdr:colOff>128868</xdr:colOff>
      <xdr:row>39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18271" y="6732301"/>
          <a:ext cx="17734771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9389.9160729781779</v>
          </cell>
        </row>
        <row r="55">
          <cell r="BZ55">
            <v>68.364878580110513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12198.536959271867</v>
          </cell>
        </row>
        <row r="61">
          <cell r="BU61">
            <v>316.024273556266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1" xr3:uid="{4ADE19BB-14C4-42AC-B83A-E2835EC9AF59}" name="Name" dataDxfId="21"/>
    <tableColumn id="3" xr3:uid="{05528B30-84E5-47F8-B34B-D68B609D23DB}" name="Ticker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'[2]Main | Overview'!$C$8</calculatedColumnFormula>
    </tableColumn>
    <tableColumn id="7" xr3:uid="{6E413DC7-C096-40D4-880F-FE61A084FF48}" name="Debt ($M)" dataDxfId="15">
      <calculatedColumnFormula>'[2]Main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[2]Model!$BU$59</calculatedColumnFormula>
    </tableColumn>
    <tableColumn id="13" xr3:uid="{4B18EB84-1D1D-418D-B73C-711F922F8784}" name="FV" dataDxfId="12">
      <calculatedColumnFormula>[2]Model!$BU$61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0"/>
    <tableColumn id="9" xr3:uid="{E85E09CB-6FE0-423B-89F7-C9D5B949589A}" name="Updated " dataDxfId="4"/>
    <tableColumn id="2" xr3:uid="{BB2AE59D-C90C-4401-8D15-02753853694C}" name="Category 1" dataDxfId="3"/>
    <tableColumn id="10" xr3:uid="{A650D578-4FE4-4503-BF1B-C0AA4BD9444E}" name="Category 2" dataDxfId="2"/>
    <tableColumn id="16" xr3:uid="{F4FAD2E0-4820-4CBD-8A31-D295F24769E4}" name="Category 1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table" Target="../tables/table1.xm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GMED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0" Type="http://schemas.openxmlformats.org/officeDocument/2006/relationships/hyperlink" Target="EW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tabSelected="1" zoomScale="70" zoomScaleNormal="70" workbookViewId="0">
      <selection activeCell="J36" sqref="J36"/>
    </sheetView>
  </sheetViews>
  <sheetFormatPr defaultColWidth="9" defaultRowHeight="15"/>
  <cols>
    <col min="1" max="1" width="3.140625" style="2" customWidth="1"/>
    <col min="2" max="2" width="24.42578125" style="2" bestFit="1" customWidth="1"/>
    <col min="3" max="3" width="9.7109375" style="2" customWidth="1"/>
    <col min="4" max="4" width="12.42578125" style="3" customWidth="1"/>
    <col min="5" max="5" width="9.28515625" style="2" customWidth="1"/>
    <col min="6" max="9" width="13.5703125" style="3" customWidth="1"/>
    <col min="10" max="11" width="13.5703125" style="2" customWidth="1"/>
    <col min="12" max="12" width="11.7109375" style="2" customWidth="1"/>
    <col min="13" max="13" width="7" style="2" customWidth="1"/>
    <col min="14" max="14" width="7.7109375" style="2" customWidth="1"/>
    <col min="15" max="15" width="9.85546875" customWidth="1"/>
    <col min="16" max="16" width="9.7109375" style="2" customWidth="1"/>
    <col min="17" max="18" width="8.28515625" style="2" customWidth="1"/>
    <col min="19" max="19" width="9.7109375" style="2" customWidth="1"/>
    <col min="20" max="20" width="11.42578125" style="2" customWidth="1"/>
    <col min="21" max="21" width="24.85546875" style="2" customWidth="1"/>
    <col min="22" max="22" width="28.28515625" style="2" customWidth="1"/>
    <col min="23" max="23" width="3" style="2" customWidth="1"/>
    <col min="24" max="24" width="3.140625" style="2" customWidth="1"/>
    <col min="25" max="16384" width="9" style="2"/>
  </cols>
  <sheetData>
    <row r="1" spans="1:23" ht="14.25">
      <c r="A1" s="13" t="s">
        <v>193</v>
      </c>
      <c r="B1" s="3"/>
      <c r="O1" s="2"/>
    </row>
    <row r="2" spans="1:23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171</v>
      </c>
      <c r="K2" s="1" t="s">
        <v>172</v>
      </c>
      <c r="L2" s="1" t="s">
        <v>173</v>
      </c>
      <c r="M2" s="14" t="s">
        <v>201</v>
      </c>
      <c r="N2" s="1" t="s">
        <v>202</v>
      </c>
      <c r="O2" s="1" t="s">
        <v>192</v>
      </c>
      <c r="P2" s="1" t="s">
        <v>203</v>
      </c>
      <c r="Q2" s="1" t="s">
        <v>199</v>
      </c>
      <c r="R2" s="1" t="s">
        <v>200</v>
      </c>
      <c r="S2" s="1" t="s">
        <v>204</v>
      </c>
      <c r="T2" s="1" t="s">
        <v>8</v>
      </c>
      <c r="U2" s="1" t="s">
        <v>133</v>
      </c>
      <c r="V2" s="1" t="s">
        <v>134</v>
      </c>
      <c r="W2" s="1" t="s">
        <v>175</v>
      </c>
    </row>
    <row r="3" spans="1:23" ht="13.9" customHeight="1">
      <c r="B3" s="2" t="s">
        <v>72</v>
      </c>
      <c r="C3" s="8" t="s">
        <v>58</v>
      </c>
      <c r="D3" s="2">
        <v>155.80000000000001</v>
      </c>
      <c r="E3" s="4">
        <v>2406</v>
      </c>
      <c r="F3" s="6">
        <f>Table4[[#This Row],[Price]]*Table4[[#This Row],[Share Count ]]</f>
        <v>374854.80000000005</v>
      </c>
      <c r="G3" s="3">
        <v>38781</v>
      </c>
      <c r="H3" s="6">
        <v>47900</v>
      </c>
      <c r="I3" s="6">
        <f>Table4[[#This Row],[MC ($M)]]-Table4[[#This Row],[Cash ($M)]]+Table4[[#This Row],[Debt ($M)]]</f>
        <v>383973.80000000005</v>
      </c>
      <c r="J3" s="3"/>
      <c r="K3" s="3"/>
      <c r="L3" s="9"/>
      <c r="M3" s="2">
        <v>0.48</v>
      </c>
      <c r="N3" s="9"/>
      <c r="O3" s="15">
        <v>10.61</v>
      </c>
      <c r="P3" s="15">
        <v>11.1</v>
      </c>
      <c r="Q3" s="2">
        <f>Table4[[#This Row],[Price]]/Table4[[#This Row],[FY Earnings Estimates]]</f>
        <v>14.684260131950991</v>
      </c>
      <c r="R3" s="2">
        <f>Table4[[#This Row],[Price]]/Table4[[#This Row],[FY Earnings Estimates (2-years)]]</f>
        <v>14.036036036036037</v>
      </c>
      <c r="S3" s="2">
        <v>138100</v>
      </c>
      <c r="T3" s="12" t="s">
        <v>197</v>
      </c>
      <c r="U3" s="2" t="s">
        <v>83</v>
      </c>
      <c r="V3" s="2" t="s">
        <v>111</v>
      </c>
      <c r="W3" s="7" t="s">
        <v>198</v>
      </c>
    </row>
    <row r="4" spans="1:23" ht="13.9" customHeight="1">
      <c r="B4" s="2" t="s">
        <v>69</v>
      </c>
      <c r="C4" s="8" t="s">
        <v>9</v>
      </c>
      <c r="D4" s="2">
        <v>134.38999999999999</v>
      </c>
      <c r="E4" s="4">
        <v>1734</v>
      </c>
      <c r="F4" s="6">
        <f>Table4[[#This Row],[Price]]*Table4[[#This Row],[Share Count ]]</f>
        <v>233032.25999999998</v>
      </c>
      <c r="G4" s="6">
        <v>7967</v>
      </c>
      <c r="H4" s="6">
        <v>14125</v>
      </c>
      <c r="I4" s="6">
        <f>Table4[[#This Row],[MC ($M)]]-Table4[[#This Row],[Cash ($M)]]+Table4[[#This Row],[Debt ($M)]]</f>
        <v>239190.25999999998</v>
      </c>
      <c r="J4" s="3"/>
      <c r="K4" s="3"/>
      <c r="L4" s="9"/>
      <c r="M4" s="16">
        <v>0.8</v>
      </c>
      <c r="N4" s="9"/>
      <c r="O4" s="15">
        <v>5.16</v>
      </c>
      <c r="P4" s="15">
        <v>5.68</v>
      </c>
      <c r="Q4" s="2">
        <f>Table4[[#This Row],[Price]]/Table4[[#This Row],[FY Earnings Estimates]]</f>
        <v>26.04457364341085</v>
      </c>
      <c r="R4" s="2">
        <f>Table4[[#This Row],[Price]]/Table4[[#This Row],[FY Earnings Estimates (2-years)]]</f>
        <v>23.660211267605632</v>
      </c>
      <c r="S4" s="2">
        <v>114000</v>
      </c>
      <c r="T4" s="2" t="s">
        <v>174</v>
      </c>
      <c r="U4" s="2" t="s">
        <v>83</v>
      </c>
      <c r="V4" s="2" t="s">
        <v>84</v>
      </c>
      <c r="W4" s="7" t="s">
        <v>198</v>
      </c>
    </row>
    <row r="5" spans="1:23" ht="13.9" customHeight="1">
      <c r="B5" s="2" t="s">
        <v>153</v>
      </c>
      <c r="C5" s="2" t="s">
        <v>10</v>
      </c>
      <c r="D5" s="2">
        <v>528.99</v>
      </c>
      <c r="E5" s="4">
        <v>356.6</v>
      </c>
      <c r="F5" s="6">
        <f>Table4[[#This Row],[Price]]*Table4[[#This Row],[Share Count ]]</f>
        <v>188637.834</v>
      </c>
      <c r="G5" s="6"/>
      <c r="H5" s="6"/>
      <c r="I5" s="6">
        <f>Table4[[#This Row],[MC ($M)]]-Table4[[#This Row],[Cash ($M)]]+Table4[[#This Row],[Debt ($M)]]</f>
        <v>188637.834</v>
      </c>
      <c r="J5" s="3"/>
      <c r="K5" s="3"/>
      <c r="L5" s="9"/>
      <c r="N5" s="9"/>
      <c r="O5" s="15"/>
      <c r="P5" s="15"/>
      <c r="Q5" s="2" t="e">
        <f>Table4[[#This Row],[Price]]/Table4[[#This Row],[FY Earnings Estimates]]</f>
        <v>#DIV/0!</v>
      </c>
      <c r="R5" s="2" t="e">
        <f>Table4[[#This Row],[Price]]/Table4[[#This Row],[FY Earnings Estimates (2-years)]]</f>
        <v>#DIV/0!</v>
      </c>
      <c r="T5" s="12"/>
      <c r="U5" s="2" t="s">
        <v>85</v>
      </c>
      <c r="V5" s="2" t="s">
        <v>110</v>
      </c>
      <c r="W5" s="3"/>
    </row>
    <row r="6" spans="1:23" ht="13.9" customHeight="1">
      <c r="B6" s="2" t="s">
        <v>179</v>
      </c>
      <c r="C6" s="2" t="s">
        <v>66</v>
      </c>
      <c r="D6" s="2">
        <v>423</v>
      </c>
      <c r="E6" s="4">
        <v>380.8</v>
      </c>
      <c r="F6" s="6">
        <f>Table4[[#This Row],[Price]]*Table4[[#This Row],[Share Count ]]</f>
        <v>161078.39999999999</v>
      </c>
      <c r="G6" s="6"/>
      <c r="H6" s="6"/>
      <c r="I6" s="6">
        <f>Table4[[#This Row],[MC ($M)]]-Table4[[#This Row],[Cash ($M)]]+Table4[[#This Row],[Debt ($M)]]</f>
        <v>161078.39999999999</v>
      </c>
      <c r="J6" s="3"/>
      <c r="K6" s="3"/>
      <c r="L6" s="9"/>
      <c r="N6" s="9"/>
      <c r="O6" s="15"/>
      <c r="P6" s="15"/>
      <c r="Q6" s="2" t="e">
        <f>Table4[[#This Row],[Price]]/Table4[[#This Row],[FY Earnings Estimates]]</f>
        <v>#DIV/0!</v>
      </c>
      <c r="R6" s="2" t="e">
        <f>Table4[[#This Row],[Price]]/Table4[[#This Row],[FY Earnings Estimates (2-years)]]</f>
        <v>#DIV/0!</v>
      </c>
      <c r="T6" s="12"/>
      <c r="U6" s="2" t="s">
        <v>81</v>
      </c>
      <c r="V6" s="2" t="s">
        <v>129</v>
      </c>
      <c r="W6" s="3"/>
    </row>
    <row r="7" spans="1:23" ht="13.9" customHeight="1">
      <c r="B7" s="2" t="s">
        <v>138</v>
      </c>
      <c r="C7" s="8" t="s">
        <v>16</v>
      </c>
      <c r="D7" s="2">
        <v>104.98</v>
      </c>
      <c r="E7" s="4">
        <v>1476</v>
      </c>
      <c r="F7" s="6">
        <f>Table4[[#This Row],[Price]]*Table4[[#This Row],[Share Count ]]</f>
        <v>154950.48000000001</v>
      </c>
      <c r="G7" s="6">
        <v>2502</v>
      </c>
      <c r="H7" s="6">
        <v>10885</v>
      </c>
      <c r="I7" s="6">
        <f>Table4[[#This Row],[MC ($M)]]-Table4[[#This Row],[Cash ($M)]]+Table4[[#This Row],[Debt ($M)]]</f>
        <v>163333.48000000001</v>
      </c>
      <c r="J7" s="3"/>
      <c r="K7" s="3"/>
      <c r="L7" s="9"/>
      <c r="M7" s="2">
        <v>0.73</v>
      </c>
      <c r="N7" s="9">
        <v>1.38E-2</v>
      </c>
      <c r="O7" s="15">
        <v>3.44</v>
      </c>
      <c r="P7" s="15">
        <v>3.92</v>
      </c>
      <c r="Q7" s="2">
        <f>Table4[[#This Row],[Price]]/Table4[[#This Row],[FY Earnings Estimates]]</f>
        <v>30.517441860465119</v>
      </c>
      <c r="R7" s="2">
        <f>Table4[[#This Row],[Price]]/Table4[[#This Row],[FY Earnings Estimates (2-years)]]</f>
        <v>26.780612244897959</v>
      </c>
      <c r="S7" s="2">
        <v>53000</v>
      </c>
      <c r="T7" s="12" t="s">
        <v>197</v>
      </c>
      <c r="U7" s="2" t="s">
        <v>85</v>
      </c>
      <c r="V7" s="2" t="s">
        <v>91</v>
      </c>
      <c r="W7" s="7" t="s">
        <v>198</v>
      </c>
    </row>
    <row r="8" spans="1:23" ht="13.9" customHeight="1">
      <c r="B8" s="2" t="s">
        <v>141</v>
      </c>
      <c r="C8" s="2" t="s">
        <v>49</v>
      </c>
      <c r="D8" s="2">
        <v>198.43</v>
      </c>
      <c r="E8" s="4">
        <v>719.2</v>
      </c>
      <c r="F8" s="6">
        <f>Table4[[#This Row],[Price]]*Table4[[#This Row],[Share Count ]]</f>
        <v>142710.856</v>
      </c>
      <c r="G8" s="6"/>
      <c r="H8" s="6"/>
      <c r="I8" s="6">
        <f>Table4[[#This Row],[MC ($M)]]-Table4[[#This Row],[Cash ($M)]]+Table4[[#This Row],[Debt ($M)]]</f>
        <v>142710.856</v>
      </c>
      <c r="J8" s="3"/>
      <c r="K8" s="3"/>
      <c r="L8" s="9"/>
      <c r="N8" s="9"/>
      <c r="O8" s="15"/>
      <c r="P8" s="15"/>
      <c r="Q8" s="2" t="e">
        <f>Table4[[#This Row],[Price]]/Table4[[#This Row],[FY Earnings Estimates]]</f>
        <v>#DIV/0!</v>
      </c>
      <c r="R8" s="2" t="e">
        <f>Table4[[#This Row],[Price]]/Table4[[#This Row],[FY Earnings Estimates (2-years)]]</f>
        <v>#DIV/0!</v>
      </c>
      <c r="T8" s="12"/>
      <c r="U8" s="2" t="s">
        <v>81</v>
      </c>
      <c r="V8" s="2" t="s">
        <v>95</v>
      </c>
      <c r="W8" s="3"/>
    </row>
    <row r="9" spans="1:23" ht="13.9" customHeight="1">
      <c r="B9" s="2" t="s">
        <v>164</v>
      </c>
      <c r="C9" s="8" t="s">
        <v>11</v>
      </c>
      <c r="D9" s="2">
        <v>373.67</v>
      </c>
      <c r="E9" s="4">
        <v>381.4</v>
      </c>
      <c r="F9" s="6">
        <f>Table4[[#This Row],[Price]]*Table4[[#This Row],[Share Count ]]</f>
        <v>142517.73800000001</v>
      </c>
      <c r="G9" s="6">
        <f>3850+834</f>
        <v>4684</v>
      </c>
      <c r="H9" s="6">
        <f>2159+13325</f>
        <v>15484</v>
      </c>
      <c r="I9" s="6">
        <f>Table4[[#This Row],[MC ($M)]]-Table4[[#This Row],[Cash ($M)]]+Table4[[#This Row],[Debt ($M)]]</f>
        <v>153317.73800000001</v>
      </c>
      <c r="J9" s="3"/>
      <c r="K9" s="3"/>
      <c r="L9" s="9"/>
      <c r="M9" s="2">
        <v>0.94</v>
      </c>
      <c r="N9" s="9">
        <v>1.3299999999999999E-2</v>
      </c>
      <c r="O9" s="15">
        <v>13.44</v>
      </c>
      <c r="P9" s="15">
        <v>14.87</v>
      </c>
      <c r="Q9" s="2">
        <f>Table4[[#This Row],[Price]]/Table4[[#This Row],[FY Earnings Estimates]]</f>
        <v>27.802827380952383</v>
      </c>
      <c r="R9" s="2">
        <f>Table4[[#This Row],[Price]]/Table4[[#This Row],[FY Earnings Estimates (2-years)]]</f>
        <v>25.129119031607264</v>
      </c>
      <c r="S9" s="2">
        <v>53000</v>
      </c>
      <c r="T9" s="12" t="s">
        <v>174</v>
      </c>
      <c r="U9" s="2" t="s">
        <v>85</v>
      </c>
      <c r="V9" s="2" t="s">
        <v>126</v>
      </c>
      <c r="W9" s="7" t="s">
        <v>198</v>
      </c>
    </row>
    <row r="10" spans="1:23" ht="13.9" customHeight="1">
      <c r="B10" s="2" t="s">
        <v>12</v>
      </c>
      <c r="C10" s="8" t="s">
        <v>13</v>
      </c>
      <c r="D10" s="2">
        <v>85.25</v>
      </c>
      <c r="E10" s="4">
        <v>1315</v>
      </c>
      <c r="F10" s="6">
        <f>Table4[[#This Row],[Price]]*Table4[[#This Row],[Share Count ]]</f>
        <v>112103.75</v>
      </c>
      <c r="G10" s="6">
        <f>1240+6682</f>
        <v>7922</v>
      </c>
      <c r="H10" s="6">
        <f>2622+23935</f>
        <v>26557</v>
      </c>
      <c r="I10" s="6">
        <f>Table4[[#This Row],[MC ($M)]]-Table4[[#This Row],[Cash ($M)]]+Table4[[#This Row],[Debt ($M)]]</f>
        <v>130738.75</v>
      </c>
      <c r="J10" s="3"/>
      <c r="K10" s="3"/>
      <c r="L10" s="9"/>
      <c r="N10" s="9"/>
      <c r="O10" s="15"/>
      <c r="P10" s="15"/>
      <c r="Q10" s="2" t="e">
        <f>Table4[[#This Row],[Price]]/Table4[[#This Row],[FY Earnings Estimates]]</f>
        <v>#DIV/0!</v>
      </c>
      <c r="R10" s="2" t="e">
        <f>Table4[[#This Row],[Price]]/Table4[[#This Row],[FY Earnings Estimates (2-years)]]</f>
        <v>#DIV/0!</v>
      </c>
      <c r="S10" s="2">
        <v>95000</v>
      </c>
      <c r="T10" s="12" t="s">
        <v>174</v>
      </c>
      <c r="U10" s="2" t="s">
        <v>85</v>
      </c>
      <c r="V10" s="2" t="s">
        <v>73</v>
      </c>
      <c r="W10" s="7" t="s">
        <v>198</v>
      </c>
    </row>
    <row r="11" spans="1:23" ht="13.9" customHeight="1">
      <c r="B11" s="2" t="s">
        <v>137</v>
      </c>
      <c r="C11" s="2" t="s">
        <v>14</v>
      </c>
      <c r="D11" s="2">
        <v>169.5</v>
      </c>
      <c r="E11" s="4">
        <v>289.10000000000002</v>
      </c>
      <c r="F11" s="6">
        <f>Table4[[#This Row],[Price]]*Table4[[#This Row],[Share Count ]]</f>
        <v>49002.450000000004</v>
      </c>
      <c r="G11" s="6"/>
      <c r="H11" s="6"/>
      <c r="I11" s="6">
        <f>Table4[[#This Row],[MC ($M)]]-Table4[[#This Row],[Cash ($M)]]+Table4[[#This Row],[Debt ($M)]]</f>
        <v>49002.450000000004</v>
      </c>
      <c r="J11" s="3"/>
      <c r="K11" s="3"/>
      <c r="L11" s="9"/>
      <c r="N11" s="9"/>
      <c r="O11" s="15"/>
      <c r="P11" s="15"/>
      <c r="Q11" s="2" t="e">
        <f>Table4[[#This Row],[Price]]/Table4[[#This Row],[FY Earnings Estimates]]</f>
        <v>#DIV/0!</v>
      </c>
      <c r="R11" s="2" t="e">
        <f>Table4[[#This Row],[Price]]/Table4[[#This Row],[FY Earnings Estimates (2-years)]]</f>
        <v>#DIV/0!</v>
      </c>
      <c r="T11" s="12"/>
      <c r="U11" s="2" t="s">
        <v>85</v>
      </c>
      <c r="V11" s="2" t="s">
        <v>90</v>
      </c>
      <c r="W11" s="3"/>
    </row>
    <row r="12" spans="1:23" ht="13.9" customHeight="1">
      <c r="B12" s="2" t="s">
        <v>78</v>
      </c>
      <c r="C12" s="2" t="s">
        <v>50</v>
      </c>
      <c r="D12" s="2">
        <v>98.3</v>
      </c>
      <c r="E12" s="4">
        <v>494.6</v>
      </c>
      <c r="F12" s="6">
        <f>Table4[[#This Row],[Price]]*Table4[[#This Row],[Share Count ]]</f>
        <v>48619.18</v>
      </c>
      <c r="G12" s="6"/>
      <c r="H12" s="6"/>
      <c r="I12" s="6">
        <f>Table4[[#This Row],[MC ($M)]]-Table4[[#This Row],[Cash ($M)]]+Table4[[#This Row],[Debt ($M)]]</f>
        <v>48619.18</v>
      </c>
      <c r="J12" s="3"/>
      <c r="K12" s="3"/>
      <c r="L12" s="9"/>
      <c r="N12" s="9"/>
      <c r="O12" s="15"/>
      <c r="P12" s="15"/>
      <c r="Q12" s="2" t="e">
        <f>Table4[[#This Row],[Price]]/Table4[[#This Row],[FY Earnings Estimates]]</f>
        <v>#DIV/0!</v>
      </c>
      <c r="R12" s="2" t="e">
        <f>Table4[[#This Row],[Price]]/Table4[[#This Row],[FY Earnings Estimates (2-years)]]</f>
        <v>#DIV/0!</v>
      </c>
      <c r="T12" s="12"/>
      <c r="U12" s="2" t="s">
        <v>85</v>
      </c>
      <c r="V12" s="2" t="s">
        <v>86</v>
      </c>
      <c r="W12" s="3"/>
    </row>
    <row r="13" spans="1:23" ht="13.9" customHeight="1">
      <c r="B13" s="2" t="s">
        <v>146</v>
      </c>
      <c r="C13" s="8" t="s">
        <v>15</v>
      </c>
      <c r="D13" s="2">
        <v>75.650000000000006</v>
      </c>
      <c r="E13" s="4">
        <v>588</v>
      </c>
      <c r="F13" s="6">
        <f>Table4[[#This Row],[Price]]*Table4[[#This Row],[Share Count ]]</f>
        <v>44482.200000000004</v>
      </c>
      <c r="G13" s="6">
        <v>3976</v>
      </c>
      <c r="H13" s="6">
        <v>598</v>
      </c>
      <c r="I13" s="6">
        <f>Table4[[#This Row],[MC ($M)]]-Table4[[#This Row],[Cash ($M)]]+Table4[[#This Row],[Debt ($M)]]</f>
        <v>41104.200000000004</v>
      </c>
      <c r="J13" s="3"/>
      <c r="K13" s="3"/>
      <c r="L13" s="9"/>
      <c r="M13" s="2">
        <v>1.1499999999999999</v>
      </c>
      <c r="N13" s="9"/>
      <c r="O13" s="15">
        <v>2.4700000000000002</v>
      </c>
      <c r="P13" s="15">
        <v>2.75</v>
      </c>
      <c r="Q13" s="2">
        <f>Table4[[#This Row],[Price]]/Table4[[#This Row],[FY Earnings Estimates]]</f>
        <v>30.627530364372468</v>
      </c>
      <c r="R13" s="2">
        <f>Table4[[#This Row],[Price]]/Table4[[#This Row],[FY Earnings Estimates (2-years)]]</f>
        <v>27.509090909090911</v>
      </c>
      <c r="S13" s="2">
        <v>15800</v>
      </c>
      <c r="T13" s="12" t="s">
        <v>174</v>
      </c>
      <c r="U13" s="2" t="s">
        <v>85</v>
      </c>
      <c r="V13" s="2" t="s">
        <v>99</v>
      </c>
      <c r="W13" s="7" t="s">
        <v>198</v>
      </c>
    </row>
    <row r="14" spans="1:23" ht="13.9" customHeight="1">
      <c r="B14" s="2" t="s">
        <v>149</v>
      </c>
      <c r="C14" s="2" t="s">
        <v>21</v>
      </c>
      <c r="D14" s="2">
        <v>471.31</v>
      </c>
      <c r="E14" s="4">
        <v>81.599999999999994</v>
      </c>
      <c r="F14" s="6">
        <f>Table4[[#This Row],[Price]]*Table4[[#This Row],[Share Count ]]</f>
        <v>38458.896000000001</v>
      </c>
      <c r="G14" s="6"/>
      <c r="H14" s="6"/>
      <c r="I14" s="6">
        <f>Table4[[#This Row],[MC ($M)]]-Table4[[#This Row],[Cash ($M)]]+Table4[[#This Row],[Debt ($M)]]</f>
        <v>38458.896000000001</v>
      </c>
      <c r="J14" s="3"/>
      <c r="K14" s="3"/>
      <c r="L14" s="9"/>
      <c r="N14" s="9"/>
      <c r="O14" s="15"/>
      <c r="P14" s="15"/>
      <c r="Q14" s="2" t="e">
        <f>Table4[[#This Row],[Price]]/Table4[[#This Row],[FY Earnings Estimates]]</f>
        <v>#DIV/0!</v>
      </c>
      <c r="R14" s="2" t="e">
        <f>Table4[[#This Row],[Price]]/Table4[[#This Row],[FY Earnings Estimates (2-years)]]</f>
        <v>#DIV/0!</v>
      </c>
      <c r="T14" s="12"/>
      <c r="U14" s="2" t="s">
        <v>100</v>
      </c>
      <c r="V14" s="2" t="s">
        <v>107</v>
      </c>
      <c r="W14" s="3"/>
    </row>
    <row r="15" spans="1:23" ht="13.9" customHeight="1">
      <c r="B15" s="2" t="s">
        <v>162</v>
      </c>
      <c r="C15" s="2" t="s">
        <v>18</v>
      </c>
      <c r="D15" s="2">
        <v>239.95</v>
      </c>
      <c r="E15" s="4">
        <v>146.9</v>
      </c>
      <c r="F15" s="6">
        <f>Table4[[#This Row],[Price]]*Table4[[#This Row],[Share Count ]]</f>
        <v>35248.654999999999</v>
      </c>
      <c r="G15" s="6"/>
      <c r="H15" s="6"/>
      <c r="I15" s="6">
        <f>Table4[[#This Row],[MC ($M)]]-Table4[[#This Row],[Cash ($M)]]+Table4[[#This Row],[Debt ($M)]]</f>
        <v>35248.654999999999</v>
      </c>
      <c r="J15" s="3"/>
      <c r="K15" s="3"/>
      <c r="L15" s="9"/>
      <c r="N15" s="9"/>
      <c r="O15" s="15"/>
      <c r="P15" s="15"/>
      <c r="Q15" s="2" t="e">
        <f>Table4[[#This Row],[Price]]/Table4[[#This Row],[FY Earnings Estimates]]</f>
        <v>#DIV/0!</v>
      </c>
      <c r="R15" s="2" t="e">
        <f>Table4[[#This Row],[Price]]/Table4[[#This Row],[FY Earnings Estimates (2-years)]]</f>
        <v>#DIV/0!</v>
      </c>
      <c r="T15" s="12"/>
      <c r="U15" s="2" t="s">
        <v>85</v>
      </c>
      <c r="V15" s="2" t="s">
        <v>123</v>
      </c>
      <c r="W15" s="3"/>
    </row>
    <row r="16" spans="1:23" ht="13.9" customHeight="1">
      <c r="B16" s="2" t="s">
        <v>176</v>
      </c>
      <c r="C16" s="2" t="s">
        <v>19</v>
      </c>
      <c r="D16" s="2">
        <v>71.260000000000005</v>
      </c>
      <c r="E16" s="4">
        <v>457</v>
      </c>
      <c r="F16" s="6">
        <f>Table4[[#This Row],[Price]]*Table4[[#This Row],[Share Count ]]</f>
        <v>32565.820000000003</v>
      </c>
      <c r="G16" s="6"/>
      <c r="H16" s="6"/>
      <c r="I16" s="6">
        <f>Table4[[#This Row],[MC ($M)]]-Table4[[#This Row],[Cash ($M)]]+Table4[[#This Row],[Debt ($M)]]</f>
        <v>32565.820000000003</v>
      </c>
      <c r="J16" s="3"/>
      <c r="K16" s="3"/>
      <c r="L16" s="9"/>
      <c r="N16" s="9"/>
      <c r="O16" s="15"/>
      <c r="P16" s="15"/>
      <c r="Q16" s="2" t="e">
        <f>Table4[[#This Row],[Price]]/Table4[[#This Row],[FY Earnings Estimates]]</f>
        <v>#DIV/0!</v>
      </c>
      <c r="R16" s="2" t="e">
        <f>Table4[[#This Row],[Price]]/Table4[[#This Row],[FY Earnings Estimates (2-years)]]</f>
        <v>#DIV/0!</v>
      </c>
      <c r="T16" s="12"/>
      <c r="U16" s="2" t="s">
        <v>85</v>
      </c>
      <c r="V16" s="2" t="s">
        <v>102</v>
      </c>
      <c r="W16" s="3"/>
    </row>
    <row r="17" spans="2:23" ht="13.9" customHeight="1">
      <c r="B17" s="2" t="s">
        <v>143</v>
      </c>
      <c r="C17" s="2" t="s">
        <v>22</v>
      </c>
      <c r="D17" s="2">
        <v>81.28</v>
      </c>
      <c r="E17" s="4">
        <v>390.7</v>
      </c>
      <c r="F17" s="6">
        <f>Table4[[#This Row],[Price]]*Table4[[#This Row],[Share Count ]]</f>
        <v>31756.095999999998</v>
      </c>
      <c r="G17" s="6"/>
      <c r="H17" s="6"/>
      <c r="I17" s="6">
        <f>Table4[[#This Row],[MC ($M)]]-Table4[[#This Row],[Cash ($M)]]+Table4[[#This Row],[Debt ($M)]]</f>
        <v>31756.095999999998</v>
      </c>
      <c r="J17" s="3"/>
      <c r="K17" s="3"/>
      <c r="L17" s="9"/>
      <c r="N17" s="9"/>
      <c r="O17" s="15"/>
      <c r="P17" s="15"/>
      <c r="Q17" s="2" t="e">
        <f>Table4[[#This Row],[Price]]/Table4[[#This Row],[FY Earnings Estimates]]</f>
        <v>#DIV/0!</v>
      </c>
      <c r="R17" s="2" t="e">
        <f>Table4[[#This Row],[Price]]/Table4[[#This Row],[FY Earnings Estimates (2-years)]]</f>
        <v>#DIV/0!</v>
      </c>
      <c r="T17" s="12"/>
      <c r="U17" s="2" t="s">
        <v>85</v>
      </c>
      <c r="V17" s="2" t="s">
        <v>96</v>
      </c>
      <c r="W17" s="3"/>
    </row>
    <row r="18" spans="2:23" ht="13.9" customHeight="1">
      <c r="B18" s="2" t="s">
        <v>77</v>
      </c>
      <c r="C18" s="2" t="s">
        <v>17</v>
      </c>
      <c r="D18" s="2">
        <v>108.5</v>
      </c>
      <c r="E18" s="4">
        <v>285.2</v>
      </c>
      <c r="F18" s="6">
        <f>Table4[[#This Row],[Price]]*Table4[[#This Row],[Share Count ]]</f>
        <v>30944.199999999997</v>
      </c>
      <c r="G18" s="6"/>
      <c r="H18" s="6"/>
      <c r="I18" s="6">
        <f>Table4[[#This Row],[MC ($M)]]-Table4[[#This Row],[Cash ($M)]]+Table4[[#This Row],[Debt ($M)]]</f>
        <v>30944.199999999997</v>
      </c>
      <c r="J18" s="3"/>
      <c r="K18" s="3"/>
      <c r="L18" s="9"/>
      <c r="N18" s="9"/>
      <c r="O18" s="15"/>
      <c r="P18" s="15"/>
      <c r="Q18" s="2" t="e">
        <f>Table4[[#This Row],[Price]]/Table4[[#This Row],[FY Earnings Estimates]]</f>
        <v>#DIV/0!</v>
      </c>
      <c r="R18" s="2" t="e">
        <f>Table4[[#This Row],[Price]]/Table4[[#This Row],[FY Earnings Estimates (2-years)]]</f>
        <v>#DIV/0!</v>
      </c>
      <c r="T18" s="12"/>
      <c r="U18" s="2" t="s">
        <v>81</v>
      </c>
      <c r="V18" s="2" t="s">
        <v>82</v>
      </c>
      <c r="W18" s="3"/>
    </row>
    <row r="19" spans="2:23" ht="13.9" customHeight="1">
      <c r="B19" s="2" t="s">
        <v>151</v>
      </c>
      <c r="C19" s="2" t="s">
        <v>56</v>
      </c>
      <c r="D19" s="2">
        <v>156.01</v>
      </c>
      <c r="E19" s="4">
        <v>176.1</v>
      </c>
      <c r="F19" s="6">
        <f>Table4[[#This Row],[Price]]*Table4[[#This Row],[Share Count ]]</f>
        <v>27473.360999999997</v>
      </c>
      <c r="G19" s="6"/>
      <c r="H19" s="6"/>
      <c r="I19" s="6">
        <f>Table4[[#This Row],[MC ($M)]]-Table4[[#This Row],[Cash ($M)]]+Table4[[#This Row],[Debt ($M)]]</f>
        <v>27473.360999999997</v>
      </c>
      <c r="J19" s="3"/>
      <c r="K19" s="3"/>
      <c r="L19" s="9"/>
      <c r="N19" s="9"/>
      <c r="O19" s="15"/>
      <c r="P19" s="15"/>
      <c r="Q19" s="2" t="e">
        <f>Table4[[#This Row],[Price]]/Table4[[#This Row],[FY Earnings Estimates]]</f>
        <v>#DIV/0!</v>
      </c>
      <c r="R19" s="2" t="e">
        <f>Table4[[#This Row],[Price]]/Table4[[#This Row],[FY Earnings Estimates (2-years)]]</f>
        <v>#DIV/0!</v>
      </c>
      <c r="T19" s="12"/>
      <c r="U19" s="2" t="s">
        <v>105</v>
      </c>
      <c r="V19" s="2" t="s">
        <v>109</v>
      </c>
      <c r="W19" s="3"/>
    </row>
    <row r="20" spans="2:23" ht="13.9" customHeight="1">
      <c r="B20" s="2" t="s">
        <v>74</v>
      </c>
      <c r="C20" s="2" t="s">
        <v>63</v>
      </c>
      <c r="D20" s="2">
        <v>25.59</v>
      </c>
      <c r="E20" s="4">
        <v>925</v>
      </c>
      <c r="F20" s="6">
        <f>Table4[[#This Row],[Price]]*Table4[[#This Row],[Share Count ]]</f>
        <v>23670.75</v>
      </c>
      <c r="G20" s="6"/>
      <c r="H20" s="6"/>
      <c r="I20" s="6">
        <f>Table4[[#This Row],[MC ($M)]]-Table4[[#This Row],[Cash ($M)]]+Table4[[#This Row],[Debt ($M)]]</f>
        <v>23670.75</v>
      </c>
      <c r="J20" s="3"/>
      <c r="K20" s="3"/>
      <c r="L20" s="9"/>
      <c r="N20" s="9"/>
      <c r="O20" s="15"/>
      <c r="P20" s="15"/>
      <c r="Q20" s="2" t="e">
        <f>Table4[[#This Row],[Price]]/Table4[[#This Row],[FY Earnings Estimates]]</f>
        <v>#DIV/0!</v>
      </c>
      <c r="R20" s="2" t="e">
        <f>Table4[[#This Row],[Price]]/Table4[[#This Row],[FY Earnings Estimates (2-years)]]</f>
        <v>#DIV/0!</v>
      </c>
      <c r="T20" s="12"/>
      <c r="U20" s="2" t="s">
        <v>85</v>
      </c>
      <c r="V20" s="2" t="s">
        <v>120</v>
      </c>
      <c r="W20" s="3"/>
    </row>
    <row r="21" spans="2:23" ht="13.9" customHeight="1">
      <c r="B21" s="2" t="s">
        <v>157</v>
      </c>
      <c r="C21" s="2" t="s">
        <v>23</v>
      </c>
      <c r="D21" s="2">
        <v>1100.01</v>
      </c>
      <c r="E21" s="4">
        <v>20.9</v>
      </c>
      <c r="F21" s="6">
        <f>Table4[[#This Row],[Price]]*Table4[[#This Row],[Share Count ]]</f>
        <v>22990.208999999999</v>
      </c>
      <c r="G21" s="6"/>
      <c r="H21" s="6"/>
      <c r="I21" s="6">
        <f>Table4[[#This Row],[MC ($M)]]-Table4[[#This Row],[Cash ($M)]]+Table4[[#This Row],[Debt ($M)]]</f>
        <v>22990.208999999999</v>
      </c>
      <c r="J21" s="3"/>
      <c r="K21" s="3"/>
      <c r="L21" s="9"/>
      <c r="N21" s="9"/>
      <c r="O21" s="15"/>
      <c r="P21" s="15"/>
      <c r="Q21" s="2" t="e">
        <f>Table4[[#This Row],[Price]]/Table4[[#This Row],[FY Earnings Estimates]]</f>
        <v>#DIV/0!</v>
      </c>
      <c r="R21" s="2" t="e">
        <f>Table4[[#This Row],[Price]]/Table4[[#This Row],[FY Earnings Estimates (2-years)]]</f>
        <v>#DIV/0!</v>
      </c>
      <c r="T21" s="12"/>
      <c r="U21" s="2" t="s">
        <v>81</v>
      </c>
      <c r="V21" s="2" t="s">
        <v>116</v>
      </c>
      <c r="W21" s="3"/>
    </row>
    <row r="22" spans="2:23" ht="13.9" customHeight="1">
      <c r="B22" s="2" t="s">
        <v>26</v>
      </c>
      <c r="C22" s="2" t="s">
        <v>27</v>
      </c>
      <c r="D22" s="2">
        <v>224.81</v>
      </c>
      <c r="E22" s="4">
        <v>98.9</v>
      </c>
      <c r="F22" s="6">
        <f>Table4[[#This Row],[Price]]*Table4[[#This Row],[Share Count ]]</f>
        <v>22233.709000000003</v>
      </c>
      <c r="G22" s="6"/>
      <c r="H22" s="6"/>
      <c r="I22" s="6">
        <f>Table4[[#This Row],[MC ($M)]]-Table4[[#This Row],[Cash ($M)]]+Table4[[#This Row],[Debt ($M)]]</f>
        <v>22233.709000000003</v>
      </c>
      <c r="J22" s="3"/>
      <c r="K22" s="3"/>
      <c r="L22" s="9"/>
      <c r="N22" s="9"/>
      <c r="O22" s="15"/>
      <c r="P22" s="15"/>
      <c r="Q22" s="2" t="e">
        <f>Table4[[#This Row],[Price]]/Table4[[#This Row],[FY Earnings Estimates]]</f>
        <v>#DIV/0!</v>
      </c>
      <c r="R22" s="2" t="e">
        <f>Table4[[#This Row],[Price]]/Table4[[#This Row],[FY Earnings Estimates (2-years)]]</f>
        <v>#DIV/0!</v>
      </c>
      <c r="T22" s="12"/>
      <c r="U22" s="2" t="s">
        <v>105</v>
      </c>
      <c r="V22" s="2" t="s">
        <v>124</v>
      </c>
      <c r="W22" s="3"/>
    </row>
    <row r="23" spans="2:23" ht="13.9" customHeight="1">
      <c r="B23" s="2" t="s">
        <v>178</v>
      </c>
      <c r="C23" s="2" t="s">
        <v>25</v>
      </c>
      <c r="D23" s="2">
        <v>102.38</v>
      </c>
      <c r="E23" s="4">
        <v>199.1</v>
      </c>
      <c r="F23" s="6">
        <f>Table4[[#This Row],[Price]]*Table4[[#This Row],[Share Count ]]</f>
        <v>20383.858</v>
      </c>
      <c r="G23" s="6"/>
      <c r="H23" s="6"/>
      <c r="I23" s="6">
        <f>Table4[[#This Row],[MC ($M)]]-Table4[[#This Row],[Cash ($M)]]+Table4[[#This Row],[Debt ($M)]]</f>
        <v>20383.858</v>
      </c>
      <c r="J23" s="3"/>
      <c r="K23" s="3"/>
      <c r="L23" s="9"/>
      <c r="N23" s="9"/>
      <c r="O23" s="15"/>
      <c r="P23" s="15"/>
      <c r="Q23" s="2" t="e">
        <f>Table4[[#This Row],[Price]]/Table4[[#This Row],[FY Earnings Estimates]]</f>
        <v>#DIV/0!</v>
      </c>
      <c r="R23" s="2" t="e">
        <f>Table4[[#This Row],[Price]]/Table4[[#This Row],[FY Earnings Estimates (2-years)]]</f>
        <v>#DIV/0!</v>
      </c>
      <c r="T23" s="12"/>
      <c r="U23" s="2" t="s">
        <v>85</v>
      </c>
      <c r="V23" s="2" t="s">
        <v>132</v>
      </c>
      <c r="W23" s="3"/>
    </row>
    <row r="24" spans="2:23" ht="13.9" customHeight="1">
      <c r="B24" s="2" t="s">
        <v>33</v>
      </c>
      <c r="C24" s="2" t="s">
        <v>34</v>
      </c>
      <c r="D24" s="2">
        <v>257.89999999999998</v>
      </c>
      <c r="E24" s="4">
        <v>70.2</v>
      </c>
      <c r="F24" s="6">
        <f>Table4[[#This Row],[Price]]*Table4[[#This Row],[Share Count ]]</f>
        <v>18104.579999999998</v>
      </c>
      <c r="G24" s="6"/>
      <c r="H24" s="6"/>
      <c r="I24" s="6">
        <f>Table4[[#This Row],[MC ($M)]]-Table4[[#This Row],[Cash ($M)]]+Table4[[#This Row],[Debt ($M)]]</f>
        <v>18104.579999999998</v>
      </c>
      <c r="J24" s="3"/>
      <c r="K24" s="3"/>
      <c r="L24" s="9"/>
      <c r="N24" s="9"/>
      <c r="O24" s="15"/>
      <c r="P24" s="15"/>
      <c r="Q24" s="2" t="e">
        <f>Table4[[#This Row],[Price]]/Table4[[#This Row],[FY Earnings Estimates]]</f>
        <v>#DIV/0!</v>
      </c>
      <c r="R24" s="2" t="e">
        <f>Table4[[#This Row],[Price]]/Table4[[#This Row],[FY Earnings Estimates (2-years)]]</f>
        <v>#DIV/0!</v>
      </c>
      <c r="T24" s="12"/>
      <c r="U24" s="2" t="s">
        <v>85</v>
      </c>
      <c r="V24" s="2" t="s">
        <v>121</v>
      </c>
      <c r="W24" s="3"/>
    </row>
    <row r="25" spans="2:23" ht="13.9" customHeight="1">
      <c r="B25" s="2" t="s">
        <v>142</v>
      </c>
      <c r="C25" s="2" t="s">
        <v>35</v>
      </c>
      <c r="D25" s="2">
        <v>83.09</v>
      </c>
      <c r="E25" s="4">
        <v>199.6</v>
      </c>
      <c r="F25" s="6">
        <f>Table4[[#This Row],[Price]]*Table4[[#This Row],[Share Count ]]</f>
        <v>16584.763999999999</v>
      </c>
      <c r="G25" s="6"/>
      <c r="H25" s="6"/>
      <c r="I25" s="6">
        <f>Table4[[#This Row],[MC ($M)]]-Table4[[#This Row],[Cash ($M)]]+Table4[[#This Row],[Debt ($M)]]</f>
        <v>16584.763999999999</v>
      </c>
      <c r="J25" s="3"/>
      <c r="K25" s="3"/>
      <c r="L25" s="9"/>
      <c r="N25" s="9"/>
      <c r="O25" s="15"/>
      <c r="P25" s="15"/>
      <c r="Q25" s="2" t="e">
        <f>Table4[[#This Row],[Price]]/Table4[[#This Row],[FY Earnings Estimates]]</f>
        <v>#DIV/0!</v>
      </c>
      <c r="R25" s="2" t="e">
        <f>Table4[[#This Row],[Price]]/Table4[[#This Row],[FY Earnings Estimates (2-years)]]</f>
        <v>#DIV/0!</v>
      </c>
      <c r="T25" s="12"/>
      <c r="U25" s="2" t="s">
        <v>85</v>
      </c>
      <c r="V25" s="2" t="s">
        <v>94</v>
      </c>
      <c r="W25" s="3"/>
    </row>
    <row r="26" spans="2:23" ht="13.9" customHeight="1">
      <c r="B26" s="2" t="s">
        <v>177</v>
      </c>
      <c r="C26" s="2" t="s">
        <v>24</v>
      </c>
      <c r="D26" s="2">
        <v>211.29</v>
      </c>
      <c r="E26" s="4">
        <v>72.3</v>
      </c>
      <c r="F26" s="6">
        <f>Table4[[#This Row],[Price]]*Table4[[#This Row],[Share Count ]]</f>
        <v>15276.266999999998</v>
      </c>
      <c r="G26" s="6"/>
      <c r="H26" s="6"/>
      <c r="I26" s="6">
        <f>Table4[[#This Row],[MC ($M)]]-Table4[[#This Row],[Cash ($M)]]+Table4[[#This Row],[Debt ($M)]]</f>
        <v>15276.266999999998</v>
      </c>
      <c r="J26" s="3"/>
      <c r="K26" s="3"/>
      <c r="L26" s="9"/>
      <c r="N26" s="9"/>
      <c r="O26" s="15"/>
      <c r="P26" s="15"/>
      <c r="Q26" s="2" t="e">
        <f>Table4[[#This Row],[Price]]/Table4[[#This Row],[FY Earnings Estimates]]</f>
        <v>#DIV/0!</v>
      </c>
      <c r="R26" s="2" t="e">
        <f>Table4[[#This Row],[Price]]/Table4[[#This Row],[FY Earnings Estimates (2-years)]]</f>
        <v>#DIV/0!</v>
      </c>
      <c r="T26" s="12"/>
      <c r="U26" s="2" t="s">
        <v>130</v>
      </c>
      <c r="V26" s="2" t="s">
        <v>131</v>
      </c>
      <c r="W26" s="3"/>
    </row>
    <row r="27" spans="2:23" ht="13.9" customHeight="1">
      <c r="B27" s="2" t="s">
        <v>79</v>
      </c>
      <c r="C27" s="2" t="s">
        <v>20</v>
      </c>
      <c r="D27" s="2">
        <v>179.8</v>
      </c>
      <c r="E27" s="4">
        <v>73.8</v>
      </c>
      <c r="F27" s="6">
        <f>Table4[[#This Row],[Price]]*Table4[[#This Row],[Share Count ]]</f>
        <v>13269.24</v>
      </c>
      <c r="G27" s="6"/>
      <c r="H27" s="6"/>
      <c r="I27" s="6">
        <f>Table4[[#This Row],[MC ($M)]]-Table4[[#This Row],[Cash ($M)]]+Table4[[#This Row],[Debt ($M)]]</f>
        <v>13269.24</v>
      </c>
      <c r="J27" s="3"/>
      <c r="K27" s="3"/>
      <c r="L27" s="9"/>
      <c r="N27" s="9"/>
      <c r="O27" s="15"/>
      <c r="P27" s="15"/>
      <c r="Q27" s="2" t="e">
        <f>Table4[[#This Row],[Price]]/Table4[[#This Row],[FY Earnings Estimates]]</f>
        <v>#DIV/0!</v>
      </c>
      <c r="R27" s="2" t="e">
        <f>Table4[[#This Row],[Price]]/Table4[[#This Row],[FY Earnings Estimates (2-years)]]</f>
        <v>#DIV/0!</v>
      </c>
      <c r="T27" s="12"/>
      <c r="U27" s="2" t="s">
        <v>85</v>
      </c>
      <c r="V27" s="2" t="s">
        <v>70</v>
      </c>
      <c r="W27" s="3"/>
    </row>
    <row r="28" spans="2:23" ht="13.9" customHeight="1">
      <c r="B28" s="2" t="s">
        <v>31</v>
      </c>
      <c r="C28" s="2" t="s">
        <v>32</v>
      </c>
      <c r="D28" s="2">
        <v>53.5</v>
      </c>
      <c r="E28" s="4">
        <v>231.7</v>
      </c>
      <c r="F28" s="6">
        <f>Table4[[#This Row],[Price]]*Table4[[#This Row],[Share Count ]]</f>
        <v>12395.949999999999</v>
      </c>
      <c r="G28" s="6"/>
      <c r="H28" s="6"/>
      <c r="I28" s="6">
        <f>Table4[[#This Row],[MC ($M)]]-Table4[[#This Row],[Cash ($M)]]+Table4[[#This Row],[Debt ($M)]]</f>
        <v>12395.949999999999</v>
      </c>
      <c r="J28" s="3"/>
      <c r="K28" s="3"/>
      <c r="L28" s="9"/>
      <c r="N28" s="9"/>
      <c r="O28" s="15"/>
      <c r="P28" s="15"/>
      <c r="Q28" s="2" t="e">
        <f>Table4[[#This Row],[Price]]/Table4[[#This Row],[FY Earnings Estimates]]</f>
        <v>#DIV/0!</v>
      </c>
      <c r="R28" s="2" t="e">
        <f>Table4[[#This Row],[Price]]/Table4[[#This Row],[FY Earnings Estimates (2-years)]]</f>
        <v>#DIV/0!</v>
      </c>
      <c r="T28" s="12"/>
      <c r="U28" s="2" t="s">
        <v>100</v>
      </c>
      <c r="V28" s="2" t="s">
        <v>104</v>
      </c>
      <c r="W28" s="3"/>
    </row>
    <row r="29" spans="2:23" ht="13.9" customHeight="1">
      <c r="B29" s="2" t="s">
        <v>161</v>
      </c>
      <c r="C29" s="8" t="s">
        <v>62</v>
      </c>
      <c r="D29" s="2">
        <v>296</v>
      </c>
      <c r="E29" s="4">
        <v>38.6</v>
      </c>
      <c r="F29" s="6">
        <f>Table4[[#This Row],[Price]]*Table4[[#This Row],[Share Count ]]</f>
        <v>11425.6</v>
      </c>
      <c r="G29" s="6">
        <v>379</v>
      </c>
      <c r="H29" s="6">
        <f>'[2]Main | Overview'!$C$9</f>
        <v>0</v>
      </c>
      <c r="I29" s="6">
        <f>Table4[[#This Row],[MC ($M)]]-Table4[[#This Row],[Cash ($M)]]+Table4[[#This Row],[Debt ($M)]]</f>
        <v>11046.6</v>
      </c>
      <c r="J29" s="3">
        <f>[2]Model!$BU$59</f>
        <v>12198.536959271867</v>
      </c>
      <c r="K29" s="3">
        <f>[2]Model!$BU$61</f>
        <v>316.024273556266</v>
      </c>
      <c r="L29" s="9">
        <f>Table4[[#This Row],[FV]]/Table4[[#This Row],[Price]]-1</f>
        <v>6.7649572825222881E-2</v>
      </c>
      <c r="M29" s="2">
        <v>0.53</v>
      </c>
      <c r="N29" s="9">
        <v>2.4899999999999999E-2</v>
      </c>
      <c r="O29" s="15">
        <v>3.8</v>
      </c>
      <c r="P29" s="15">
        <v>5.2</v>
      </c>
      <c r="Q29" s="2">
        <f>Table4[[#This Row],[Price]]/Table4[[#This Row],[FY Earnings Estimates]]</f>
        <v>77.89473684210526</v>
      </c>
      <c r="R29" s="2">
        <f>Table4[[#This Row],[Price]]/Table4[[#This Row],[FY Earnings Estimates (2-years)]]</f>
        <v>56.92307692307692</v>
      </c>
      <c r="S29" s="2">
        <v>4500</v>
      </c>
      <c r="T29" s="12" t="s">
        <v>197</v>
      </c>
      <c r="U29" s="2" t="s">
        <v>85</v>
      </c>
      <c r="V29" s="2" t="s">
        <v>194</v>
      </c>
      <c r="W29" s="3"/>
    </row>
    <row r="30" spans="2:23" ht="13.9" customHeight="1">
      <c r="B30" s="2" t="s">
        <v>148</v>
      </c>
      <c r="C30" s="8" t="s">
        <v>48</v>
      </c>
      <c r="D30" s="2">
        <v>71.989999999999995</v>
      </c>
      <c r="E30" s="4">
        <v>137.4</v>
      </c>
      <c r="F30" s="6">
        <f>Table4[[#This Row],[Price]]*Table4[[#This Row],[Share Count ]]</f>
        <v>9891.4259999999995</v>
      </c>
      <c r="G30" s="6">
        <v>890.1</v>
      </c>
      <c r="H30" s="6">
        <f>443.4</f>
        <v>443.4</v>
      </c>
      <c r="I30" s="6">
        <f>Table4[[#This Row],[MC ($M)]]-Table4[[#This Row],[Cash ($M)]]+Table4[[#This Row],[Debt ($M)]]</f>
        <v>9444.7259999999987</v>
      </c>
      <c r="J30" s="3">
        <f>[1]Model!$BZ$53</f>
        <v>9389.9160729781779</v>
      </c>
      <c r="K30" s="3">
        <f>[1]Model!$BZ$55</f>
        <v>68.364878580110513</v>
      </c>
      <c r="L30" s="9">
        <f>Table4[[#This Row],[FV]]/Table4[[#This Row],[Price]]-1</f>
        <v>-5.0355902484921278E-2</v>
      </c>
      <c r="M30" s="2">
        <v>1.29</v>
      </c>
      <c r="N30" s="9"/>
      <c r="O30" s="2">
        <v>3.44</v>
      </c>
      <c r="P30" s="2">
        <v>3.92</v>
      </c>
      <c r="Q30" s="2">
        <f>Table4[[#This Row],[Price]]/Table4[[#This Row],[FY Earnings Estimates]]</f>
        <v>20.927325581395348</v>
      </c>
      <c r="R30" s="2">
        <f>Table4[[#This Row],[Price]]/Table4[[#This Row],[FY Earnings Estimates (2-years)]]</f>
        <v>18.364795918367346</v>
      </c>
      <c r="S30" s="2">
        <v>5300</v>
      </c>
      <c r="T30" s="12" t="s">
        <v>174</v>
      </c>
      <c r="U30" s="2" t="s">
        <v>85</v>
      </c>
      <c r="V30" s="2" t="s">
        <v>103</v>
      </c>
      <c r="W30" s="3"/>
    </row>
    <row r="31" spans="2:23" ht="13.9" customHeight="1">
      <c r="B31" s="2" t="s">
        <v>147</v>
      </c>
      <c r="C31" s="2" t="s">
        <v>36</v>
      </c>
      <c r="D31" s="2">
        <v>51.7</v>
      </c>
      <c r="E31" s="4">
        <v>185.6</v>
      </c>
      <c r="F31" s="6">
        <f>Table4[[#This Row],[Price]]*Table4[[#This Row],[Share Count ]]</f>
        <v>9595.52</v>
      </c>
      <c r="G31" s="6"/>
      <c r="H31" s="6"/>
      <c r="I31" s="6">
        <f>Table4[[#This Row],[MC ($M)]]-Table4[[#This Row],[Cash ($M)]]+Table4[[#This Row],[Debt ($M)]]</f>
        <v>9595.52</v>
      </c>
      <c r="J31" s="3"/>
      <c r="K31" s="3"/>
      <c r="L31" s="9"/>
      <c r="N31" s="9"/>
      <c r="O31" s="15"/>
      <c r="P31" s="15"/>
      <c r="Q31" s="2" t="e">
        <f>Table4[[#This Row],[Price]]/Table4[[#This Row],[FY Earnings Estimates]]</f>
        <v>#DIV/0!</v>
      </c>
      <c r="R31" s="2" t="e">
        <f>Table4[[#This Row],[Price]]/Table4[[#This Row],[FY Earnings Estimates (2-years)]]</f>
        <v>#DIV/0!</v>
      </c>
      <c r="T31" s="12"/>
      <c r="U31" s="2" t="s">
        <v>100</v>
      </c>
      <c r="V31" s="2" t="s">
        <v>101</v>
      </c>
      <c r="W31" s="3"/>
    </row>
    <row r="32" spans="2:23" ht="13.9" customHeight="1">
      <c r="B32" s="2" t="s">
        <v>37</v>
      </c>
      <c r="C32" s="2" t="s">
        <v>38</v>
      </c>
      <c r="D32" s="2">
        <v>43.13</v>
      </c>
      <c r="E32" s="4">
        <v>216.1</v>
      </c>
      <c r="F32" s="6">
        <f>Table4[[#This Row],[Price]]*Table4[[#This Row],[Share Count ]]</f>
        <v>9320.393</v>
      </c>
      <c r="G32" s="6"/>
      <c r="H32" s="6"/>
      <c r="I32" s="6">
        <f>Table4[[#This Row],[MC ($M)]]-Table4[[#This Row],[Cash ($M)]]+Table4[[#This Row],[Debt ($M)]]</f>
        <v>9320.393</v>
      </c>
      <c r="J32" s="3"/>
      <c r="K32" s="3"/>
      <c r="L32" s="9"/>
      <c r="N32" s="9"/>
      <c r="O32" s="15"/>
      <c r="P32" s="15"/>
      <c r="Q32" s="2" t="e">
        <f>Table4[[#This Row],[Price]]/Table4[[#This Row],[FY Earnings Estimates]]</f>
        <v>#DIV/0!</v>
      </c>
      <c r="R32" s="2" t="e">
        <f>Table4[[#This Row],[Price]]/Table4[[#This Row],[FY Earnings Estimates (2-years)]]</f>
        <v>#DIV/0!</v>
      </c>
      <c r="T32" s="12"/>
      <c r="U32" s="2" t="s">
        <v>100</v>
      </c>
      <c r="V32" s="2" t="s">
        <v>122</v>
      </c>
      <c r="W32" s="3"/>
    </row>
    <row r="33" spans="2:23" ht="13.9" customHeight="1">
      <c r="B33" s="2" t="s">
        <v>155</v>
      </c>
      <c r="C33" s="2" t="s">
        <v>43</v>
      </c>
      <c r="D33" s="2">
        <v>165.87</v>
      </c>
      <c r="E33" s="4">
        <v>53.6</v>
      </c>
      <c r="F33" s="6">
        <f>Table4[[#This Row],[Price]]*Table4[[#This Row],[Share Count ]]</f>
        <v>8890.6319999999996</v>
      </c>
      <c r="G33" s="6"/>
      <c r="H33" s="6"/>
      <c r="I33" s="6">
        <f>Table4[[#This Row],[MC ($M)]]-Table4[[#This Row],[Cash ($M)]]+Table4[[#This Row],[Debt ($M)]]</f>
        <v>8890.6319999999996</v>
      </c>
      <c r="J33" s="3"/>
      <c r="K33" s="3"/>
      <c r="L33" s="9"/>
      <c r="N33" s="9"/>
      <c r="O33" s="15"/>
      <c r="P33" s="15"/>
      <c r="Q33" s="2" t="e">
        <f>Table4[[#This Row],[Price]]/Table4[[#This Row],[FY Earnings Estimates]]</f>
        <v>#DIV/0!</v>
      </c>
      <c r="R33" s="2" t="e">
        <f>Table4[[#This Row],[Price]]/Table4[[#This Row],[FY Earnings Estimates (2-years)]]</f>
        <v>#DIV/0!</v>
      </c>
      <c r="T33" s="12"/>
      <c r="U33" s="2" t="s">
        <v>85</v>
      </c>
      <c r="V33" s="2" t="s">
        <v>113</v>
      </c>
      <c r="W33" s="3"/>
    </row>
    <row r="34" spans="2:23" ht="13.9" customHeight="1">
      <c r="B34" s="2" t="s">
        <v>28</v>
      </c>
      <c r="C34" s="2" t="s">
        <v>29</v>
      </c>
      <c r="D34" s="2">
        <v>12.87</v>
      </c>
      <c r="E34" s="4">
        <v>680.8</v>
      </c>
      <c r="F34" s="6">
        <f>Table4[[#This Row],[Price]]*Table4[[#This Row],[Share Count ]]</f>
        <v>8761.8959999999988</v>
      </c>
      <c r="G34" s="6"/>
      <c r="H34" s="6"/>
      <c r="I34" s="6">
        <f>Table4[[#This Row],[MC ($M)]]-Table4[[#This Row],[Cash ($M)]]+Table4[[#This Row],[Debt ($M)]]</f>
        <v>8761.8959999999988</v>
      </c>
      <c r="J34" s="3"/>
      <c r="K34" s="3"/>
      <c r="L34" s="9"/>
      <c r="N34" s="9"/>
      <c r="O34" s="15"/>
      <c r="P34" s="15"/>
      <c r="Q34" s="2" t="e">
        <f>Table4[[#This Row],[Price]]/Table4[[#This Row],[FY Earnings Estimates]]</f>
        <v>#DIV/0!</v>
      </c>
      <c r="R34" s="2" t="e">
        <f>Table4[[#This Row],[Price]]/Table4[[#This Row],[FY Earnings Estimates (2-years)]]</f>
        <v>#DIV/0!</v>
      </c>
      <c r="T34" s="12"/>
      <c r="U34" s="2" t="s">
        <v>81</v>
      </c>
      <c r="V34" s="2" t="s">
        <v>89</v>
      </c>
      <c r="W34" s="3"/>
    </row>
    <row r="35" spans="2:23" ht="13.9" customHeight="1">
      <c r="B35" s="2" t="s">
        <v>39</v>
      </c>
      <c r="C35" s="2" t="s">
        <v>40</v>
      </c>
      <c r="D35" s="2">
        <v>65.3</v>
      </c>
      <c r="E35" s="4">
        <v>124.2</v>
      </c>
      <c r="F35" s="6">
        <f>Table4[[#This Row],[Price]]*Table4[[#This Row],[Share Count ]]</f>
        <v>8110.26</v>
      </c>
      <c r="G35" s="6"/>
      <c r="H35" s="6"/>
      <c r="I35" s="6">
        <f>Table4[[#This Row],[MC ($M)]]-Table4[[#This Row],[Cash ($M)]]+Table4[[#This Row],[Debt ($M)]]</f>
        <v>8110.26</v>
      </c>
      <c r="J35" s="3"/>
      <c r="K35" s="3"/>
      <c r="L35" s="9"/>
      <c r="N35" s="9"/>
      <c r="O35" s="15"/>
      <c r="P35" s="15"/>
      <c r="Q35" s="2" t="e">
        <f>Table4[[#This Row],[Price]]/Table4[[#This Row],[FY Earnings Estimates]]</f>
        <v>#DIV/0!</v>
      </c>
      <c r="R35" s="2" t="e">
        <f>Table4[[#This Row],[Price]]/Table4[[#This Row],[FY Earnings Estimates (2-years)]]</f>
        <v>#DIV/0!</v>
      </c>
      <c r="T35" s="12"/>
      <c r="U35" s="2" t="s">
        <v>105</v>
      </c>
      <c r="V35" s="2" t="s">
        <v>106</v>
      </c>
      <c r="W35" s="3"/>
    </row>
    <row r="36" spans="2:23" ht="13.9" customHeight="1">
      <c r="B36" s="2" t="s">
        <v>166</v>
      </c>
      <c r="C36" s="2" t="s">
        <v>41</v>
      </c>
      <c r="D36" s="2">
        <v>126.44</v>
      </c>
      <c r="E36" s="4">
        <v>46.3</v>
      </c>
      <c r="F36" s="6">
        <f>Table4[[#This Row],[Price]]*Table4[[#This Row],[Share Count ]]</f>
        <v>5854.1719999999996</v>
      </c>
      <c r="G36" s="6">
        <v>243.2</v>
      </c>
      <c r="H36" s="6">
        <f>96.9+1661.5</f>
        <v>1758.4</v>
      </c>
      <c r="I36" s="6">
        <f>Table4[[#This Row],[MC ($M)]]-Table4[[#This Row],[Cash ($M)]]+Table4[[#This Row],[Debt ($M)]]</f>
        <v>7369.3719999999994</v>
      </c>
      <c r="J36" s="3"/>
      <c r="K36" s="3"/>
      <c r="L36" s="9"/>
      <c r="M36" s="2">
        <v>1.19</v>
      </c>
      <c r="N36" s="9"/>
      <c r="O36" s="15">
        <v>13.37</v>
      </c>
      <c r="P36" s="15">
        <v>14.02</v>
      </c>
      <c r="Q36" s="2">
        <f>Table4[[#This Row],[Price]]/Table4[[#This Row],[FY Earnings Estimates]]</f>
        <v>9.4569932685115941</v>
      </c>
      <c r="R36" s="2">
        <f>Table4[[#This Row],[Price]]/Table4[[#This Row],[FY Earnings Estimates (2-years)]]</f>
        <v>9.0185449358059913</v>
      </c>
      <c r="S36" s="2">
        <v>14100</v>
      </c>
      <c r="T36" s="12" t="s">
        <v>197</v>
      </c>
      <c r="U36" s="2" t="s">
        <v>85</v>
      </c>
      <c r="V36" s="2" t="s">
        <v>128</v>
      </c>
      <c r="W36" s="7" t="s">
        <v>198</v>
      </c>
    </row>
    <row r="37" spans="2:23" ht="13.9" customHeight="1">
      <c r="B37" s="2" t="s">
        <v>150</v>
      </c>
      <c r="C37" s="2" t="s">
        <v>55</v>
      </c>
      <c r="D37" s="2">
        <v>159.81</v>
      </c>
      <c r="E37" s="4">
        <v>29.7</v>
      </c>
      <c r="F37" s="6">
        <f>Table4[[#This Row],[Price]]*Table4[[#This Row],[Share Count ]]</f>
        <v>4746.357</v>
      </c>
      <c r="G37" s="6"/>
      <c r="H37" s="6"/>
      <c r="I37" s="6">
        <f>Table4[[#This Row],[MC ($M)]]-Table4[[#This Row],[Cash ($M)]]+Table4[[#This Row],[Debt ($M)]]</f>
        <v>4746.357</v>
      </c>
      <c r="J37" s="3"/>
      <c r="K37" s="3"/>
      <c r="L37" s="9"/>
      <c r="N37" s="9"/>
      <c r="O37" s="15"/>
      <c r="P37" s="15"/>
      <c r="Q37" s="2" t="e">
        <f>Table4[[#This Row],[Price]]/Table4[[#This Row],[FY Earnings Estimates]]</f>
        <v>#DIV/0!</v>
      </c>
      <c r="R37" s="2" t="e">
        <f>Table4[[#This Row],[Price]]/Table4[[#This Row],[FY Earnings Estimates (2-years)]]</f>
        <v>#DIV/0!</v>
      </c>
      <c r="T37" s="12"/>
      <c r="U37" s="2" t="s">
        <v>85</v>
      </c>
      <c r="V37" s="2" t="s">
        <v>108</v>
      </c>
      <c r="W37" s="3"/>
    </row>
    <row r="38" spans="2:23" ht="13.9" customHeight="1">
      <c r="B38" s="2" t="s">
        <v>169</v>
      </c>
      <c r="C38" s="8" t="s">
        <v>45</v>
      </c>
      <c r="D38" s="3">
        <v>80</v>
      </c>
      <c r="E38" s="4">
        <v>59.3</v>
      </c>
      <c r="F38" s="6">
        <f>Table4[[#This Row],[Price]]*Table4[[#This Row],[Share Count ]]</f>
        <v>4744</v>
      </c>
      <c r="G38" s="6">
        <f>41.141+0.067+70.397</f>
        <v>111.605</v>
      </c>
      <c r="H38" s="6">
        <v>0</v>
      </c>
      <c r="I38" s="6">
        <f>Table4[[#This Row],[MC ($M)]]-Table4[[#This Row],[Cash ($M)]]+Table4[[#This Row],[Debt ($M)]]</f>
        <v>4632.3950000000004</v>
      </c>
      <c r="J38" s="3"/>
      <c r="K38" s="3"/>
      <c r="L38" s="9"/>
      <c r="N38" s="9"/>
      <c r="O38" s="15"/>
      <c r="P38" s="15"/>
      <c r="Q38" s="2" t="e">
        <f>Table4[[#This Row],[Price]]/Table4[[#This Row],[FY Earnings Estimates]]</f>
        <v>#DIV/0!</v>
      </c>
      <c r="R38" s="2" t="e">
        <f>Table4[[#This Row],[Price]]/Table4[[#This Row],[FY Earnings Estimates (2-years)]]</f>
        <v>#DIV/0!</v>
      </c>
      <c r="T38" s="12"/>
      <c r="U38" s="11" t="s">
        <v>135</v>
      </c>
      <c r="W38" s="7" t="s">
        <v>198</v>
      </c>
    </row>
    <row r="39" spans="2:23" ht="13.9" customHeight="1">
      <c r="B39" s="2" t="s">
        <v>152</v>
      </c>
      <c r="C39" s="2" t="s">
        <v>57</v>
      </c>
      <c r="D39" s="2">
        <v>131.5</v>
      </c>
      <c r="E39" s="4">
        <v>31.4</v>
      </c>
      <c r="F39" s="6">
        <f>Table4[[#This Row],[Price]]*Table4[[#This Row],[Share Count ]]</f>
        <v>4129.0999999999995</v>
      </c>
      <c r="G39" s="6"/>
      <c r="H39" s="6"/>
      <c r="I39" s="6">
        <f>Table4[[#This Row],[MC ($M)]]-Table4[[#This Row],[Cash ($M)]]+Table4[[#This Row],[Debt ($M)]]</f>
        <v>4129.0999999999995</v>
      </c>
      <c r="J39" s="3"/>
      <c r="K39" s="3"/>
      <c r="L39" s="9"/>
      <c r="N39" s="9"/>
      <c r="O39" s="15"/>
      <c r="P39" s="15"/>
      <c r="Q39" s="2" t="e">
        <f>Table4[[#This Row],[Price]]/Table4[[#This Row],[FY Earnings Estimates]]</f>
        <v>#DIV/0!</v>
      </c>
      <c r="R39" s="2" t="e">
        <f>Table4[[#This Row],[Price]]/Table4[[#This Row],[FY Earnings Estimates (2-years)]]</f>
        <v>#DIV/0!</v>
      </c>
      <c r="T39" s="12"/>
      <c r="U39" s="2" t="s">
        <v>85</v>
      </c>
      <c r="V39" s="2" t="s">
        <v>71</v>
      </c>
      <c r="W39" s="3"/>
    </row>
    <row r="40" spans="2:23" ht="13.9" customHeight="1">
      <c r="B40" s="2" t="s">
        <v>180</v>
      </c>
      <c r="C40" s="2" t="s">
        <v>181</v>
      </c>
      <c r="D40" s="3">
        <v>71</v>
      </c>
      <c r="E40" s="4">
        <v>52.11</v>
      </c>
      <c r="F40" s="6">
        <f>Table4[[#This Row],[Price]]*Table4[[#This Row],[Share Count ]]</f>
        <v>3699.81</v>
      </c>
      <c r="G40" s="3">
        <v>0</v>
      </c>
      <c r="H40" s="3">
        <v>0</v>
      </c>
      <c r="I40" s="3">
        <v>3300</v>
      </c>
      <c r="J40" s="3"/>
      <c r="K40" s="3"/>
      <c r="L40" s="9"/>
      <c r="N40" s="9"/>
      <c r="O40" s="15"/>
      <c r="P40" s="15"/>
      <c r="Q40" s="2" t="e">
        <f>Table4[[#This Row],[Price]]/Table4[[#This Row],[FY Earnings Estimates]]</f>
        <v>#DIV/0!</v>
      </c>
      <c r="R40" s="2" t="e">
        <f>Table4[[#This Row],[Price]]/Table4[[#This Row],[FY Earnings Estimates (2-years)]]</f>
        <v>#DIV/0!</v>
      </c>
      <c r="T40" s="12"/>
      <c r="U40" s="11" t="s">
        <v>183</v>
      </c>
    </row>
    <row r="41" spans="2:23" ht="13.9" customHeight="1">
      <c r="B41" s="2" t="s">
        <v>168</v>
      </c>
      <c r="C41" s="2" t="s">
        <v>44</v>
      </c>
      <c r="D41" s="2">
        <v>14.07</v>
      </c>
      <c r="E41" s="4">
        <v>198.8</v>
      </c>
      <c r="F41" s="6">
        <f>Table4[[#This Row],[Price]]*Table4[[#This Row],[Share Count ]]</f>
        <v>2797.1160000000004</v>
      </c>
      <c r="G41" s="6"/>
      <c r="H41" s="6"/>
      <c r="I41" s="6">
        <f>Table4[[#This Row],[MC ($M)]]-Table4[[#This Row],[Cash ($M)]]+Table4[[#This Row],[Debt ($M)]]</f>
        <v>2797.1160000000004</v>
      </c>
      <c r="J41" s="3"/>
      <c r="K41" s="3"/>
      <c r="L41" s="9"/>
      <c r="N41" s="9"/>
      <c r="O41" s="15"/>
      <c r="P41" s="15"/>
      <c r="Q41" s="2" t="e">
        <f>Table4[[#This Row],[Price]]/Table4[[#This Row],[FY Earnings Estimates]]</f>
        <v>#DIV/0!</v>
      </c>
      <c r="R41" s="2" t="e">
        <f>Table4[[#This Row],[Price]]/Table4[[#This Row],[FY Earnings Estimates (2-years)]]</f>
        <v>#DIV/0!</v>
      </c>
      <c r="T41" s="12"/>
      <c r="U41" s="2" t="s">
        <v>85</v>
      </c>
      <c r="V41" s="2" t="s">
        <v>76</v>
      </c>
      <c r="W41" s="3"/>
    </row>
    <row r="42" spans="2:23" ht="13.9" customHeight="1">
      <c r="B42" s="2" t="s">
        <v>154</v>
      </c>
      <c r="C42" s="2" t="s">
        <v>59</v>
      </c>
      <c r="D42" s="2">
        <v>36.78</v>
      </c>
      <c r="E42" s="4">
        <v>54.3</v>
      </c>
      <c r="F42" s="6">
        <f>Table4[[#This Row],[Price]]*Table4[[#This Row],[Share Count ]]</f>
        <v>1997.154</v>
      </c>
      <c r="G42" s="6"/>
      <c r="H42" s="6"/>
      <c r="I42" s="6">
        <f>Table4[[#This Row],[MC ($M)]]-Table4[[#This Row],[Cash ($M)]]+Table4[[#This Row],[Debt ($M)]]</f>
        <v>1997.154</v>
      </c>
      <c r="J42" s="3"/>
      <c r="K42" s="3"/>
      <c r="L42" s="9"/>
      <c r="N42" s="9"/>
      <c r="O42" s="15"/>
      <c r="P42" s="15"/>
      <c r="Q42" s="2" t="e">
        <f>Table4[[#This Row],[Price]]/Table4[[#This Row],[FY Earnings Estimates]]</f>
        <v>#DIV/0!</v>
      </c>
      <c r="R42" s="2" t="e">
        <f>Table4[[#This Row],[Price]]/Table4[[#This Row],[FY Earnings Estimates (2-years)]]</f>
        <v>#DIV/0!</v>
      </c>
      <c r="T42" s="12"/>
      <c r="U42" s="2" t="s">
        <v>85</v>
      </c>
      <c r="V42" s="2" t="s">
        <v>112</v>
      </c>
      <c r="W42" s="3"/>
    </row>
    <row r="43" spans="2:23" ht="13.9" customHeight="1">
      <c r="B43" s="2" t="s">
        <v>158</v>
      </c>
      <c r="C43" s="2" t="s">
        <v>42</v>
      </c>
      <c r="D43" s="2">
        <v>18.09</v>
      </c>
      <c r="E43" s="4">
        <v>108.5</v>
      </c>
      <c r="F43" s="6">
        <f>Table4[[#This Row],[Price]]*Table4[[#This Row],[Share Count ]]</f>
        <v>1962.7649999999999</v>
      </c>
      <c r="G43" s="6"/>
      <c r="H43" s="6"/>
      <c r="I43" s="6">
        <f>Table4[[#This Row],[MC ($M)]]-Table4[[#This Row],[Cash ($M)]]+Table4[[#This Row],[Debt ($M)]]</f>
        <v>1962.7649999999999</v>
      </c>
      <c r="J43" s="3"/>
      <c r="K43" s="3"/>
      <c r="L43" s="9"/>
      <c r="N43" s="9"/>
      <c r="O43" s="15"/>
      <c r="P43" s="15"/>
      <c r="Q43" s="2" t="e">
        <f>Table4[[#This Row],[Price]]/Table4[[#This Row],[FY Earnings Estimates]]</f>
        <v>#DIV/0!</v>
      </c>
      <c r="R43" s="2" t="e">
        <f>Table4[[#This Row],[Price]]/Table4[[#This Row],[FY Earnings Estimates (2-years)]]</f>
        <v>#DIV/0!</v>
      </c>
      <c r="T43" s="12"/>
      <c r="U43" s="2" t="s">
        <v>85</v>
      </c>
      <c r="V43" s="2" t="s">
        <v>117</v>
      </c>
      <c r="W43" s="3"/>
    </row>
    <row r="44" spans="2:23" ht="13.9" customHeight="1">
      <c r="B44" s="2" t="s">
        <v>195</v>
      </c>
      <c r="C44" s="8" t="s">
        <v>196</v>
      </c>
      <c r="D44" s="2">
        <v>82</v>
      </c>
      <c r="E44" s="4">
        <v>22.56</v>
      </c>
      <c r="F44" s="6">
        <f>Table4[[#This Row],[Price]]*Table4[[#This Row],[Share Count ]]</f>
        <v>1849.9199999999998</v>
      </c>
      <c r="G44" s="6">
        <f>25.61+274.112</f>
        <v>299.72200000000004</v>
      </c>
      <c r="H44" s="6">
        <v>0</v>
      </c>
      <c r="I44" s="6">
        <f>Table4[[#This Row],[Price]]*Table4[[#This Row],[Share Count ]]</f>
        <v>1849.9199999999998</v>
      </c>
      <c r="J44" s="3"/>
      <c r="K44" s="3"/>
      <c r="L44" s="9"/>
      <c r="M44" s="2">
        <v>0.88</v>
      </c>
      <c r="N44" s="9"/>
      <c r="O44" s="15">
        <v>2.15</v>
      </c>
      <c r="P44" s="15">
        <v>2.38</v>
      </c>
      <c r="Q44" s="2">
        <f>Table4[[#This Row],[Price]]/Table4[[#This Row],[FY Earnings Estimates]]</f>
        <v>38.139534883720934</v>
      </c>
      <c r="R44" s="2">
        <f>Table4[[#This Row],[Price]]/Table4[[#This Row],[FY Earnings Estimates (2-years)]]</f>
        <v>34.45378151260504</v>
      </c>
      <c r="S44" s="2">
        <v>651</v>
      </c>
      <c r="T44" s="12" t="s">
        <v>174</v>
      </c>
      <c r="U44" s="2" t="s">
        <v>85</v>
      </c>
      <c r="V44" s="2" t="s">
        <v>194</v>
      </c>
      <c r="W44" s="7" t="s">
        <v>198</v>
      </c>
    </row>
    <row r="45" spans="2:23" ht="13.9" customHeight="1">
      <c r="B45" s="2" t="s">
        <v>140</v>
      </c>
      <c r="C45" s="2" t="s">
        <v>54</v>
      </c>
      <c r="D45" s="2">
        <v>57.68</v>
      </c>
      <c r="E45" s="4">
        <v>30.9</v>
      </c>
      <c r="F45" s="6">
        <f>Table4[[#This Row],[Price]]*Table4[[#This Row],[Share Count ]]</f>
        <v>1782.3119999999999</v>
      </c>
      <c r="G45" s="6"/>
      <c r="H45" s="6"/>
      <c r="I45" s="6">
        <f>Table4[[#This Row],[MC ($M)]]-Table4[[#This Row],[Cash ($M)]]+Table4[[#This Row],[Debt ($M)]]</f>
        <v>1782.3119999999999</v>
      </c>
      <c r="J45" s="3"/>
      <c r="K45" s="3"/>
      <c r="L45" s="9"/>
      <c r="N45" s="9"/>
      <c r="O45" s="15"/>
      <c r="P45" s="15"/>
      <c r="Q45" s="2" t="e">
        <f>Table4[[#This Row],[Price]]/Table4[[#This Row],[FY Earnings Estimates]]</f>
        <v>#DIV/0!</v>
      </c>
      <c r="R45" s="2" t="e">
        <f>Table4[[#This Row],[Price]]/Table4[[#This Row],[FY Earnings Estimates (2-years)]]</f>
        <v>#DIV/0!</v>
      </c>
      <c r="T45" s="12"/>
      <c r="U45" s="2" t="s">
        <v>85</v>
      </c>
      <c r="V45" s="2" t="s">
        <v>93</v>
      </c>
      <c r="W45" s="3"/>
    </row>
    <row r="46" spans="2:23" ht="13.9" customHeight="1">
      <c r="B46" s="2" t="s">
        <v>136</v>
      </c>
      <c r="C46" s="2" t="s">
        <v>52</v>
      </c>
      <c r="D46" s="2">
        <v>30.02</v>
      </c>
      <c r="E46" s="4">
        <v>48.9</v>
      </c>
      <c r="F46" s="6">
        <f>Table4[[#This Row],[Price]]*Table4[[#This Row],[Share Count ]]</f>
        <v>1467.9779999999998</v>
      </c>
      <c r="G46" s="6"/>
      <c r="H46" s="6"/>
      <c r="I46" s="6">
        <f>Table4[[#This Row],[MC ($M)]]-Table4[[#This Row],[Cash ($M)]]+Table4[[#This Row],[Debt ($M)]]</f>
        <v>1467.9779999999998</v>
      </c>
      <c r="J46" s="3"/>
      <c r="K46" s="3"/>
      <c r="L46" s="9"/>
      <c r="N46" s="9"/>
      <c r="O46" s="15"/>
      <c r="P46" s="15"/>
      <c r="Q46" s="2" t="e">
        <f>Table4[[#This Row],[Price]]/Table4[[#This Row],[FY Earnings Estimates]]</f>
        <v>#DIV/0!</v>
      </c>
      <c r="R46" s="2" t="e">
        <f>Table4[[#This Row],[Price]]/Table4[[#This Row],[FY Earnings Estimates (2-years)]]</f>
        <v>#DIV/0!</v>
      </c>
      <c r="T46" s="12"/>
      <c r="U46" s="2" t="s">
        <v>85</v>
      </c>
      <c r="V46" s="2" t="s">
        <v>88</v>
      </c>
      <c r="W46" s="3"/>
    </row>
    <row r="47" spans="2:23" ht="13.9" customHeight="1">
      <c r="B47" s="2" t="s">
        <v>167</v>
      </c>
      <c r="C47" s="2" t="s">
        <v>67</v>
      </c>
      <c r="D47" s="2">
        <v>21.48</v>
      </c>
      <c r="E47" s="4">
        <v>66.3</v>
      </c>
      <c r="F47" s="6">
        <f>Table4[[#This Row],[Price]]*Table4[[#This Row],[Share Count ]]</f>
        <v>1424.124</v>
      </c>
      <c r="G47" s="6"/>
      <c r="H47" s="6"/>
      <c r="I47" s="6">
        <f>Table4[[#This Row],[MC ($M)]]-Table4[[#This Row],[Cash ($M)]]+Table4[[#This Row],[Debt ($M)]]</f>
        <v>1424.124</v>
      </c>
      <c r="J47" s="3"/>
      <c r="K47" s="3"/>
      <c r="L47" s="9"/>
      <c r="N47" s="9"/>
      <c r="O47" s="15"/>
      <c r="P47" s="15"/>
      <c r="Q47" s="2" t="e">
        <f>Table4[[#This Row],[Price]]/Table4[[#This Row],[FY Earnings Estimates]]</f>
        <v>#DIV/0!</v>
      </c>
      <c r="R47" s="2" t="e">
        <f>Table4[[#This Row],[Price]]/Table4[[#This Row],[FY Earnings Estimates (2-years)]]</f>
        <v>#DIV/0!</v>
      </c>
      <c r="T47" s="12"/>
      <c r="U47" s="2" t="s">
        <v>85</v>
      </c>
      <c r="V47" s="2" t="s">
        <v>75</v>
      </c>
      <c r="W47" s="3"/>
    </row>
    <row r="48" spans="2:23" ht="13.9" customHeight="1">
      <c r="B48" s="2" t="s">
        <v>170</v>
      </c>
      <c r="C48" s="2" t="s">
        <v>68</v>
      </c>
      <c r="D48" s="3">
        <v>27.5</v>
      </c>
      <c r="E48" s="4">
        <v>46.55</v>
      </c>
      <c r="F48" s="6">
        <f>Table4[[#This Row],[Price]]*Table4[[#This Row],[Share Count ]]</f>
        <v>1280.125</v>
      </c>
      <c r="G48" s="6"/>
      <c r="H48" s="6"/>
      <c r="I48" s="6">
        <v>1180</v>
      </c>
      <c r="J48" s="3"/>
      <c r="K48" s="3"/>
      <c r="L48" s="9"/>
      <c r="N48" s="9"/>
      <c r="O48" s="15"/>
      <c r="P48" s="15"/>
      <c r="Q48" s="2" t="e">
        <f>Table4[[#This Row],[Price]]/Table4[[#This Row],[FY Earnings Estimates]]</f>
        <v>#DIV/0!</v>
      </c>
      <c r="R48" s="2" t="e">
        <f>Table4[[#This Row],[Price]]/Table4[[#This Row],[FY Earnings Estimates (2-years)]]</f>
        <v>#DIV/0!</v>
      </c>
      <c r="T48" s="12"/>
      <c r="U48" s="11" t="s">
        <v>182</v>
      </c>
      <c r="W48" s="7" t="s">
        <v>198</v>
      </c>
    </row>
    <row r="49" spans="2:23" ht="13.9" customHeight="1">
      <c r="B49" s="2" t="s">
        <v>145</v>
      </c>
      <c r="C49" s="2" t="s">
        <v>46</v>
      </c>
      <c r="D49" s="2">
        <v>33.39</v>
      </c>
      <c r="E49" s="4">
        <v>28.8</v>
      </c>
      <c r="F49" s="6">
        <f>Table4[[#This Row],[Price]]*Table4[[#This Row],[Share Count ]]</f>
        <v>961.63200000000006</v>
      </c>
      <c r="G49" s="6"/>
      <c r="H49" s="6"/>
      <c r="I49" s="6">
        <f>Table4[[#This Row],[MC ($M)]]-Table4[[#This Row],[Cash ($M)]]+Table4[[#This Row],[Debt ($M)]]</f>
        <v>961.63200000000006</v>
      </c>
      <c r="J49" s="3"/>
      <c r="K49" s="3"/>
      <c r="L49" s="9"/>
      <c r="N49" s="9"/>
      <c r="O49" s="15"/>
      <c r="P49" s="15"/>
      <c r="Q49" s="2" t="e">
        <f>Table4[[#This Row],[Price]]/Table4[[#This Row],[FY Earnings Estimates]]</f>
        <v>#DIV/0!</v>
      </c>
      <c r="R49" s="2" t="e">
        <f>Table4[[#This Row],[Price]]/Table4[[#This Row],[FY Earnings Estimates (2-years)]]</f>
        <v>#DIV/0!</v>
      </c>
      <c r="T49" s="12"/>
      <c r="U49" s="2" t="s">
        <v>85</v>
      </c>
      <c r="V49" s="2" t="s">
        <v>98</v>
      </c>
      <c r="W49" s="3"/>
    </row>
    <row r="50" spans="2:23" ht="13.9" customHeight="1">
      <c r="B50" s="2" t="s">
        <v>156</v>
      </c>
      <c r="C50" s="2" t="s">
        <v>30</v>
      </c>
      <c r="D50" s="2">
        <v>6.32</v>
      </c>
      <c r="E50" s="4">
        <v>146.9</v>
      </c>
      <c r="F50" s="6">
        <f>Table4[[#This Row],[Price]]*Table4[[#This Row],[Share Count ]]</f>
        <v>928.40800000000013</v>
      </c>
      <c r="G50" s="6"/>
      <c r="H50" s="6"/>
      <c r="I50" s="6">
        <f>Table4[[#This Row],[MC ($M)]]-Table4[[#This Row],[Cash ($M)]]+Table4[[#This Row],[Debt ($M)]]</f>
        <v>928.40800000000013</v>
      </c>
      <c r="J50" s="3"/>
      <c r="K50" s="3"/>
      <c r="L50" s="9"/>
      <c r="N50" s="9"/>
      <c r="O50" s="15"/>
      <c r="P50" s="15"/>
      <c r="Q50" s="2" t="e">
        <f>Table4[[#This Row],[Price]]/Table4[[#This Row],[FY Earnings Estimates]]</f>
        <v>#DIV/0!</v>
      </c>
      <c r="R50" s="2" t="e">
        <f>Table4[[#This Row],[Price]]/Table4[[#This Row],[FY Earnings Estimates (2-years)]]</f>
        <v>#DIV/0!</v>
      </c>
      <c r="T50" s="12"/>
      <c r="U50" s="2" t="s">
        <v>114</v>
      </c>
      <c r="V50" s="2" t="s">
        <v>115</v>
      </c>
      <c r="W50" s="3"/>
    </row>
    <row r="51" spans="2:23" ht="13.9" customHeight="1">
      <c r="B51" s="2" t="s">
        <v>144</v>
      </c>
      <c r="C51" s="2" t="s">
        <v>47</v>
      </c>
      <c r="D51" s="2">
        <v>12.73</v>
      </c>
      <c r="E51" s="4">
        <v>57.7</v>
      </c>
      <c r="F51" s="6">
        <f>Table4[[#This Row],[Price]]*Table4[[#This Row],[Share Count ]]</f>
        <v>734.52100000000007</v>
      </c>
      <c r="G51" s="6"/>
      <c r="H51" s="6"/>
      <c r="I51" s="6">
        <f>Table4[[#This Row],[MC ($M)]]-Table4[[#This Row],[Cash ($M)]]+Table4[[#This Row],[Debt ($M)]]</f>
        <v>734.52100000000007</v>
      </c>
      <c r="J51" s="3"/>
      <c r="K51" s="3"/>
      <c r="L51" s="9"/>
      <c r="N51" s="9"/>
      <c r="O51" s="15"/>
      <c r="P51" s="15"/>
      <c r="Q51" s="2" t="e">
        <f>Table4[[#This Row],[Price]]/Table4[[#This Row],[FY Earnings Estimates]]</f>
        <v>#DIV/0!</v>
      </c>
      <c r="R51" s="2" t="e">
        <f>Table4[[#This Row],[Price]]/Table4[[#This Row],[FY Earnings Estimates (2-years)]]</f>
        <v>#DIV/0!</v>
      </c>
      <c r="T51" s="12"/>
      <c r="U51" s="2" t="s">
        <v>85</v>
      </c>
      <c r="V51" s="2" t="s">
        <v>97</v>
      </c>
      <c r="W51" s="3"/>
    </row>
    <row r="52" spans="2:23" ht="13.9" customHeight="1">
      <c r="B52" s="2" t="s">
        <v>160</v>
      </c>
      <c r="C52" s="2" t="s">
        <v>61</v>
      </c>
      <c r="D52" s="2">
        <v>12.7</v>
      </c>
      <c r="E52" s="4">
        <v>52.9</v>
      </c>
      <c r="F52" s="6">
        <f>Table4[[#This Row],[Price]]*Table4[[#This Row],[Share Count ]]</f>
        <v>671.82999999999993</v>
      </c>
      <c r="G52" s="6"/>
      <c r="H52" s="6"/>
      <c r="I52" s="6">
        <f>Table4[[#This Row],[MC ($M)]]-Table4[[#This Row],[Cash ($M)]]+Table4[[#This Row],[Debt ($M)]]</f>
        <v>671.82999999999993</v>
      </c>
      <c r="J52" s="3"/>
      <c r="K52" s="3"/>
      <c r="L52" s="9"/>
      <c r="N52" s="9"/>
      <c r="O52" s="15"/>
      <c r="P52" s="15"/>
      <c r="Q52" s="2" t="e">
        <f>Table4[[#This Row],[Price]]/Table4[[#This Row],[FY Earnings Estimates]]</f>
        <v>#DIV/0!</v>
      </c>
      <c r="R52" s="2" t="e">
        <f>Table4[[#This Row],[Price]]/Table4[[#This Row],[FY Earnings Estimates (2-years)]]</f>
        <v>#DIV/0!</v>
      </c>
      <c r="T52" s="12"/>
      <c r="U52" s="2" t="s">
        <v>85</v>
      </c>
      <c r="V52" s="2" t="s">
        <v>119</v>
      </c>
      <c r="W52" s="3"/>
    </row>
    <row r="53" spans="2:23" ht="13.9" customHeight="1">
      <c r="B53" s="2" t="s">
        <v>159</v>
      </c>
      <c r="C53" s="2" t="s">
        <v>60</v>
      </c>
      <c r="D53" s="2">
        <v>14.3</v>
      </c>
      <c r="E53" s="4">
        <v>38.5</v>
      </c>
      <c r="F53" s="6">
        <f>Table4[[#This Row],[Price]]*Table4[[#This Row],[Share Count ]]</f>
        <v>550.55000000000007</v>
      </c>
      <c r="G53" s="6"/>
      <c r="H53" s="6"/>
      <c r="I53" s="6">
        <f>Table4[[#This Row],[MC ($M)]]-Table4[[#This Row],[Cash ($M)]]+Table4[[#This Row],[Debt ($M)]]</f>
        <v>550.55000000000007</v>
      </c>
      <c r="J53" s="3"/>
      <c r="K53" s="3"/>
      <c r="L53" s="9"/>
      <c r="N53" s="9"/>
      <c r="O53" s="15"/>
      <c r="P53" s="15"/>
      <c r="Q53" s="2" t="e">
        <f>Table4[[#This Row],[Price]]/Table4[[#This Row],[FY Earnings Estimates]]</f>
        <v>#DIV/0!</v>
      </c>
      <c r="R53" s="2" t="e">
        <f>Table4[[#This Row],[Price]]/Table4[[#This Row],[FY Earnings Estimates (2-years)]]</f>
        <v>#DIV/0!</v>
      </c>
      <c r="T53" s="12"/>
      <c r="U53" s="2" t="s">
        <v>85</v>
      </c>
      <c r="V53" s="2" t="s">
        <v>118</v>
      </c>
      <c r="W53" s="3"/>
    </row>
    <row r="54" spans="2:23" ht="13.9" customHeight="1">
      <c r="B54" s="2" t="s">
        <v>80</v>
      </c>
      <c r="C54" s="2" t="s">
        <v>51</v>
      </c>
      <c r="D54" s="2">
        <v>9.33</v>
      </c>
      <c r="E54" s="4">
        <v>40.4</v>
      </c>
      <c r="F54" s="6">
        <f>Table4[[#This Row],[Price]]*Table4[[#This Row],[Share Count ]]</f>
        <v>376.93200000000002</v>
      </c>
      <c r="G54" s="6"/>
      <c r="H54" s="6"/>
      <c r="I54" s="6">
        <f>Table4[[#This Row],[MC ($M)]]-Table4[[#This Row],[Cash ($M)]]+Table4[[#This Row],[Debt ($M)]]</f>
        <v>376.93200000000002</v>
      </c>
      <c r="J54" s="3"/>
      <c r="K54" s="3"/>
      <c r="L54" s="9"/>
      <c r="N54" s="9"/>
      <c r="O54" s="15"/>
      <c r="P54" s="15"/>
      <c r="Q54" s="2" t="e">
        <f>Table4[[#This Row],[Price]]/Table4[[#This Row],[FY Earnings Estimates]]</f>
        <v>#DIV/0!</v>
      </c>
      <c r="R54" s="2" t="e">
        <f>Table4[[#This Row],[Price]]/Table4[[#This Row],[FY Earnings Estimates (2-years)]]</f>
        <v>#DIV/0!</v>
      </c>
      <c r="T54" s="12"/>
      <c r="U54" s="2" t="s">
        <v>85</v>
      </c>
      <c r="V54" s="2" t="s">
        <v>87</v>
      </c>
      <c r="W54" s="7" t="s">
        <v>198</v>
      </c>
    </row>
    <row r="55" spans="2:23" ht="13.9" customHeight="1">
      <c r="B55" s="2" t="s">
        <v>165</v>
      </c>
      <c r="C55" s="2" t="s">
        <v>65</v>
      </c>
      <c r="D55" s="2">
        <v>14.03</v>
      </c>
      <c r="E55" s="4">
        <v>23.9</v>
      </c>
      <c r="F55" s="6">
        <f>Table4[[#This Row],[Price]]*Table4[[#This Row],[Share Count ]]</f>
        <v>335.31699999999995</v>
      </c>
      <c r="G55" s="6"/>
      <c r="H55" s="6"/>
      <c r="I55" s="6">
        <f>Table4[[#This Row],[MC ($M)]]-Table4[[#This Row],[Cash ($M)]]+Table4[[#This Row],[Debt ($M)]]</f>
        <v>335.31699999999995</v>
      </c>
      <c r="J55" s="3"/>
      <c r="K55" s="3"/>
      <c r="L55" s="9"/>
      <c r="N55" s="9"/>
      <c r="O55" s="15"/>
      <c r="P55" s="15"/>
      <c r="Q55" s="2" t="e">
        <f>Table4[[#This Row],[Price]]/Table4[[#This Row],[FY Earnings Estimates]]</f>
        <v>#DIV/0!</v>
      </c>
      <c r="R55" s="2" t="e">
        <f>Table4[[#This Row],[Price]]/Table4[[#This Row],[FY Earnings Estimates (2-years)]]</f>
        <v>#DIV/0!</v>
      </c>
      <c r="T55" s="12"/>
      <c r="U55" s="2" t="s">
        <v>85</v>
      </c>
      <c r="V55" s="2" t="s">
        <v>127</v>
      </c>
      <c r="W55" s="3"/>
    </row>
    <row r="56" spans="2:23" ht="13.9" customHeight="1">
      <c r="B56" s="2" t="s">
        <v>139</v>
      </c>
      <c r="C56" s="2" t="s">
        <v>53</v>
      </c>
      <c r="D56" s="2">
        <v>1.4</v>
      </c>
      <c r="E56" s="4">
        <v>185.8</v>
      </c>
      <c r="F56" s="6">
        <f>Table4[[#This Row],[Price]]*Table4[[#This Row],[Share Count ]]</f>
        <v>260.12</v>
      </c>
      <c r="G56" s="6"/>
      <c r="H56" s="6"/>
      <c r="I56" s="6">
        <f>Table4[[#This Row],[MC ($M)]]-Table4[[#This Row],[Cash ($M)]]+Table4[[#This Row],[Debt ($M)]]</f>
        <v>260.12</v>
      </c>
      <c r="J56" s="3"/>
      <c r="K56" s="3"/>
      <c r="L56" s="9"/>
      <c r="N56" s="9"/>
      <c r="O56" s="15"/>
      <c r="P56" s="15"/>
      <c r="Q56" s="2" t="e">
        <f>Table4[[#This Row],[Price]]/Table4[[#This Row],[FY Earnings Estimates]]</f>
        <v>#DIV/0!</v>
      </c>
      <c r="R56" s="2" t="e">
        <f>Table4[[#This Row],[Price]]/Table4[[#This Row],[FY Earnings Estimates (2-years)]]</f>
        <v>#DIV/0!</v>
      </c>
      <c r="T56" s="12"/>
      <c r="U56" s="2" t="s">
        <v>85</v>
      </c>
      <c r="V56" s="2" t="s">
        <v>92</v>
      </c>
      <c r="W56" s="3"/>
    </row>
    <row r="57" spans="2:23" ht="13.9" customHeight="1">
      <c r="B57" s="2" t="s">
        <v>163</v>
      </c>
      <c r="C57" s="2" t="s">
        <v>64</v>
      </c>
      <c r="D57" s="2">
        <v>4.6100000000000003</v>
      </c>
      <c r="E57" s="4">
        <v>55.7</v>
      </c>
      <c r="F57" s="6">
        <f>Table4[[#This Row],[Price]]*Table4[[#This Row],[Share Count ]]</f>
        <v>256.77700000000004</v>
      </c>
      <c r="G57" s="6"/>
      <c r="H57" s="6"/>
      <c r="I57" s="6">
        <f>Table4[[#This Row],[MC ($M)]]-Table4[[#This Row],[Cash ($M)]]+Table4[[#This Row],[Debt ($M)]]</f>
        <v>256.77700000000004</v>
      </c>
      <c r="J57" s="3"/>
      <c r="K57" s="3"/>
      <c r="L57" s="9"/>
      <c r="N57" s="9"/>
      <c r="O57" s="15"/>
      <c r="P57" s="15"/>
      <c r="Q57" s="2" t="e">
        <f>Table4[[#This Row],[Price]]/Table4[[#This Row],[FY Earnings Estimates]]</f>
        <v>#DIV/0!</v>
      </c>
      <c r="R57" s="2" t="e">
        <f>Table4[[#This Row],[Price]]/Table4[[#This Row],[FY Earnings Estimates (2-years)]]</f>
        <v>#DIV/0!</v>
      </c>
      <c r="T57" s="12"/>
      <c r="U57" s="2" t="s">
        <v>85</v>
      </c>
      <c r="V57" s="2" t="s">
        <v>125</v>
      </c>
      <c r="W57" s="3"/>
    </row>
    <row r="58" spans="2:23" ht="13.9" customHeight="1">
      <c r="D58" s="2"/>
      <c r="E58" s="4"/>
      <c r="F58" s="6"/>
      <c r="G58" s="6"/>
      <c r="H58" s="6"/>
      <c r="I58" s="6"/>
      <c r="J58" s="3"/>
      <c r="K58" s="3"/>
      <c r="L58" s="9"/>
      <c r="N58" s="9"/>
      <c r="O58" s="15"/>
      <c r="P58" s="15"/>
      <c r="T58" s="12"/>
      <c r="W58" s="3"/>
    </row>
    <row r="59" spans="2:23" ht="13.9" customHeight="1">
      <c r="D59" s="2"/>
      <c r="E59" s="4"/>
      <c r="F59" s="6"/>
      <c r="G59" s="6"/>
      <c r="H59" s="6"/>
      <c r="I59" s="6"/>
      <c r="J59" s="3"/>
      <c r="K59" s="3"/>
      <c r="L59" s="9"/>
      <c r="N59" s="9"/>
      <c r="O59" s="15"/>
      <c r="P59" s="15"/>
      <c r="T59" s="12"/>
      <c r="W59" s="3"/>
    </row>
    <row r="60" spans="2:23" ht="13.9" customHeight="1">
      <c r="D60" s="2"/>
      <c r="E60" s="4"/>
      <c r="F60" s="6"/>
      <c r="G60" s="6"/>
      <c r="H60" s="6"/>
      <c r="I60" s="6"/>
      <c r="J60" s="3"/>
      <c r="K60" s="3"/>
      <c r="L60" s="9"/>
      <c r="N60" s="9"/>
      <c r="O60" s="15"/>
      <c r="P60" s="15"/>
      <c r="T60" s="12"/>
      <c r="W60" s="3"/>
    </row>
    <row r="61" spans="2:23" ht="13.9" customHeight="1">
      <c r="D61" s="2"/>
      <c r="E61" s="4"/>
      <c r="F61" s="6"/>
      <c r="G61" s="6"/>
      <c r="H61" s="6"/>
      <c r="I61" s="6"/>
      <c r="J61" s="3"/>
      <c r="K61" s="3"/>
      <c r="L61" s="9"/>
      <c r="N61" s="9"/>
      <c r="O61" s="15"/>
      <c r="P61" s="15"/>
      <c r="T61" s="12"/>
      <c r="W61" s="3"/>
    </row>
    <row r="62" spans="2:23" ht="13.9" customHeight="1">
      <c r="E62" s="4"/>
      <c r="F62" s="6"/>
      <c r="G62" s="6"/>
      <c r="H62" s="6"/>
      <c r="I62" s="6"/>
      <c r="J62" s="3"/>
      <c r="K62" s="3"/>
      <c r="L62" s="9"/>
      <c r="N62" s="9"/>
      <c r="O62" s="2"/>
      <c r="T62" s="12"/>
    </row>
    <row r="63" spans="2:23" ht="13.9" customHeight="1">
      <c r="J63" s="3"/>
      <c r="K63" s="3"/>
      <c r="L63" s="9"/>
      <c r="N63" s="9"/>
      <c r="O63" s="2"/>
      <c r="T63" s="12"/>
    </row>
    <row r="64" spans="2:23" ht="13.9" customHeight="1">
      <c r="J64" s="3"/>
      <c r="K64" s="3"/>
      <c r="L64" s="9"/>
      <c r="N64" s="9"/>
      <c r="O64" s="2"/>
      <c r="T64" s="12"/>
    </row>
    <row r="65" spans="10:20" ht="13.9" customHeight="1">
      <c r="J65" s="3"/>
      <c r="K65" s="3"/>
      <c r="L65" s="9"/>
      <c r="N65" s="9"/>
      <c r="O65" s="2"/>
      <c r="T65" s="12"/>
    </row>
    <row r="66" spans="10:20" ht="13.9" customHeight="1">
      <c r="J66" s="3"/>
      <c r="K66" s="3"/>
      <c r="L66" s="9"/>
      <c r="N66" s="9"/>
      <c r="O66" s="2"/>
      <c r="T66" s="12"/>
    </row>
    <row r="67" spans="10:20" ht="13.9" customHeight="1">
      <c r="J67" s="3"/>
      <c r="K67" s="3"/>
      <c r="L67" s="9"/>
      <c r="N67" s="9"/>
      <c r="O67" s="2"/>
      <c r="T67" s="12"/>
    </row>
    <row r="68" spans="10:20" ht="13.9" customHeight="1">
      <c r="J68" s="3"/>
      <c r="K68" s="3"/>
      <c r="L68" s="9"/>
      <c r="N68" s="9"/>
      <c r="O68" s="2"/>
      <c r="T68" s="12"/>
    </row>
    <row r="69" spans="10:20" ht="13.9" customHeight="1">
      <c r="J69" s="3"/>
      <c r="K69" s="3"/>
      <c r="L69" s="9"/>
      <c r="N69" s="9"/>
      <c r="O69" s="2"/>
      <c r="T69" s="12"/>
    </row>
    <row r="70" spans="10:20" ht="13.9" customHeight="1">
      <c r="J70" s="3"/>
      <c r="K70" s="3"/>
      <c r="L70" s="9"/>
      <c r="N70" s="9"/>
      <c r="O70" s="2"/>
      <c r="T70" s="12"/>
    </row>
    <row r="71" spans="10:20" ht="13.9" customHeight="1">
      <c r="J71" s="3"/>
      <c r="K71" s="3"/>
      <c r="L71" s="9"/>
      <c r="N71" s="9"/>
      <c r="O71" s="2"/>
      <c r="T71" s="12"/>
    </row>
    <row r="72" spans="10:20" ht="13.9" customHeight="1">
      <c r="J72" s="3"/>
      <c r="K72" s="3"/>
      <c r="L72" s="9"/>
      <c r="N72" s="9"/>
      <c r="O72" s="2"/>
      <c r="T72" s="12"/>
    </row>
  </sheetData>
  <phoneticPr fontId="6" type="noConversion"/>
  <hyperlinks>
    <hyperlink ref="C7" r:id="rId1" xr:uid="{426F8A59-D0D3-4B06-A2F3-2FB148EA51C0}"/>
    <hyperlink ref="C30" r:id="rId2" xr:uid="{2D379C01-EB9C-4FC6-AE11-39C65785E045}"/>
    <hyperlink ref="C3" r:id="rId3" xr:uid="{BD385BD7-588E-48EF-B301-D5FB5D51DCEB}"/>
    <hyperlink ref="C10" r:id="rId4" xr:uid="{D832F864-5E10-448D-B5E6-A41747F24422}"/>
    <hyperlink ref="C38" r:id="rId5" xr:uid="{00568186-9937-41F0-A573-81F07A883F35}"/>
    <hyperlink ref="C29" r:id="rId6" xr:uid="{005180B3-25D4-4F2E-A649-03376394116A}"/>
    <hyperlink ref="C9" r:id="rId7" xr:uid="{B49CD5A4-3D0B-4623-BA9B-93008A472BB3}"/>
    <hyperlink ref="A1" r:id="rId8" xr:uid="{14843B6A-D4ED-40CD-92DC-B778E9D772AF}"/>
    <hyperlink ref="C4" r:id="rId9" xr:uid="{23F477A8-940C-46FE-A25D-976F6B17DD02}"/>
    <hyperlink ref="C13" r:id="rId10" xr:uid="{38E70E01-0597-4952-9867-18D192DA9C54}"/>
    <hyperlink ref="C44" r:id="rId11" xr:uid="{9C77A58C-9158-42FD-B668-10E6EF96443A}"/>
  </hyperlinks>
  <pageMargins left="0.7" right="0.7" top="0.75" bottom="0.75" header="0.3" footer="0.3"/>
  <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2"/>
  <sheetViews>
    <sheetView workbookViewId="0">
      <selection activeCell="B5" sqref="B5"/>
    </sheetView>
  </sheetViews>
  <sheetFormatPr defaultColWidth="9.140625" defaultRowHeight="14.25"/>
  <cols>
    <col min="1" max="1" width="3.140625" style="2" customWidth="1"/>
    <col min="2" max="16384" width="9.140625" style="2"/>
  </cols>
  <sheetData>
    <row r="2" spans="2:3" ht="15">
      <c r="B2" s="10" t="s">
        <v>190</v>
      </c>
    </row>
    <row r="3" spans="2:3">
      <c r="C3" s="2" t="s">
        <v>184</v>
      </c>
    </row>
    <row r="5" spans="2:3" ht="15">
      <c r="B5" s="10" t="s">
        <v>191</v>
      </c>
    </row>
    <row r="6" spans="2:3">
      <c r="C6" s="2" t="s">
        <v>185</v>
      </c>
    </row>
    <row r="8" spans="2:3" ht="15">
      <c r="B8" s="10" t="s">
        <v>186</v>
      </c>
    </row>
    <row r="9" spans="2:3">
      <c r="C9" s="2" t="s">
        <v>187</v>
      </c>
    </row>
    <row r="11" spans="2:3" ht="15">
      <c r="B11" s="10" t="s">
        <v>189</v>
      </c>
    </row>
    <row r="12" spans="2:3">
      <c r="C12" s="2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2025-05-05T08:07:36Z</dcterms:modified>
</cp:coreProperties>
</file>