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mmunication Services\"/>
    </mc:Choice>
  </mc:AlternateContent>
  <xr:revisionPtr revIDLastSave="0" documentId="13_ncr:1_{29CC848E-8803-4683-9EBA-5277DFD4F45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8" i="2" l="1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BQ68" i="2"/>
  <c r="BQ67" i="2"/>
  <c r="BQ66" i="2"/>
  <c r="BQ65" i="2"/>
  <c r="BQ64" i="2"/>
  <c r="BQ63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W54" i="2"/>
  <c r="AW55" i="2" s="1"/>
  <c r="AW50" i="2"/>
  <c r="AZ58" i="2"/>
  <c r="AZ56" i="2"/>
  <c r="AZ53" i="2"/>
  <c r="AZ52" i="2"/>
  <c r="AZ51" i="2"/>
  <c r="AZ49" i="2"/>
  <c r="BG84" i="2"/>
  <c r="BD58" i="2"/>
  <c r="BD56" i="2"/>
  <c r="BD53" i="2"/>
  <c r="BD52" i="2"/>
  <c r="BD51" i="2"/>
  <c r="BD49" i="2"/>
  <c r="BH58" i="2"/>
  <c r="BO98" i="2"/>
  <c r="BO100" i="2" s="1"/>
  <c r="BO54" i="2"/>
  <c r="BH56" i="2"/>
  <c r="BH53" i="2"/>
  <c r="BH52" i="2"/>
  <c r="BH51" i="2"/>
  <c r="BH49" i="2"/>
  <c r="BL58" i="2"/>
  <c r="BL56" i="2"/>
  <c r="BL53" i="2"/>
  <c r="BL52" i="2"/>
  <c r="BL51" i="2"/>
  <c r="BL49" i="2"/>
  <c r="BP58" i="2"/>
  <c r="BP56" i="2"/>
  <c r="BP53" i="2"/>
  <c r="BP52" i="2"/>
  <c r="BP51" i="2"/>
  <c r="BP49" i="2"/>
  <c r="BQ84" i="2"/>
  <c r="BN54" i="2"/>
  <c r="BM54" i="2"/>
  <c r="BK54" i="2"/>
  <c r="BJ54" i="2"/>
  <c r="BI54" i="2"/>
  <c r="BG54" i="2"/>
  <c r="BF54" i="2"/>
  <c r="BE54" i="2"/>
  <c r="BC54" i="2"/>
  <c r="BB54" i="2"/>
  <c r="BA54" i="2"/>
  <c r="AY54" i="2"/>
  <c r="AX54" i="2"/>
  <c r="BQ54" i="2"/>
  <c r="BO39" i="2"/>
  <c r="BN39" i="2"/>
  <c r="BM39" i="2"/>
  <c r="BK39" i="2"/>
  <c r="BJ39" i="2"/>
  <c r="BI39" i="2"/>
  <c r="BG39" i="2"/>
  <c r="BF39" i="2"/>
  <c r="BE39" i="2"/>
  <c r="BC39" i="2"/>
  <c r="BB39" i="2"/>
  <c r="BA39" i="2"/>
  <c r="BO38" i="2"/>
  <c r="BN38" i="2"/>
  <c r="BM38" i="2"/>
  <c r="BK38" i="2"/>
  <c r="BJ38" i="2"/>
  <c r="BI38" i="2"/>
  <c r="BG38" i="2"/>
  <c r="BF38" i="2"/>
  <c r="BE38" i="2"/>
  <c r="BC38" i="2"/>
  <c r="BB38" i="2"/>
  <c r="BA38" i="2"/>
  <c r="BO37" i="2"/>
  <c r="BN37" i="2"/>
  <c r="BM37" i="2"/>
  <c r="BK37" i="2"/>
  <c r="BJ37" i="2"/>
  <c r="BI37" i="2"/>
  <c r="BG37" i="2"/>
  <c r="BF37" i="2"/>
  <c r="BE37" i="2"/>
  <c r="BC37" i="2"/>
  <c r="BB37" i="2"/>
  <c r="BA37" i="2"/>
  <c r="BO36" i="2"/>
  <c r="BN36" i="2"/>
  <c r="BM36" i="2"/>
  <c r="BK36" i="2"/>
  <c r="BJ36" i="2"/>
  <c r="BI36" i="2"/>
  <c r="BG36" i="2"/>
  <c r="BF36" i="2"/>
  <c r="BE36" i="2"/>
  <c r="BC36" i="2"/>
  <c r="BB36" i="2"/>
  <c r="BA36" i="2"/>
  <c r="BQ39" i="2"/>
  <c r="BQ38" i="2"/>
  <c r="BQ37" i="2"/>
  <c r="BQ36" i="2"/>
  <c r="AZ33" i="2"/>
  <c r="AZ32" i="2"/>
  <c r="AZ31" i="2"/>
  <c r="AZ30" i="2"/>
  <c r="AZ29" i="2"/>
  <c r="BD33" i="2"/>
  <c r="BD32" i="2"/>
  <c r="BD31" i="2"/>
  <c r="BD30" i="2"/>
  <c r="BD29" i="2"/>
  <c r="BH33" i="2"/>
  <c r="BH32" i="2"/>
  <c r="BH31" i="2"/>
  <c r="BH30" i="2"/>
  <c r="BH29" i="2"/>
  <c r="BL33" i="2"/>
  <c r="BL32" i="2"/>
  <c r="BL31" i="2"/>
  <c r="BL30" i="2"/>
  <c r="BL29" i="2"/>
  <c r="BP33" i="2"/>
  <c r="BP32" i="2"/>
  <c r="BP31" i="2"/>
  <c r="BP30" i="2"/>
  <c r="BP29" i="2"/>
  <c r="BO34" i="2"/>
  <c r="BN34" i="2"/>
  <c r="BN45" i="2" s="1"/>
  <c r="BM34" i="2"/>
  <c r="BM43" i="2" s="1"/>
  <c r="BK34" i="2"/>
  <c r="BK45" i="2" s="1"/>
  <c r="BJ34" i="2"/>
  <c r="BI34" i="2"/>
  <c r="BG34" i="2"/>
  <c r="BF34" i="2"/>
  <c r="BE34" i="2"/>
  <c r="BC34" i="2"/>
  <c r="BC42" i="2" s="1"/>
  <c r="BB34" i="2"/>
  <c r="BB45" i="2" s="1"/>
  <c r="BA34" i="2"/>
  <c r="BA45" i="2" s="1"/>
  <c r="AY34" i="2"/>
  <c r="AY46" i="2" s="1"/>
  <c r="AX34" i="2"/>
  <c r="AW34" i="2"/>
  <c r="AW46" i="2" s="1"/>
  <c r="BQ34" i="2"/>
  <c r="AV52" i="2"/>
  <c r="AV54" i="2" s="1"/>
  <c r="AU52" i="2"/>
  <c r="AU54" i="2" s="1"/>
  <c r="AT52" i="2"/>
  <c r="AT54" i="2" s="1"/>
  <c r="AS52" i="2"/>
  <c r="AS54" i="2" s="1"/>
  <c r="AR52" i="2"/>
  <c r="AR54" i="2" s="1"/>
  <c r="AQ52" i="2"/>
  <c r="AQ54" i="2" s="1"/>
  <c r="AP52" i="2"/>
  <c r="AP54" i="2" s="1"/>
  <c r="AO52" i="2"/>
  <c r="AO54" i="2" s="1"/>
  <c r="AN52" i="2"/>
  <c r="AN54" i="2" s="1"/>
  <c r="AM52" i="2"/>
  <c r="AM54" i="2" s="1"/>
  <c r="AL52" i="2"/>
  <c r="AL54" i="2" s="1"/>
  <c r="AK52" i="2"/>
  <c r="AK54" i="2" s="1"/>
  <c r="AJ52" i="2"/>
  <c r="AJ54" i="2" s="1"/>
  <c r="AI52" i="2"/>
  <c r="AI54" i="2" s="1"/>
  <c r="AH52" i="2"/>
  <c r="AH54" i="2" s="1"/>
  <c r="AG52" i="2"/>
  <c r="AG54" i="2" s="1"/>
  <c r="AF52" i="2"/>
  <c r="AF54" i="2" s="1"/>
  <c r="AE52" i="2"/>
  <c r="AE54" i="2" s="1"/>
  <c r="AD52" i="2"/>
  <c r="AD54" i="2" s="1"/>
  <c r="AC52" i="2"/>
  <c r="AC54" i="2" s="1"/>
  <c r="AB52" i="2"/>
  <c r="AB54" i="2" s="1"/>
  <c r="AA52" i="2"/>
  <c r="AA54" i="2" s="1"/>
  <c r="Z52" i="2"/>
  <c r="Z54" i="2" s="1"/>
  <c r="Y52" i="2"/>
  <c r="Y54" i="2" s="1"/>
  <c r="X52" i="2"/>
  <c r="X54" i="2" s="1"/>
  <c r="W52" i="2"/>
  <c r="W54" i="2" s="1"/>
  <c r="V52" i="2"/>
  <c r="V54" i="2" s="1"/>
  <c r="U52" i="2"/>
  <c r="U54" i="2" s="1"/>
  <c r="T52" i="2"/>
  <c r="T54" i="2" s="1"/>
  <c r="S52" i="2"/>
  <c r="S54" i="2" s="1"/>
  <c r="R52" i="2"/>
  <c r="R54" i="2" s="1"/>
  <c r="Q52" i="2"/>
  <c r="Q54" i="2" s="1"/>
  <c r="P52" i="2"/>
  <c r="P54" i="2" s="1"/>
  <c r="O52" i="2"/>
  <c r="O54" i="2" s="1"/>
  <c r="N52" i="2"/>
  <c r="N54" i="2" s="1"/>
  <c r="M52" i="2"/>
  <c r="M54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C52" i="2"/>
  <c r="C54" i="2" s="1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O20" i="2"/>
  <c r="BN20" i="2"/>
  <c r="BM20" i="2"/>
  <c r="BK20" i="2"/>
  <c r="BJ20" i="2"/>
  <c r="BI20" i="2"/>
  <c r="BG20" i="2"/>
  <c r="BF20" i="2"/>
  <c r="BE20" i="2"/>
  <c r="BC20" i="2"/>
  <c r="BB20" i="2"/>
  <c r="BA20" i="2"/>
  <c r="BO19" i="2"/>
  <c r="BN19" i="2"/>
  <c r="BM19" i="2"/>
  <c r="BK19" i="2"/>
  <c r="BJ19" i="2"/>
  <c r="BI19" i="2"/>
  <c r="BG19" i="2"/>
  <c r="BF19" i="2"/>
  <c r="BE19" i="2"/>
  <c r="BC19" i="2"/>
  <c r="BB19" i="2"/>
  <c r="BA19" i="2"/>
  <c r="BO18" i="2"/>
  <c r="BN18" i="2"/>
  <c r="BM18" i="2"/>
  <c r="BK18" i="2"/>
  <c r="BJ18" i="2"/>
  <c r="BI18" i="2"/>
  <c r="BG18" i="2"/>
  <c r="BF18" i="2"/>
  <c r="BE18" i="2"/>
  <c r="BC18" i="2"/>
  <c r="BB18" i="2"/>
  <c r="BA18" i="2"/>
  <c r="BO16" i="2"/>
  <c r="BN16" i="2"/>
  <c r="BM16" i="2"/>
  <c r="BK16" i="2"/>
  <c r="BJ16" i="2"/>
  <c r="BI16" i="2"/>
  <c r="BG16" i="2"/>
  <c r="BF16" i="2"/>
  <c r="BE16" i="2"/>
  <c r="BC16" i="2"/>
  <c r="BB16" i="2"/>
  <c r="BA16" i="2"/>
  <c r="BO15" i="2"/>
  <c r="BN15" i="2"/>
  <c r="BM15" i="2"/>
  <c r="BK15" i="2"/>
  <c r="BJ15" i="2"/>
  <c r="BI15" i="2"/>
  <c r="BG15" i="2"/>
  <c r="BF15" i="2"/>
  <c r="BE15" i="2"/>
  <c r="BC15" i="2"/>
  <c r="BB15" i="2"/>
  <c r="BA15" i="2"/>
  <c r="BO14" i="2"/>
  <c r="BN14" i="2"/>
  <c r="BM14" i="2"/>
  <c r="BK14" i="2"/>
  <c r="BJ14" i="2"/>
  <c r="BI14" i="2"/>
  <c r="BG14" i="2"/>
  <c r="BF14" i="2"/>
  <c r="BE14" i="2"/>
  <c r="BC14" i="2"/>
  <c r="BB14" i="2"/>
  <c r="BA14" i="2"/>
  <c r="BQ20" i="2"/>
  <c r="BQ19" i="2"/>
  <c r="BQ18" i="2"/>
  <c r="BQ16" i="2"/>
  <c r="BQ15" i="2"/>
  <c r="BQ14" i="2"/>
  <c r="AZ11" i="2"/>
  <c r="AZ10" i="2"/>
  <c r="AZ9" i="2"/>
  <c r="AZ8" i="2"/>
  <c r="AZ6" i="2"/>
  <c r="AZ5" i="2"/>
  <c r="AZ4" i="2"/>
  <c r="BD11" i="2"/>
  <c r="BD10" i="2"/>
  <c r="BD9" i="2"/>
  <c r="BD8" i="2"/>
  <c r="BD6" i="2"/>
  <c r="BD5" i="2"/>
  <c r="BD4" i="2"/>
  <c r="BH11" i="2"/>
  <c r="BH10" i="2"/>
  <c r="BH9" i="2"/>
  <c r="BH8" i="2"/>
  <c r="BH6" i="2"/>
  <c r="BH5" i="2"/>
  <c r="BH4" i="2"/>
  <c r="BL11" i="2"/>
  <c r="BL10" i="2"/>
  <c r="BL9" i="2"/>
  <c r="BL8" i="2"/>
  <c r="BL6" i="2"/>
  <c r="BL5" i="2"/>
  <c r="BL4" i="2"/>
  <c r="BP11" i="2"/>
  <c r="BP10" i="2"/>
  <c r="BP9" i="2"/>
  <c r="BP8" i="2"/>
  <c r="BP6" i="2"/>
  <c r="BP5" i="2"/>
  <c r="BP4" i="2"/>
  <c r="BQ7" i="2"/>
  <c r="BO7" i="2"/>
  <c r="BO12" i="2" s="1"/>
  <c r="BN7" i="2"/>
  <c r="BN12" i="2" s="1"/>
  <c r="BN23" i="2" s="1"/>
  <c r="BK7" i="2"/>
  <c r="BK12" i="2" s="1"/>
  <c r="BJ7" i="2"/>
  <c r="BJ12" i="2" s="1"/>
  <c r="BI7" i="2"/>
  <c r="BI12" i="2" s="1"/>
  <c r="BI48" i="2" s="1"/>
  <c r="BI50" i="2" s="1"/>
  <c r="BG7" i="2"/>
  <c r="BG12" i="2" s="1"/>
  <c r="BF7" i="2"/>
  <c r="BF12" i="2" s="1"/>
  <c r="BE7" i="2"/>
  <c r="BE12" i="2" s="1"/>
  <c r="BE48" i="2" s="1"/>
  <c r="BE50" i="2" s="1"/>
  <c r="BC7" i="2"/>
  <c r="BC12" i="2" s="1"/>
  <c r="BC48" i="2" s="1"/>
  <c r="BC50" i="2" s="1"/>
  <c r="BB7" i="2"/>
  <c r="BB12" i="2" s="1"/>
  <c r="BA7" i="2"/>
  <c r="BA12" i="2" s="1"/>
  <c r="BA48" i="2" s="1"/>
  <c r="BA50" i="2" s="1"/>
  <c r="AY7" i="2"/>
  <c r="AY12" i="2" s="1"/>
  <c r="AY48" i="2" s="1"/>
  <c r="AY50" i="2" s="1"/>
  <c r="AX7" i="2"/>
  <c r="AX12" i="2" s="1"/>
  <c r="AX48" i="2" s="1"/>
  <c r="AX50" i="2" s="1"/>
  <c r="AW7" i="2"/>
  <c r="AW12" i="2" s="1"/>
  <c r="AW27" i="2" s="1"/>
  <c r="BM7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BP84" i="2"/>
  <c r="BO84" i="2"/>
  <c r="BN84" i="2"/>
  <c r="BM84" i="2"/>
  <c r="BL84" i="2"/>
  <c r="BK84" i="2"/>
  <c r="BJ84" i="2"/>
  <c r="BI84" i="2"/>
  <c r="BH84" i="2"/>
  <c r="BF84" i="2"/>
  <c r="BE84" i="2"/>
  <c r="BD84" i="2"/>
  <c r="BC84" i="2"/>
  <c r="BB84" i="2"/>
  <c r="BA84" i="2"/>
  <c r="AZ84" i="2"/>
  <c r="AY84" i="2"/>
  <c r="AX84" i="2"/>
  <c r="AW84" i="2"/>
  <c r="BQ98" i="2"/>
  <c r="BQ100" i="2" s="1"/>
  <c r="BP98" i="2"/>
  <c r="BP100" i="2" s="1"/>
  <c r="BN98" i="2"/>
  <c r="BN100" i="2" s="1"/>
  <c r="BM98" i="2"/>
  <c r="BM100" i="2" s="1"/>
  <c r="BL98" i="2"/>
  <c r="BL100" i="2" s="1"/>
  <c r="BK98" i="2"/>
  <c r="BK100" i="2" s="1"/>
  <c r="BJ98" i="2"/>
  <c r="BJ100" i="2" s="1"/>
  <c r="BI98" i="2"/>
  <c r="BI100" i="2" s="1"/>
  <c r="BH98" i="2"/>
  <c r="BH100" i="2" s="1"/>
  <c r="BG98" i="2"/>
  <c r="BG100" i="2" s="1"/>
  <c r="BF98" i="2"/>
  <c r="BF100" i="2" s="1"/>
  <c r="BE98" i="2"/>
  <c r="BE100" i="2" s="1"/>
  <c r="BD98" i="2"/>
  <c r="BD100" i="2" s="1"/>
  <c r="BC98" i="2"/>
  <c r="BC100" i="2" s="1"/>
  <c r="BB98" i="2"/>
  <c r="BB100" i="2" s="1"/>
  <c r="BA98" i="2"/>
  <c r="BA100" i="2" s="1"/>
  <c r="AZ98" i="2"/>
  <c r="AZ100" i="2" s="1"/>
  <c r="AY98" i="2"/>
  <c r="AY100" i="2" s="1"/>
  <c r="AX98" i="2"/>
  <c r="AX100" i="2" s="1"/>
  <c r="AW98" i="2"/>
  <c r="AW100" i="2" s="1"/>
  <c r="BE55" i="2" l="1"/>
  <c r="BE57" i="2" s="1"/>
  <c r="BE59" i="2" s="1"/>
  <c r="BH54" i="2"/>
  <c r="AY55" i="2"/>
  <c r="AY57" i="2" s="1"/>
  <c r="AY59" i="2" s="1"/>
  <c r="AY110" i="2" s="1"/>
  <c r="AX55" i="2"/>
  <c r="AX57" i="2" s="1"/>
  <c r="AX59" i="2" s="1"/>
  <c r="AX61" i="2" s="1"/>
  <c r="BC55" i="2"/>
  <c r="BC57" i="2" s="1"/>
  <c r="BC59" i="2" s="1"/>
  <c r="BI55" i="2"/>
  <c r="BI57" i="2" s="1"/>
  <c r="BI59" i="2" s="1"/>
  <c r="BI110" i="2" s="1"/>
  <c r="BA55" i="2"/>
  <c r="BA57" i="2" s="1"/>
  <c r="BA59" i="2" s="1"/>
  <c r="BA110" i="2" s="1"/>
  <c r="BG40" i="2"/>
  <c r="BP37" i="2"/>
  <c r="BD38" i="2"/>
  <c r="BI40" i="2"/>
  <c r="BP38" i="2"/>
  <c r="BH36" i="2"/>
  <c r="BD39" i="2"/>
  <c r="BM17" i="2"/>
  <c r="AZ54" i="2"/>
  <c r="BD54" i="2"/>
  <c r="BL54" i="2"/>
  <c r="BP54" i="2"/>
  <c r="BO21" i="2"/>
  <c r="BI42" i="2"/>
  <c r="BK42" i="2"/>
  <c r="BE40" i="2"/>
  <c r="BO40" i="2"/>
  <c r="BL38" i="2"/>
  <c r="BD36" i="2"/>
  <c r="BK44" i="2"/>
  <c r="BQ40" i="2"/>
  <c r="BF40" i="2"/>
  <c r="BP36" i="2"/>
  <c r="BL39" i="2"/>
  <c r="BD37" i="2"/>
  <c r="BE45" i="2"/>
  <c r="BJ40" i="2"/>
  <c r="BP39" i="2"/>
  <c r="BH37" i="2"/>
  <c r="BE43" i="2"/>
  <c r="BM45" i="2"/>
  <c r="BO45" i="2"/>
  <c r="BM40" i="2"/>
  <c r="BL36" i="2"/>
  <c r="BH39" i="2"/>
  <c r="BQ43" i="2"/>
  <c r="BO43" i="2"/>
  <c r="BA46" i="2"/>
  <c r="BQ45" i="2"/>
  <c r="BA44" i="2"/>
  <c r="BC46" i="2"/>
  <c r="BA42" i="2"/>
  <c r="BC44" i="2"/>
  <c r="BI46" i="2"/>
  <c r="BI44" i="2"/>
  <c r="BK46" i="2"/>
  <c r="AW45" i="2"/>
  <c r="AW43" i="2"/>
  <c r="BB40" i="2"/>
  <c r="BQ44" i="2"/>
  <c r="BB42" i="2"/>
  <c r="BJ42" i="2"/>
  <c r="AX43" i="2"/>
  <c r="BF43" i="2"/>
  <c r="BN43" i="2"/>
  <c r="BB44" i="2"/>
  <c r="BJ44" i="2"/>
  <c r="AX45" i="2"/>
  <c r="BF45" i="2"/>
  <c r="BB46" i="2"/>
  <c r="BJ46" i="2"/>
  <c r="AY43" i="2"/>
  <c r="BH38" i="2"/>
  <c r="BQ46" i="2"/>
  <c r="BG43" i="2"/>
  <c r="BA40" i="2"/>
  <c r="AW42" i="2"/>
  <c r="BE42" i="2"/>
  <c r="BM42" i="2"/>
  <c r="BA43" i="2"/>
  <c r="BI43" i="2"/>
  <c r="AW44" i="2"/>
  <c r="BE44" i="2"/>
  <c r="BM44" i="2"/>
  <c r="BI45" i="2"/>
  <c r="BE46" i="2"/>
  <c r="BM46" i="2"/>
  <c r="BC40" i="2"/>
  <c r="BN40" i="2"/>
  <c r="BL37" i="2"/>
  <c r="AX42" i="2"/>
  <c r="BF42" i="2"/>
  <c r="BN42" i="2"/>
  <c r="BB43" i="2"/>
  <c r="BJ43" i="2"/>
  <c r="AX44" i="2"/>
  <c r="BF44" i="2"/>
  <c r="BN44" i="2"/>
  <c r="BJ45" i="2"/>
  <c r="AX46" i="2"/>
  <c r="BF46" i="2"/>
  <c r="BN46" i="2"/>
  <c r="AY45" i="2"/>
  <c r="BK40" i="2"/>
  <c r="AY42" i="2"/>
  <c r="BG42" i="2"/>
  <c r="BO42" i="2"/>
  <c r="BC43" i="2"/>
  <c r="BK43" i="2"/>
  <c r="AY44" i="2"/>
  <c r="BG44" i="2"/>
  <c r="BO44" i="2"/>
  <c r="BC45" i="2"/>
  <c r="BG46" i="2"/>
  <c r="BO46" i="2"/>
  <c r="BG45" i="2"/>
  <c r="BQ42" i="2"/>
  <c r="BP15" i="2"/>
  <c r="BL16" i="2"/>
  <c r="BP18" i="2"/>
  <c r="BL19" i="2"/>
  <c r="BH20" i="2"/>
  <c r="BB21" i="2"/>
  <c r="BP20" i="2"/>
  <c r="BD14" i="2"/>
  <c r="AZ34" i="2"/>
  <c r="AZ46" i="2" s="1"/>
  <c r="BD34" i="2"/>
  <c r="BH34" i="2"/>
  <c r="BH45" i="2" s="1"/>
  <c r="BL34" i="2"/>
  <c r="BP34" i="2"/>
  <c r="BP44" i="2" s="1"/>
  <c r="BG21" i="2"/>
  <c r="BH18" i="2"/>
  <c r="BD19" i="2"/>
  <c r="BI23" i="2"/>
  <c r="AX25" i="2"/>
  <c r="BJ21" i="2"/>
  <c r="BA27" i="2"/>
  <c r="BB24" i="2"/>
  <c r="BE26" i="2"/>
  <c r="BF21" i="2"/>
  <c r="BP14" i="2"/>
  <c r="BL15" i="2"/>
  <c r="BH16" i="2"/>
  <c r="BD18" i="2"/>
  <c r="BE24" i="2"/>
  <c r="AX27" i="2"/>
  <c r="AX23" i="2"/>
  <c r="BA25" i="2"/>
  <c r="BF27" i="2"/>
  <c r="BA23" i="2"/>
  <c r="BF25" i="2"/>
  <c r="BI27" i="2"/>
  <c r="BF23" i="2"/>
  <c r="BI25" i="2"/>
  <c r="BN27" i="2"/>
  <c r="BI17" i="2"/>
  <c r="BN25" i="2"/>
  <c r="BB48" i="2"/>
  <c r="BB50" i="2" s="1"/>
  <c r="BB55" i="2" s="1"/>
  <c r="BH14" i="2"/>
  <c r="BD15" i="2"/>
  <c r="BB26" i="2"/>
  <c r="BJ48" i="2"/>
  <c r="BJ50" i="2" s="1"/>
  <c r="BJ55" i="2" s="1"/>
  <c r="BK21" i="2"/>
  <c r="BP19" i="2"/>
  <c r="BL20" i="2"/>
  <c r="BI21" i="2"/>
  <c r="AY23" i="2"/>
  <c r="BG23" i="2"/>
  <c r="BO23" i="2"/>
  <c r="BC24" i="2"/>
  <c r="BK24" i="2"/>
  <c r="AY25" i="2"/>
  <c r="BG25" i="2"/>
  <c r="BO25" i="2"/>
  <c r="BC26" i="2"/>
  <c r="BK26" i="2"/>
  <c r="AY27" i="2"/>
  <c r="BG27" i="2"/>
  <c r="BO27" i="2"/>
  <c r="BK48" i="2"/>
  <c r="BK50" i="2" s="1"/>
  <c r="BK55" i="2" s="1"/>
  <c r="BK57" i="2" s="1"/>
  <c r="BK59" i="2" s="1"/>
  <c r="BA21" i="2"/>
  <c r="BJ24" i="2"/>
  <c r="BJ26" i="2"/>
  <c r="BN21" i="2"/>
  <c r="BA17" i="2"/>
  <c r="AW26" i="2"/>
  <c r="BE21" i="2"/>
  <c r="BQ17" i="2"/>
  <c r="BL14" i="2"/>
  <c r="BH15" i="2"/>
  <c r="BD16" i="2"/>
  <c r="BB23" i="2"/>
  <c r="BJ23" i="2"/>
  <c r="AX24" i="2"/>
  <c r="BF24" i="2"/>
  <c r="BN24" i="2"/>
  <c r="BB25" i="2"/>
  <c r="BJ25" i="2"/>
  <c r="AX26" i="2"/>
  <c r="BF26" i="2"/>
  <c r="BN26" i="2"/>
  <c r="BB27" i="2"/>
  <c r="BJ27" i="2"/>
  <c r="BF48" i="2"/>
  <c r="BF50" i="2" s="1"/>
  <c r="BF55" i="2" s="1"/>
  <c r="BF57" i="2" s="1"/>
  <c r="BF59" i="2" s="1"/>
  <c r="BF61" i="2" s="1"/>
  <c r="BN48" i="2"/>
  <c r="BN50" i="2" s="1"/>
  <c r="BN55" i="2" s="1"/>
  <c r="BN57" i="2" s="1"/>
  <c r="BN59" i="2" s="1"/>
  <c r="BN61" i="2" s="1"/>
  <c r="BC21" i="2"/>
  <c r="AW24" i="2"/>
  <c r="AW48" i="2"/>
  <c r="AW57" i="2" s="1"/>
  <c r="AW59" i="2" s="1"/>
  <c r="AW110" i="2" s="1"/>
  <c r="BC23" i="2"/>
  <c r="BK23" i="2"/>
  <c r="AY24" i="2"/>
  <c r="BG24" i="2"/>
  <c r="BO24" i="2"/>
  <c r="BC25" i="2"/>
  <c r="BK25" i="2"/>
  <c r="AY26" i="2"/>
  <c r="BG26" i="2"/>
  <c r="BO26" i="2"/>
  <c r="BC27" i="2"/>
  <c r="BK27" i="2"/>
  <c r="BG48" i="2"/>
  <c r="BG50" i="2" s="1"/>
  <c r="BG55" i="2" s="1"/>
  <c r="BG57" i="2" s="1"/>
  <c r="BG59" i="2" s="1"/>
  <c r="BG61" i="2" s="1"/>
  <c r="BO48" i="2"/>
  <c r="BO50" i="2" s="1"/>
  <c r="BO55" i="2" s="1"/>
  <c r="BO57" i="2" s="1"/>
  <c r="BO59" i="2" s="1"/>
  <c r="BO110" i="2" s="1"/>
  <c r="BP16" i="2"/>
  <c r="BL18" i="2"/>
  <c r="BH19" i="2"/>
  <c r="BD20" i="2"/>
  <c r="AW23" i="2"/>
  <c r="BE23" i="2"/>
  <c r="BA24" i="2"/>
  <c r="BI24" i="2"/>
  <c r="AW25" i="2"/>
  <c r="BE25" i="2"/>
  <c r="BA26" i="2"/>
  <c r="BI26" i="2"/>
  <c r="BE27" i="2"/>
  <c r="BB17" i="2"/>
  <c r="BJ17" i="2"/>
  <c r="BC17" i="2"/>
  <c r="BK17" i="2"/>
  <c r="BQ12" i="2"/>
  <c r="BM12" i="2"/>
  <c r="BE17" i="2"/>
  <c r="BF17" i="2"/>
  <c r="BN17" i="2"/>
  <c r="BG17" i="2"/>
  <c r="BO17" i="2"/>
  <c r="AZ7" i="2"/>
  <c r="AZ12" i="2" s="1"/>
  <c r="AZ27" i="2" s="1"/>
  <c r="BD7" i="2"/>
  <c r="BH7" i="2"/>
  <c r="BL7" i="2"/>
  <c r="BP7" i="2"/>
  <c r="AY61" i="2" l="1"/>
  <c r="BC61" i="2"/>
  <c r="BC110" i="2"/>
  <c r="BG110" i="2"/>
  <c r="AW61" i="2"/>
  <c r="BB57" i="2"/>
  <c r="BB59" i="2" s="1"/>
  <c r="BE110" i="2"/>
  <c r="BE61" i="2"/>
  <c r="BJ57" i="2"/>
  <c r="BJ59" i="2" s="1"/>
  <c r="BN110" i="2"/>
  <c r="BF110" i="2"/>
  <c r="BK61" i="2"/>
  <c r="BK110" i="2"/>
  <c r="BO61" i="2"/>
  <c r="BI61" i="2"/>
  <c r="BA61" i="2"/>
  <c r="AX110" i="2"/>
  <c r="BD40" i="2"/>
  <c r="BL40" i="2"/>
  <c r="BH42" i="2"/>
  <c r="AZ45" i="2"/>
  <c r="BH46" i="2"/>
  <c r="BL45" i="2"/>
  <c r="BP43" i="2"/>
  <c r="BP42" i="2"/>
  <c r="BH43" i="2"/>
  <c r="BH44" i="2"/>
  <c r="BL42" i="2"/>
  <c r="AZ44" i="2"/>
  <c r="BD45" i="2"/>
  <c r="AZ43" i="2"/>
  <c r="BD44" i="2"/>
  <c r="BD42" i="2"/>
  <c r="AZ42" i="2"/>
  <c r="BP40" i="2"/>
  <c r="BP45" i="2"/>
  <c r="BP46" i="2"/>
  <c r="BL43" i="2"/>
  <c r="BL46" i="2"/>
  <c r="BH40" i="2"/>
  <c r="BD43" i="2"/>
  <c r="BL44" i="2"/>
  <c r="BD46" i="2"/>
  <c r="AZ23" i="2"/>
  <c r="BM21" i="2"/>
  <c r="BM27" i="2"/>
  <c r="BM25" i="2"/>
  <c r="BM23" i="2"/>
  <c r="BM48" i="2"/>
  <c r="BM50" i="2" s="1"/>
  <c r="BM55" i="2" s="1"/>
  <c r="BM24" i="2"/>
  <c r="BM26" i="2"/>
  <c r="BQ48" i="2"/>
  <c r="BQ50" i="2" s="1"/>
  <c r="BQ55" i="2" s="1"/>
  <c r="BQ57" i="2" s="1"/>
  <c r="BQ59" i="2" s="1"/>
  <c r="BQ27" i="2"/>
  <c r="BQ26" i="2"/>
  <c r="BQ25" i="2"/>
  <c r="BQ24" i="2"/>
  <c r="BQ23" i="2"/>
  <c r="AZ48" i="2"/>
  <c r="AZ50" i="2" s="1"/>
  <c r="AZ55" i="2" s="1"/>
  <c r="AZ57" i="2" s="1"/>
  <c r="AZ59" i="2" s="1"/>
  <c r="AZ110" i="2" s="1"/>
  <c r="AZ24" i="2"/>
  <c r="AZ26" i="2"/>
  <c r="AZ25" i="2"/>
  <c r="BQ21" i="2"/>
  <c r="BL12" i="2"/>
  <c r="BL17" i="2"/>
  <c r="BP12" i="2"/>
  <c r="BP17" i="2"/>
  <c r="BH12" i="2"/>
  <c r="BH17" i="2"/>
  <c r="BD12" i="2"/>
  <c r="BD17" i="2"/>
  <c r="BJ61" i="2" l="1"/>
  <c r="BJ110" i="2"/>
  <c r="BB61" i="2"/>
  <c r="BB110" i="2"/>
  <c r="BQ61" i="2"/>
  <c r="BQ110" i="2"/>
  <c r="AZ61" i="2"/>
  <c r="BM57" i="2"/>
  <c r="BM59" i="2" s="1"/>
  <c r="BH48" i="2"/>
  <c r="BH50" i="2" s="1"/>
  <c r="BH55" i="2" s="1"/>
  <c r="BH57" i="2" s="1"/>
  <c r="BH59" i="2" s="1"/>
  <c r="BH25" i="2"/>
  <c r="BH23" i="2"/>
  <c r="BH27" i="2"/>
  <c r="BH26" i="2"/>
  <c r="BH24" i="2"/>
  <c r="BP21" i="2"/>
  <c r="BP48" i="2"/>
  <c r="BP50" i="2" s="1"/>
  <c r="BP55" i="2" s="1"/>
  <c r="BP57" i="2" s="1"/>
  <c r="BP59" i="2" s="1"/>
  <c r="BP26" i="2"/>
  <c r="BP27" i="2"/>
  <c r="BP23" i="2"/>
  <c r="BP24" i="2"/>
  <c r="BP25" i="2"/>
  <c r="BL27" i="2"/>
  <c r="BL23" i="2"/>
  <c r="BL48" i="2"/>
  <c r="BL50" i="2" s="1"/>
  <c r="BL55" i="2" s="1"/>
  <c r="BL57" i="2" s="1"/>
  <c r="BL59" i="2" s="1"/>
  <c r="BL24" i="2"/>
  <c r="BL25" i="2"/>
  <c r="BL26" i="2"/>
  <c r="BD21" i="2"/>
  <c r="BD23" i="2"/>
  <c r="BD48" i="2"/>
  <c r="BD50" i="2" s="1"/>
  <c r="BD55" i="2" s="1"/>
  <c r="BD57" i="2" s="1"/>
  <c r="BD59" i="2" s="1"/>
  <c r="BD27" i="2"/>
  <c r="BD24" i="2"/>
  <c r="BD25" i="2"/>
  <c r="BD26" i="2"/>
  <c r="BH21" i="2"/>
  <c r="BL21" i="2"/>
  <c r="BD110" i="2" l="1"/>
  <c r="BD61" i="2"/>
  <c r="BH61" i="2"/>
  <c r="BH110" i="2"/>
  <c r="BM110" i="2"/>
  <c r="BM61" i="2"/>
  <c r="BL110" i="2"/>
  <c r="BL61" i="2"/>
  <c r="BP110" i="2"/>
  <c r="BP61" i="2"/>
  <c r="C4" i="1"/>
  <c r="C5" i="1" s="1"/>
  <c r="CH3" i="2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G180" i="3"/>
  <c r="K236" i="3" s="1"/>
  <c r="K237" i="3" s="1"/>
  <c r="C8" i="1" l="1"/>
  <c r="K232" i="3"/>
  <c r="K233" i="3"/>
  <c r="K234" i="3"/>
  <c r="K235" i="3"/>
  <c r="C55" i="2" l="1"/>
  <c r="C57" i="2" s="1"/>
  <c r="C59" i="2" s="1"/>
  <c r="C61" i="2" s="1"/>
  <c r="E55" i="2"/>
  <c r="E57" i="2" s="1"/>
  <c r="E59" i="2" s="1"/>
  <c r="E61" i="2" s="1"/>
  <c r="D55" i="2"/>
  <c r="D57" i="2" s="1"/>
  <c r="D59" i="2" s="1"/>
  <c r="D61" i="2" s="1"/>
  <c r="Q55" i="2"/>
  <c r="Q57" i="2" s="1"/>
  <c r="Q59" i="2" s="1"/>
  <c r="Q61" i="2" s="1"/>
  <c r="AK55" i="2"/>
  <c r="AK57" i="2" s="1"/>
  <c r="AK59" i="2" s="1"/>
  <c r="AK61" i="2" s="1"/>
  <c r="J55" i="2"/>
  <c r="J57" i="2" s="1"/>
  <c r="J59" i="2" s="1"/>
  <c r="J61" i="2" s="1"/>
  <c r="AE55" i="2"/>
  <c r="AE57" i="2" s="1"/>
  <c r="AE59" i="2" s="1"/>
  <c r="AE61" i="2" s="1"/>
  <c r="W55" i="2"/>
  <c r="W57" i="2" s="1"/>
  <c r="W59" i="2" s="1"/>
  <c r="W61" i="2" s="1"/>
  <c r="AU55" i="2"/>
  <c r="AU57" i="2" s="1"/>
  <c r="AU59" i="2" s="1"/>
  <c r="AU61" i="2" s="1"/>
  <c r="O55" i="2"/>
  <c r="O57" i="2" s="1"/>
  <c r="O59" i="2" s="1"/>
  <c r="O61" i="2" s="1"/>
  <c r="K55" i="2"/>
  <c r="K57" i="2" s="1"/>
  <c r="K59" i="2" s="1"/>
  <c r="K61" i="2" s="1"/>
  <c r="P55" i="2"/>
  <c r="P57" i="2" s="1"/>
  <c r="P59" i="2" s="1"/>
  <c r="P61" i="2" s="1"/>
  <c r="S55" i="2"/>
  <c r="S57" i="2" s="1"/>
  <c r="S59" i="2" s="1"/>
  <c r="S61" i="2" s="1"/>
  <c r="H55" i="2"/>
  <c r="H57" i="2" s="1"/>
  <c r="H59" i="2" s="1"/>
  <c r="H61" i="2" s="1"/>
  <c r="Y55" i="2"/>
  <c r="Y57" i="2" s="1"/>
  <c r="Y59" i="2" s="1"/>
  <c r="Y61" i="2" s="1"/>
  <c r="AO55" i="2"/>
  <c r="AO57" i="2" s="1"/>
  <c r="AO59" i="2" s="1"/>
  <c r="AO61" i="2" s="1"/>
  <c r="AL55" i="2"/>
  <c r="AL57" i="2" s="1"/>
  <c r="AL59" i="2" s="1"/>
  <c r="AL61" i="2" s="1"/>
  <c r="AN55" i="2"/>
  <c r="AN57" i="2" s="1"/>
  <c r="AN59" i="2" s="1"/>
  <c r="AN61" i="2" s="1"/>
  <c r="AB55" i="2"/>
  <c r="AB57" i="2" s="1"/>
  <c r="AB59" i="2" s="1"/>
  <c r="AB61" i="2" s="1"/>
  <c r="U55" i="2"/>
  <c r="U57" i="2" s="1"/>
  <c r="U59" i="2" s="1"/>
  <c r="U61" i="2" s="1"/>
  <c r="AA55" i="2"/>
  <c r="AA57" i="2" s="1"/>
  <c r="AA59" i="2" s="1"/>
  <c r="AA61" i="2" s="1"/>
  <c r="AD55" i="2"/>
  <c r="AD57" i="2" s="1"/>
  <c r="AD59" i="2" s="1"/>
  <c r="AD61" i="2" s="1"/>
  <c r="L55" i="2"/>
  <c r="L57" i="2" s="1"/>
  <c r="L59" i="2" s="1"/>
  <c r="L61" i="2" s="1"/>
  <c r="AT55" i="2"/>
  <c r="AT57" i="2" s="1"/>
  <c r="AT59" i="2" s="1"/>
  <c r="AT61" i="2" s="1"/>
  <c r="AR55" i="2"/>
  <c r="AR57" i="2" s="1"/>
  <c r="AR59" i="2" s="1"/>
  <c r="AR61" i="2" s="1"/>
  <c r="I55" i="2"/>
  <c r="I57" i="2" s="1"/>
  <c r="I59" i="2" s="1"/>
  <c r="I61" i="2" s="1"/>
  <c r="AF55" i="2"/>
  <c r="AF57" i="2" s="1"/>
  <c r="AF59" i="2" s="1"/>
  <c r="AF61" i="2" s="1"/>
  <c r="V55" i="2"/>
  <c r="V57" i="2" s="1"/>
  <c r="V59" i="2" s="1"/>
  <c r="V61" i="2" s="1"/>
  <c r="AG55" i="2"/>
  <c r="AG57" i="2" s="1"/>
  <c r="AG59" i="2" s="1"/>
  <c r="AG61" i="2" s="1"/>
  <c r="M55" i="2"/>
  <c r="M57" i="2" s="1"/>
  <c r="M59" i="2" s="1"/>
  <c r="M61" i="2" s="1"/>
  <c r="AQ55" i="2"/>
  <c r="AQ57" i="2" s="1"/>
  <c r="AQ59" i="2" s="1"/>
  <c r="AQ61" i="2" s="1"/>
  <c r="AP55" i="2"/>
  <c r="AP57" i="2" s="1"/>
  <c r="AP59" i="2" s="1"/>
  <c r="AP61" i="2" s="1"/>
  <c r="AH55" i="2"/>
  <c r="AH57" i="2" s="1"/>
  <c r="AH59" i="2" s="1"/>
  <c r="AH61" i="2" s="1"/>
  <c r="F55" i="2"/>
  <c r="F57" i="2" s="1"/>
  <c r="F59" i="2" s="1"/>
  <c r="F61" i="2" s="1"/>
  <c r="AM55" i="2"/>
  <c r="AM57" i="2" s="1"/>
  <c r="AM59" i="2" s="1"/>
  <c r="AM61" i="2" s="1"/>
  <c r="AJ55" i="2"/>
  <c r="AJ57" i="2" s="1"/>
  <c r="AJ59" i="2" s="1"/>
  <c r="AJ61" i="2" s="1"/>
  <c r="AS55" i="2"/>
  <c r="AS57" i="2" s="1"/>
  <c r="AS59" i="2" s="1"/>
  <c r="AS61" i="2" s="1"/>
  <c r="T55" i="2"/>
  <c r="T57" i="2" s="1"/>
  <c r="T59" i="2" s="1"/>
  <c r="T61" i="2" s="1"/>
  <c r="G55" i="2"/>
  <c r="G57" i="2" s="1"/>
  <c r="G59" i="2" s="1"/>
  <c r="G61" i="2" s="1"/>
  <c r="X55" i="2"/>
  <c r="X57" i="2" s="1"/>
  <c r="X59" i="2" s="1"/>
  <c r="X61" i="2" s="1"/>
  <c r="N55" i="2"/>
  <c r="N57" i="2" s="1"/>
  <c r="N59" i="2" s="1"/>
  <c r="N61" i="2" s="1"/>
  <c r="R55" i="2"/>
  <c r="R57" i="2" s="1"/>
  <c r="R59" i="2" s="1"/>
  <c r="R61" i="2" s="1"/>
  <c r="Z55" i="2"/>
  <c r="Z57" i="2" s="1"/>
  <c r="Z59" i="2" s="1"/>
  <c r="Z61" i="2" s="1"/>
  <c r="AC55" i="2"/>
  <c r="AC57" i="2" s="1"/>
  <c r="AC59" i="2" s="1"/>
  <c r="AC61" i="2" s="1"/>
  <c r="AV55" i="2"/>
  <c r="AV57" i="2" s="1"/>
  <c r="AV59" i="2" s="1"/>
  <c r="AV61" i="2" s="1"/>
  <c r="AI55" i="2"/>
  <c r="AI57" i="2" s="1"/>
  <c r="AI59" i="2" s="1"/>
  <c r="AI61" i="2" s="1"/>
</calcChain>
</file>

<file path=xl/sharedStrings.xml><?xml version="1.0" encoding="utf-8"?>
<sst xmlns="http://schemas.openxmlformats.org/spreadsheetml/2006/main" count="443" uniqueCount="417">
  <si>
    <t xml:space="preserve">Price </t>
  </si>
  <si>
    <t>SO</t>
  </si>
  <si>
    <t>MC</t>
  </si>
  <si>
    <t>Cash</t>
  </si>
  <si>
    <t>Debt</t>
  </si>
  <si>
    <t>EV</t>
  </si>
  <si>
    <t>Investor Relations Contact:</t>
  </si>
  <si>
    <t>SEC filings</t>
  </si>
  <si>
    <t>Godel Terminal</t>
  </si>
  <si>
    <t>Business Segements and Geographical Info:</t>
  </si>
  <si>
    <t>[Bold Title]</t>
  </si>
  <si>
    <t>Line Titles</t>
  </si>
  <si>
    <t>&lt;-- General</t>
  </si>
  <si>
    <t>&lt;-- Info</t>
  </si>
  <si>
    <t>Institutional Ownership Snapshot (4/14/2025)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</si>
  <si>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</si>
  <si>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</si>
  <si>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</si>
  <si>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</si>
  <si>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</si>
  <si>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</si>
  <si>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</si>
  <si>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</si>
  <si>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</si>
  <si>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</si>
  <si>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</si>
  <si>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</si>
  <si>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</si>
  <si>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</si>
  <si>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</si>
  <si>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</si>
  <si>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</si>
  <si>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</si>
  <si>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</si>
  <si>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</si>
  <si>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</si>
  <si>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</si>
  <si>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</si>
  <si>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</si>
  <si>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</si>
  <si>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</si>
  <si>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</si>
  <si>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</si>
  <si>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</si>
  <si>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</si>
  <si>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</si>
  <si>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</si>
  <si>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</si>
  <si>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</si>
  <si>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</si>
  <si>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</si>
  <si>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</si>
  <si>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</si>
  <si>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</si>
  <si>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Q3 2008</t>
  </si>
  <si>
    <t>Q1 2020</t>
  </si>
  <si>
    <t>Q1 2021</t>
  </si>
  <si>
    <t>Q1 2022</t>
  </si>
  <si>
    <t>Q1 2023</t>
  </si>
  <si>
    <t>Q1 2024</t>
  </si>
  <si>
    <t>Q1 2025</t>
  </si>
  <si>
    <t>[Use for Graphing]</t>
  </si>
  <si>
    <t>Quarterly</t>
  </si>
  <si>
    <t>Revenues</t>
  </si>
  <si>
    <t>Ttl Revenues</t>
  </si>
  <si>
    <t>Q4 2008</t>
  </si>
  <si>
    <t>U.S. Revenues</t>
  </si>
  <si>
    <t>U.S. % of Revenues</t>
  </si>
  <si>
    <t>U.S.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</si>
  <si>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</si>
  <si>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</si>
  <si>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</si>
  <si>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</si>
  <si>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</si>
  <si>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</si>
  <si>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</si>
  <si>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</si>
  <si>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</si>
  <si>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</si>
  <si>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</si>
  <si>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</si>
  <si>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</si>
  <si>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</si>
  <si>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</si>
  <si>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</si>
  <si>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</si>
  <si>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</si>
  <si>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</si>
  <si>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</si>
  <si>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</si>
  <si>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</si>
  <si>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</si>
  <si>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</si>
  <si>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</si>
  <si>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</si>
  <si>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</si>
  <si>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</si>
  <si>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</si>
  <si>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</si>
  <si>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</si>
  <si>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</si>
  <si>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</si>
  <si>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</si>
  <si>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</si>
  <si>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</si>
  <si>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</si>
  <si>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</si>
  <si>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</si>
  <si>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 xml:space="preserve">Email: </t>
  </si>
  <si>
    <t>EPS Growth</t>
  </si>
  <si>
    <t>&lt;- Sharpe Ratio (Risk Adjusted Return)</t>
  </si>
  <si>
    <t>5/18/25</t>
  </si>
  <si>
    <t>Q1'25</t>
  </si>
  <si>
    <t>Resources:</t>
  </si>
  <si>
    <t>Earnings Calls</t>
  </si>
  <si>
    <t>Equity Analysis</t>
  </si>
  <si>
    <t>Alphabet IR Page</t>
  </si>
  <si>
    <t>https://abc.xyz/investor/</t>
  </si>
  <si>
    <t>https://seekingalpha.com/symbol/GOOGL/earnings/transcripts</t>
  </si>
  <si>
    <t>https://stockanalysis.com/stocks/googl/</t>
  </si>
  <si>
    <t>https://app.godelterminal.com/</t>
  </si>
  <si>
    <t>Registered Exchange: NASDAQ</t>
  </si>
  <si>
    <t>Founded: 1998</t>
  </si>
  <si>
    <t>investor-relations@abc.xyz</t>
  </si>
  <si>
    <t>Address: 1600 Amphitheatre PKWY, Mountain View, CA, 94043</t>
  </si>
  <si>
    <t>Current CEO: Sundar Pichai</t>
  </si>
  <si>
    <t>Alphabet Inc. offers various products and platforms in the United States, Europe, the Middle East, Africa, the Asia-Pacific, Canada, and Latin America</t>
  </si>
  <si>
    <t>It operates through Google Services, Google Cloud, and Other Bets segments:</t>
  </si>
  <si>
    <t>[The other bets segments obviously operates more projects than stated in The Company's provided description … Research further</t>
  </si>
  <si>
    <t>DeepMind:</t>
  </si>
  <si>
    <t>Waymo:</t>
  </si>
  <si>
    <t>Verily:</t>
  </si>
  <si>
    <t>X Labs:</t>
  </si>
  <si>
    <t>Google Ventures:</t>
  </si>
  <si>
    <t>Autonomous Vehicles - Waymo develops and operates self-driving car technology, including commercial robotaxi services in select U.S. cities</t>
  </si>
  <si>
    <t>Calico</t>
  </si>
  <si>
    <t xml:space="preserve">Willow Project: </t>
  </si>
  <si>
    <t>Industry: Internet Content &amp; Information</t>
  </si>
  <si>
    <t>Sector: Communication Services</t>
  </si>
  <si>
    <t>https://www.macrotrends.net/stocks/charts/GOOGL/alphabet/financial-statements</t>
  </si>
  <si>
    <t>MacroTrends</t>
  </si>
  <si>
    <t>Chronicle:</t>
  </si>
  <si>
    <t>Google is working to acquire Wiz, a global cloud security firm for $32B … May be held up by regulators, but if the acquisition goes through it'll greatly expands The Company's cybersecurity offering</t>
  </si>
  <si>
    <t>DeepMind’s work spans the sciences, generative and applied AI, and interdisciplinary innovation</t>
  </si>
  <si>
    <t>Acquired in 2010, Deepminds research has since produced landmark achievements such as AlphaGo, the first AI to defeat a world champion in Go; AlphaFold, which revolutionized protein structure prediction; and AlphaEvolve, an AI system that discovers new algorithms and optimizes complex systems like chip design and data center management</t>
  </si>
  <si>
    <t>AI / ML Research - DeepMind has become renowned for pioneering breakthroughs in deep reinforcement learning, neural networks, and general-purpose AI systems</t>
  </si>
  <si>
    <t xml:space="preserve">Founded as Google’s self-driving car project in 2009, Waymo has since evolved into a pioneer in the development and commercialization of fully autonomous vehicles </t>
  </si>
  <si>
    <t>LIDAR, Radar, Camera/Visual software autonomous vehicle configuration</t>
  </si>
  <si>
    <t>Initial roleout / product development field was in SF; the AV service has since expanded to other "tech cities" including Pheonix, AZ &amp; Austin, TX</t>
  </si>
  <si>
    <t>Life Sciences/Healthcare Technology - Verily develops tools and platforms for health data analytics, disease detection, clinical research, and precision medicine</t>
  </si>
  <si>
    <t>Verily develops advanced health data analytics platforms, precision health tools, and medical devices aimed at improving patient outcomes and enabling more personalized, proactive care</t>
  </si>
  <si>
    <t>Its portfolio includes projects in chronic disease management, diagnostics, population health, and clinical trial technology</t>
  </si>
  <si>
    <t>Palantir of healthcare???? Further research is required…</t>
  </si>
  <si>
    <t xml:space="preserve">Quantum Computing - Google’s Willow quantum chip, unveiled in December 2024, represents a major leap forward in quantum computing </t>
  </si>
  <si>
    <t>This was really the spark to bubble up the other publicly traded "quantum players" ; some of which are incredibly low quality, if not fraudulent products/businesses</t>
  </si>
  <si>
    <r>
      <t xml:space="preserve">Do further research into "real" quantum players… Off the top of my head: GOOG: Willow, IBM: Heron, Honeywell: Model H, Microsoft: Majorana 1 … </t>
    </r>
    <r>
      <rPr>
        <b/>
        <sz val="11"/>
        <color theme="1"/>
        <rFont val="Calibre"/>
      </rPr>
      <t>[research others]</t>
    </r>
  </si>
  <si>
    <t xml:space="preserve">Commit to further research … but the true break through from the initial demonstration seemed to be the error correction software, which may allow for easier qubit scaling in future chip iterations </t>
  </si>
  <si>
    <t>Greater &gt; amts. of qubits to run any interesting algos (like Shor's to break RSA) … and a high gate fidelity is required for the calculations to actually produce a useful output beyond the capabilities of a tradition computer</t>
  </si>
  <si>
    <t>The Willow chip was developed at Google’s dedicated fabrication facility</t>
  </si>
  <si>
    <t>Willow sets new standards for quantum hardware with improved error rates, coherence times, and energy efficiency, positioning it as a leading platform for building large-scale, fault-tolerant quantum computers</t>
  </si>
  <si>
    <t>Its innovations move quantum computing significantly closer to practical, real-world applications in fields such as drug discovery, materials science, optimization, and artificial intelligence</t>
  </si>
  <si>
    <t>While challenges remain-particularly in further reducing error rates and scaling to thousands of qubits-Willow marks a pivotal step toward commercially viable quantum machines</t>
  </si>
  <si>
    <r>
      <t xml:space="preserve">Quantum computing is a breakthrough away!!! </t>
    </r>
    <r>
      <rPr>
        <sz val="11"/>
        <color theme="1"/>
        <rFont val="Calibre"/>
      </rPr>
      <t xml:space="preserve">Hahaha, its fun to tease physics friends and say "fussion, quantum, etc is only 10 years away" </t>
    </r>
  </si>
  <si>
    <t>Moonshot R&amp;D Lab - X is Alphabet’s innovation lab for breakthrough technologies. Projects spun out of X include:</t>
  </si>
  <si>
    <t xml:space="preserve">Intrinsic: </t>
  </si>
  <si>
    <t xml:space="preserve">Wing: </t>
  </si>
  <si>
    <t>Drone-based delivery services, with pilot programs in Australia and the U.S.</t>
  </si>
  <si>
    <t>Industrial robotics software; focusing on software to make industrial robots easier to use and more flexible</t>
  </si>
  <si>
    <t>Cybersecurity tool, later integrated into Cloud Services - Chronicle develops cybersecurity tools and platforms to help organizations detect and prevent cyber threats</t>
  </si>
  <si>
    <t>Developed smart contact lenses for glucose monitoring, now part of Verily.</t>
  </si>
  <si>
    <t>Google Contact Lens:</t>
  </si>
  <si>
    <t>Pioneered deep learning research, now integrated into Google DeepMind.</t>
  </si>
  <si>
    <t>Google Brain:</t>
  </si>
  <si>
    <t>Develops underwater robotics and vision systems for sustainable aquaculture.</t>
  </si>
  <si>
    <t>TidalX:</t>
  </si>
  <si>
    <t>Applies artificial intelligence to improve crop yields and agricultural resilience.</t>
  </si>
  <si>
    <t>Heritable Agriculture:</t>
  </si>
  <si>
    <t>Delivers high-speed internet using free-space optical (light beam) communications.</t>
  </si>
  <si>
    <t>Taara:</t>
  </si>
  <si>
    <t>Provides real-time supply chain monitoring and analytics using sensors and AI.</t>
  </si>
  <si>
    <t>Chorus:</t>
  </si>
  <si>
    <t>Uses sensors and AI to support sustainable agriculture and crop monitoring.</t>
  </si>
  <si>
    <t>Mineral:</t>
  </si>
  <si>
    <t>Willow features 105 superconducting qubits and achieves two landmark breakthroughs</t>
  </si>
  <si>
    <r>
      <t>(</t>
    </r>
    <r>
      <rPr>
        <i/>
        <sz val="11"/>
        <color theme="1"/>
        <rFont val="Calibre"/>
      </rPr>
      <t>ii</t>
    </r>
    <r>
      <rPr>
        <sz val="11"/>
        <color theme="1"/>
        <rFont val="Calibre"/>
      </rPr>
      <t>) Completes benchmark computations in under five minutes that would take the world’s fastest classical supercomputers an estimated 10 septillion years</t>
    </r>
  </si>
  <si>
    <r>
      <t>(</t>
    </r>
    <r>
      <rPr>
        <i/>
        <sz val="11"/>
        <color theme="1"/>
        <rFont val="Calibre"/>
      </rPr>
      <t>i</t>
    </r>
    <r>
      <rPr>
        <sz val="11"/>
        <color theme="1"/>
        <rFont val="Calibre"/>
      </rPr>
      <t xml:space="preserve">) Demonstrates scalable quantum error correction-reducing errors exponentially as more qubits are added and </t>
    </r>
  </si>
  <si>
    <t>Longevity and Aging Research - Calico Life Sciences conducts research into aging and age-related diseases, aiming to extend human lifespan and healthspan</t>
  </si>
  <si>
    <t>Google's operating VC firm</t>
  </si>
  <si>
    <t>Segements:</t>
  </si>
  <si>
    <t>Other Bets</t>
  </si>
  <si>
    <t>Company Description:</t>
  </si>
  <si>
    <t>Ad Services:</t>
  </si>
  <si>
    <t>Google Search:</t>
  </si>
  <si>
    <t>YouTube:</t>
  </si>
  <si>
    <t>Android Mobile Software:</t>
  </si>
  <si>
    <t>Chrome Browser:</t>
  </si>
  <si>
    <t>Google Devices  [Hardware]:</t>
  </si>
  <si>
    <t>Gmail Services:</t>
  </si>
  <si>
    <t>Google Drive Services:</t>
  </si>
  <si>
    <t>Google Maps App:</t>
  </si>
  <si>
    <t>Google Photos App:</t>
  </si>
  <si>
    <t>Google Play Online Marketplace:</t>
  </si>
  <si>
    <r>
      <rPr>
        <b/>
        <sz val="11"/>
        <color theme="1"/>
        <rFont val="Calibre"/>
      </rPr>
      <t>Google’s ad services</t>
    </r>
    <r>
      <rPr>
        <sz val="11"/>
        <color theme="1"/>
        <rFont val="Calibre"/>
      </rPr>
      <t xml:space="preserve"> are the </t>
    </r>
    <r>
      <rPr>
        <b/>
        <sz val="11"/>
        <color theme="1"/>
        <rFont val="Calibre"/>
      </rPr>
      <t>company’s primary revenue driver</t>
    </r>
    <r>
      <rPr>
        <sz val="11"/>
        <color theme="1"/>
        <rFont val="Calibre"/>
      </rPr>
      <t xml:space="preserve">, encompassing platforms like </t>
    </r>
    <r>
      <rPr>
        <b/>
        <sz val="11"/>
        <color theme="1"/>
        <rFont val="Calibre"/>
      </rPr>
      <t>Google Ads</t>
    </r>
    <r>
      <rPr>
        <sz val="11"/>
        <color theme="1"/>
        <rFont val="Calibre"/>
      </rPr>
      <t xml:space="preserve"> (formerly AdWords), </t>
    </r>
    <r>
      <rPr>
        <b/>
        <sz val="11"/>
        <color theme="1"/>
        <rFont val="Calibre"/>
      </rPr>
      <t>AdSense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DoubleClick</t>
    </r>
  </si>
  <si>
    <t>These services facilitate digital advertising across Google’s own products (Search, YouTube, etc.) and third-party websites, leveraging user data for targeted advertising</t>
  </si>
  <si>
    <t>Operations include search ads, display ads, video ads, and programmatic ad buying</t>
  </si>
  <si>
    <t>Pioneered ad marketplace based on target demographics and demand … Investigate further</t>
  </si>
  <si>
    <t>Core product that launched Google, providing web search capabilities and generating significant ad revenue through sponsored search results</t>
  </si>
  <si>
    <t>Continual innovation includes AI-powered features and integration with other Google services</t>
  </si>
  <si>
    <t>Gemini has been incorporated into Search, but I personally do not enjoy the summarization tool as it stands</t>
  </si>
  <si>
    <r>
      <rPr>
        <b/>
        <sz val="11"/>
        <color theme="1"/>
        <rFont val="Calibre"/>
      </rPr>
      <t>Search moat IS currently being erroded by AI tools</t>
    </r>
    <r>
      <rPr>
        <sz val="11"/>
        <color theme="1"/>
        <rFont val="Calibre"/>
      </rPr>
      <t xml:space="preserve"> such as: Perplexity tool, OpenAI GPT, Anthropic Claude, etc. … Managers are on the defense, working to protect/innovate this core business</t>
    </r>
  </si>
  <si>
    <r>
      <rPr>
        <b/>
        <sz val="11"/>
        <color theme="1"/>
        <rFont val="Calibre"/>
      </rPr>
      <t>Search</t>
    </r>
    <r>
      <rPr>
        <sz val="11"/>
        <color theme="1"/>
        <rFont val="Calibre"/>
      </rPr>
      <t xml:space="preserve"> remains the </t>
    </r>
    <r>
      <rPr>
        <b/>
        <sz val="11"/>
        <color theme="1"/>
        <rFont val="Calibre"/>
      </rPr>
      <t>most visited website globally</t>
    </r>
    <r>
      <rPr>
        <sz val="11"/>
        <color theme="1"/>
        <rFont val="Calibre"/>
      </rPr>
      <t xml:space="preserve"> and is the </t>
    </r>
    <r>
      <rPr>
        <b/>
        <sz val="11"/>
        <color theme="1"/>
        <rFont val="Calibre"/>
      </rPr>
      <t>foundation for Google’s</t>
    </r>
    <r>
      <rPr>
        <sz val="11"/>
        <color theme="1"/>
        <rFont val="Calibre"/>
      </rPr>
      <t xml:space="preserve"> data-driven </t>
    </r>
    <r>
      <rPr>
        <b/>
        <sz val="11"/>
        <color theme="1"/>
        <rFont val="Calibre"/>
      </rPr>
      <t>advertising model</t>
    </r>
    <r>
      <rPr>
        <sz val="11"/>
        <color theme="1"/>
        <rFont val="Calibre"/>
      </rPr>
      <t xml:space="preserve"> --  </t>
    </r>
    <r>
      <rPr>
        <b/>
        <sz val="11"/>
        <color theme="1"/>
        <rFont val="Calibre"/>
      </rPr>
      <t>5 trillion queries reported in 2024</t>
    </r>
  </si>
  <si>
    <t>YouTube Segement generates revenue through advertising, premium subscriptions (YouTube Premium, YouTube TV), and content partnerships</t>
  </si>
  <si>
    <r>
      <t xml:space="preserve">It is truly nutty to think about how well Google has monotized YouTube -- Every other media firm is paying handsomely to develop content … YouTube truly does have organic content creation, and the firm acts as a </t>
    </r>
    <r>
      <rPr>
        <i/>
        <sz val="11"/>
        <color theme="1"/>
        <rFont val="Calibre"/>
      </rPr>
      <t>partner</t>
    </r>
    <r>
      <rPr>
        <sz val="11"/>
        <color theme="1"/>
        <rFont val="Calibre"/>
      </rPr>
      <t xml:space="preserve"> with creators … the market (consumers) choose the winners</t>
    </r>
  </si>
  <si>
    <t>Operates semi-independently within Google, with a distinct brand and user community</t>
  </si>
  <si>
    <r>
      <t xml:space="preserve">Acquired in 2006 for $1.65 billion, YouTube has been developed into the world’s largest online video-sharing platform -- </t>
    </r>
    <r>
      <rPr>
        <b/>
        <sz val="11"/>
        <color theme="1"/>
        <rFont val="Calibre"/>
      </rPr>
      <t>2.5+ billion MAO (Monthly Active Users)</t>
    </r>
  </si>
  <si>
    <t>!!!Massive network effect!!!</t>
  </si>
  <si>
    <t>Android powers billions of devices globally, including smartphones, tablets, wearables, and TVs</t>
  </si>
  <si>
    <t>Key to Google’s ecosystem, driving search, Play Store, and services adoption on mobile devices</t>
  </si>
  <si>
    <t>Massive international presense … basically all mobile phones that aren't on IOS (Apple OS) or HarmonyOS (Huawei OS) use Android</t>
  </si>
  <si>
    <r>
      <t>Acquired in 2005 for an estimated $50 million, Android is now the world’s most widely used mobile operating system with</t>
    </r>
    <r>
      <rPr>
        <b/>
        <sz val="11"/>
        <color theme="1"/>
        <rFont val="Calibre"/>
      </rPr>
      <t xml:space="preserve"> over 3 billion MAO (Monthly Active Users)</t>
    </r>
    <r>
      <rPr>
        <sz val="11"/>
        <color theme="1"/>
        <rFont val="Calibre"/>
      </rPr>
      <t xml:space="preserve"> -- </t>
    </r>
    <r>
      <rPr>
        <b/>
        <sz val="11"/>
        <color theme="1"/>
        <rFont val="Calibre"/>
      </rPr>
      <t>Open Source</t>
    </r>
    <r>
      <rPr>
        <sz val="11"/>
        <color theme="1"/>
        <rFont val="Calibre"/>
      </rPr>
      <t xml:space="preserve"> </t>
    </r>
  </si>
  <si>
    <t>Google Play is the official app store for Android devices, launched in 2012 (merging Android Market, Google Music, and Google eBookstore)</t>
  </si>
  <si>
    <t>Revenue streams include app sales, in-app purchases (recognized on a net basis), and digital content subscriptions</t>
  </si>
  <si>
    <t>Essential for Android’s ecosystem, supporting developers and content creators</t>
  </si>
  <si>
    <t>Similar to Apple's App Store, Google would collect ~30% of revenue from all transactions that take place through the marketplace … Huge prfoitability and market power leverage</t>
  </si>
  <si>
    <t xml:space="preserve">!!! Epic Games just won a landmark lawsuit that removes certain distribution rights away from the app store, removing the requirement for all sales to be funneled through the playstore!!! </t>
  </si>
  <si>
    <t>Partially eliminates rent seeking behaviour … Definitely a crack in hard market power, which The Company was previously able to leverage ... managers still have soft power to circumvent damages but the lawsuit was a big lose for established tech giants</t>
  </si>
  <si>
    <r>
      <t xml:space="preserve">Launched in 2008, Chrome is now the dominant web browser worldwide -- </t>
    </r>
    <r>
      <rPr>
        <b/>
        <sz val="11"/>
        <color theme="1"/>
        <rFont val="Calibre"/>
      </rPr>
      <t>3.45 billion MAO (Monthly Active Users)</t>
    </r>
  </si>
  <si>
    <t>Chrome serves as a gateway to Google’s web services, integrates with Google accounts, and supports web standards and security</t>
  </si>
  <si>
    <t>U.S. DOJ ruled Google to be a monopoly and ordered for the company to divest from its chrome web browser … remedy hearings taking place in 2025 onward … lets see how Trump Admin plays</t>
  </si>
  <si>
    <t>The browser is central to Google’s strategy of maintaining user engagement across platforms</t>
  </si>
  <si>
    <r>
      <t xml:space="preserve">Includes hardware such as the </t>
    </r>
    <r>
      <rPr>
        <b/>
        <sz val="11"/>
        <color theme="1"/>
        <rFont val="Calibre"/>
      </rPr>
      <t>Pixel phone family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Nest smart home products</t>
    </r>
    <r>
      <rPr>
        <sz val="11"/>
        <color theme="1"/>
        <rFont val="Calibre"/>
      </rPr>
      <t xml:space="preserve"> (acquired 2014 for $3.2 billion), </t>
    </r>
    <r>
      <rPr>
        <b/>
        <sz val="11"/>
        <color theme="1"/>
        <rFont val="Calibre"/>
      </rPr>
      <t>Chromecast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Google Home</t>
    </r>
  </si>
  <si>
    <t>Device sales are a smaller revenue stream but strategically important for ecosystem integration and data collection … in-network devices generating organic, high quality data sets</t>
  </si>
  <si>
    <t>Acquisition of Motorola Mobility in 2012 for $12.5 billion (later sold to Lenovo in 2014), which briefly expanded Google’s hardware footprint</t>
  </si>
  <si>
    <t>Gmail is one of the most popular email services globally, launched in 2004</t>
  </si>
  <si>
    <t>It is integrated with Google Workspace and offers free and paid (business) versions</t>
  </si>
  <si>
    <t>Gmail is a key driver for user engagement and data for Google’s ad targeting</t>
  </si>
  <si>
    <t>Massive network effect -- essentially all non-business, non-government emails are linked through a gmail</t>
  </si>
  <si>
    <t>Google Drive provides cloud storage and file synchronization, launched in 2012</t>
  </si>
  <si>
    <t>Integrated with Google Workspace (Docs, Sheets, Slides), it supports both consumer and enterprise users</t>
  </si>
  <si>
    <t>Massive network effect -- essentially all non-business, non-government emails are linked through a a free Google Drive account</t>
  </si>
  <si>
    <t>Revenue is generated through premium storage subscriptions (Google One)</t>
  </si>
  <si>
    <t>The reason Gmail &amp; Google Drive services really dominated goes back to their original release and offering … unlike other firms who began charging for data storage after the first 100mb, Google extended an offer of free storage up to 5GB</t>
  </si>
  <si>
    <t>Once a consumer has filled out 5GB's of storage, theyre far more likely to pay for the small sotrage expansion fee over the conversion of switching over to a new free service</t>
  </si>
  <si>
    <t>This network effect, paired with high switching costs gave Google a foothold to expand in the early 2000's</t>
  </si>
  <si>
    <t>Launched in 2005, Google Maps is a leading mapping and navigation service</t>
  </si>
  <si>
    <t>Really cool math behind quickest route optimization problems</t>
  </si>
  <si>
    <t>Enhanced by acquisitions such as Where2, ZipDash, and Waze (2013, $1.3 billion)</t>
  </si>
  <si>
    <t>Tons of app M&amp;A + internal development in the early 2000's and mid 2010's</t>
  </si>
  <si>
    <t>Generates revenue through advertising (local business listings), API access for developers, and integration with other Google services</t>
  </si>
  <si>
    <t>Great conglomerate offering, similar to Windows office but on the consumer side</t>
  </si>
  <si>
    <t>Launched in 2015, Google Photos offers cloud-based photo storage and management</t>
  </si>
  <si>
    <t>Fits into consumer drive / hardware ecosystem</t>
  </si>
  <si>
    <t>Features include AI-powered search, editing, and sharing</t>
  </si>
  <si>
    <t>Monetization comes from paid storage plans under Google One -- similar business segment to Apple's ICloud consumer storage</t>
  </si>
  <si>
    <t>AI Infrastructure:</t>
  </si>
  <si>
    <t>Google Workspaces:</t>
  </si>
  <si>
    <t>Data &amp; Analytics:</t>
  </si>
  <si>
    <t>Cybersecurity:</t>
  </si>
  <si>
    <t>Vertex AI Platform:</t>
  </si>
  <si>
    <r>
      <t xml:space="preserve">Other Bets </t>
    </r>
    <r>
      <rPr>
        <sz val="11"/>
        <color theme="1"/>
        <rFont val="Calibre"/>
      </rPr>
      <t xml:space="preserve">[Internal innovation branch … can be thought of as a capital recycling operation to avoid tech </t>
    </r>
    <r>
      <rPr>
        <i/>
        <sz val="11"/>
        <color theme="1"/>
        <rFont val="Calibre"/>
      </rPr>
      <t>dutch disease</t>
    </r>
    <r>
      <rPr>
        <sz val="11"/>
        <color theme="1"/>
        <rFont val="Calibre"/>
      </rPr>
      <t xml:space="preserve"> … turns current cash flows into future investments that may pay off big … also serves to provide additional slack to managers]</t>
    </r>
  </si>
  <si>
    <t>Other Enterprise Cloud Services:</t>
  </si>
  <si>
    <t>Provides scalable computing, storage, and networking resources tailored for artificial intelligence workloads. Enables enterprises to build, train, and deploy AI models efficiently</t>
  </si>
  <si>
    <t>Google’s unified machine learning platform for developing, training, and deploying ML models at scale. Integrates with other Google Cloud services to streamline AI operations for businesses</t>
  </si>
  <si>
    <t>Offers a suite of security solutions to protect enterprise data, applications, and cloud infrastructure. Services include threat detection, identity management, and compliance tools</t>
  </si>
  <si>
    <t>Delivers cloud-based tools for data storage, management, analysis, and visualization. Supports big data workloads and advanced analytics, helping organizations derive insights from large datasets</t>
  </si>
  <si>
    <t>A comprehensive suite of cloud-based productivity and collaboration tools, including Calendar, Gmail, Docs, Drive, and Meet. Designed for enterprise communication, document management, and workflow automation</t>
  </si>
  <si>
    <t>Includes a range of additional services for enterprise customers, such as cloud migration, app modernization, and industry-specific solutions. Supports digital transformation and operational efficiency</t>
  </si>
  <si>
    <t>Search Ads</t>
  </si>
  <si>
    <t>Youtube Ads</t>
  </si>
  <si>
    <t>Network Ads</t>
  </si>
  <si>
    <t>Ttl Google Ad Revenue</t>
  </si>
  <si>
    <t>Google Cloud</t>
  </si>
  <si>
    <t>Hedging Gains (losses)</t>
  </si>
  <si>
    <t>Search Revenue Growth Y/y</t>
  </si>
  <si>
    <t>Youtube Revenue Growth Y/y</t>
  </si>
  <si>
    <t>Network Growth Y/y</t>
  </si>
  <si>
    <t>Ad Revenue Growth Y/y</t>
  </si>
  <si>
    <t>Subscription, Platform, &amp; Device Growth Y/y</t>
  </si>
  <si>
    <t>Subscriptions, Platforms, &amp; Devices</t>
  </si>
  <si>
    <t>Cloud Growth Y/y</t>
  </si>
  <si>
    <t>Other Bets Growth Y/y</t>
  </si>
  <si>
    <t>Ttl Revenue Growth Y/y</t>
  </si>
  <si>
    <t>Ad revenues % of Ttl Revenues</t>
  </si>
  <si>
    <t>Subs, Platform &amp; Device % of Ttl Revenues</t>
  </si>
  <si>
    <t>Cloud % of Ttl Revenues</t>
  </si>
  <si>
    <t>Other Bets % of Ttl Revenues</t>
  </si>
  <si>
    <t>Hedging % of Ttl Revenues</t>
  </si>
  <si>
    <t>EMEA Revenues</t>
  </si>
  <si>
    <t>APAC Revenues</t>
  </si>
  <si>
    <t>Other Americas Revenues</t>
  </si>
  <si>
    <t>EMEA Revenue Growth Y/y</t>
  </si>
  <si>
    <t>APAC Revenue Growth Y/y</t>
  </si>
  <si>
    <t>Other Americas Revenue Growth Y/y</t>
  </si>
  <si>
    <t>EMEA % of Revenues</t>
  </si>
  <si>
    <t>APAC % of Revenues</t>
  </si>
  <si>
    <t>Other Americas % of Revenues</t>
  </si>
  <si>
    <t>Hedging % of Revenues</t>
  </si>
  <si>
    <t>Google Employee Snapshot (Q4'24)</t>
  </si>
  <si>
    <r>
      <t xml:space="preserve">The </t>
    </r>
    <r>
      <rPr>
        <b/>
        <sz val="11"/>
        <color theme="1"/>
        <rFont val="Calibre"/>
      </rPr>
      <t>Google Services</t>
    </r>
    <r>
      <rPr>
        <sz val="11"/>
        <color theme="1"/>
        <rFont val="Calibre"/>
      </rPr>
      <t xml:space="preserve"> segment provides products and services, </t>
    </r>
    <r>
      <rPr>
        <b/>
        <sz val="11"/>
        <color theme="1"/>
        <rFont val="Calibre"/>
      </rPr>
      <t>including ads, Android, Chrome, devices, Gmail, Google Drive, Google Maps, Google Photos, Google Play, Search, and YouTube</t>
    </r>
  </si>
  <si>
    <r>
      <t>It is also involved in the</t>
    </r>
    <r>
      <rPr>
        <b/>
        <sz val="11"/>
        <color theme="1"/>
        <rFont val="Calibre"/>
      </rPr>
      <t xml:space="preserve"> sale of apps and in-app purchases and digital content in the Google Play and YouTube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devices</t>
    </r>
    <r>
      <rPr>
        <sz val="11"/>
        <color theme="1"/>
        <rFont val="Calibre"/>
      </rPr>
      <t xml:space="preserve">, as well as in the provision of </t>
    </r>
    <r>
      <rPr>
        <b/>
        <sz val="11"/>
        <color theme="1"/>
        <rFont val="Calibre"/>
      </rPr>
      <t>YouTube consumer subscription services</t>
    </r>
  </si>
  <si>
    <r>
      <t xml:space="preserve">The </t>
    </r>
    <r>
      <rPr>
        <b/>
        <sz val="11"/>
        <color theme="1"/>
        <rFont val="Calibre"/>
      </rPr>
      <t>Google Cloud</t>
    </r>
    <r>
      <rPr>
        <sz val="11"/>
        <color theme="1"/>
        <rFont val="Calibre"/>
      </rPr>
      <t xml:space="preserve"> segment offers </t>
    </r>
    <r>
      <rPr>
        <b/>
        <sz val="11"/>
        <color theme="1"/>
        <rFont val="Calibre"/>
      </rPr>
      <t>AI infrastructure, Vertex AI platform, cybersecurity, data and analytics, and other services</t>
    </r>
    <r>
      <rPr>
        <sz val="11"/>
        <color theme="1"/>
        <rFont val="Calibre"/>
      </rPr>
      <t xml:space="preserve">; </t>
    </r>
    <r>
      <rPr>
        <b/>
        <sz val="11"/>
        <color theme="1"/>
        <rFont val="Calibre"/>
      </rPr>
      <t xml:space="preserve">Google Workspace </t>
    </r>
    <r>
      <rPr>
        <sz val="11"/>
        <color theme="1"/>
        <rFont val="Calibre"/>
      </rPr>
      <t xml:space="preserve">that include </t>
    </r>
    <r>
      <rPr>
        <b/>
        <sz val="11"/>
        <color theme="1"/>
        <rFont val="Calibre"/>
      </rPr>
      <t>cloud-based communication and collaboration tools for enterprises</t>
    </r>
    <r>
      <rPr>
        <sz val="11"/>
        <color theme="1"/>
        <rFont val="Calibre"/>
      </rPr>
      <t xml:space="preserve">, such as </t>
    </r>
    <r>
      <rPr>
        <b/>
        <sz val="11"/>
        <color theme="1"/>
        <rFont val="Calibre"/>
      </rPr>
      <t>Calendar, Gmail, Docs, Drive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Meet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other services for enterprise customers</t>
    </r>
  </si>
  <si>
    <r>
      <t xml:space="preserve">The </t>
    </r>
    <r>
      <rPr>
        <b/>
        <sz val="11"/>
        <color theme="1"/>
        <rFont val="Calibre"/>
      </rPr>
      <t xml:space="preserve">Other Bets </t>
    </r>
    <r>
      <rPr>
        <sz val="11"/>
        <color theme="1"/>
        <rFont val="Calibre"/>
      </rPr>
      <t xml:space="preserve">segment sells </t>
    </r>
    <r>
      <rPr>
        <b/>
        <sz val="11"/>
        <color theme="1"/>
        <rFont val="Calibre"/>
      </rPr>
      <t>healthcare-related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internet services</t>
    </r>
    <r>
      <rPr>
        <sz val="11"/>
        <color theme="1"/>
        <rFont val="Calibre"/>
      </rPr>
      <t xml:space="preserve">. </t>
    </r>
  </si>
  <si>
    <t>The Company was incorporated in 1998 and is headquartered in Mountain View, California</t>
  </si>
  <si>
    <t>Headquartered: Mountain View, California</t>
  </si>
  <si>
    <r>
      <t>Google Cloud Services</t>
    </r>
    <r>
      <rPr>
        <sz val="11"/>
        <color theme="1"/>
        <rFont val="Calibre"/>
      </rPr>
      <t xml:space="preserve"> [can be understood as The Company's enterprise oriented segments]</t>
    </r>
  </si>
  <si>
    <r>
      <t xml:space="preserve">Google Services </t>
    </r>
    <r>
      <rPr>
        <sz val="11"/>
        <color theme="1"/>
        <rFont val="Calibre"/>
      </rPr>
      <t>[can be understood as The Company's consumer oriented segments]</t>
    </r>
  </si>
  <si>
    <r>
      <t>The Company has the vibe of a</t>
    </r>
    <r>
      <rPr>
        <b/>
        <sz val="11"/>
        <color theme="1"/>
        <rFont val="Calibre"/>
      </rPr>
      <t xml:space="preserve"> "consumer oriented microsoft"</t>
    </r>
    <r>
      <rPr>
        <sz val="11"/>
        <color theme="1"/>
        <rFont val="Calibre"/>
      </rPr>
      <t xml:space="preserve"> … yes they have a enterprise cloud business, but that only came about because of their consumer Drive offering … Microsoft is the most serious productivity software player on the planet</t>
    </r>
  </si>
  <si>
    <t>R&amp;D</t>
  </si>
  <si>
    <t>Sales and Marketing</t>
  </si>
  <si>
    <t>General and Admin</t>
  </si>
  <si>
    <t>Ttl SG&amp;A</t>
  </si>
  <si>
    <t>Operating Income</t>
  </si>
  <si>
    <t>Other Income (expenses), net</t>
  </si>
  <si>
    <t>Pretax Income</t>
  </si>
  <si>
    <t>Taxes</t>
  </si>
  <si>
    <t>NI</t>
  </si>
  <si>
    <t>EPS</t>
  </si>
  <si>
    <t>GOOG, GOOGL</t>
  </si>
  <si>
    <t>Alphabet Inc. (GOOG, GOOGL)</t>
  </si>
  <si>
    <t>https://www.sec.gov/edgar/browse/?CIK=1652044&amp;owner=exclude</t>
  </si>
  <si>
    <t>A/R</t>
  </si>
  <si>
    <t>Other Current Assets</t>
  </si>
  <si>
    <t>LT Investments</t>
  </si>
  <si>
    <t>Deffered Incmoe Tax Assets</t>
  </si>
  <si>
    <t>PP&amp;E</t>
  </si>
  <si>
    <t>Operating Lease Assets</t>
  </si>
  <si>
    <t>Goodwill</t>
  </si>
  <si>
    <t>Other LT Assets</t>
  </si>
  <si>
    <t>Ttl Assets</t>
  </si>
  <si>
    <t>A/P</t>
  </si>
  <si>
    <t>Accrued Compensation</t>
  </si>
  <si>
    <t>Other Current Liabilities</t>
  </si>
  <si>
    <t>Deferred Revenues</t>
  </si>
  <si>
    <t>LT Debt</t>
  </si>
  <si>
    <t>Accrued Revenue Share to Partners</t>
  </si>
  <si>
    <t>LT Operating Lease Liabilities</t>
  </si>
  <si>
    <t>Other LT Liabilities</t>
  </si>
  <si>
    <t>Ttl Liabilities</t>
  </si>
  <si>
    <t>SE</t>
  </si>
  <si>
    <t>Ttl L + SE</t>
  </si>
  <si>
    <t>CapEx</t>
  </si>
  <si>
    <t xml:space="preserve">SC </t>
  </si>
  <si>
    <t>Employees: 183,323 (Q4'24)</t>
  </si>
  <si>
    <t>Q1'09</t>
  </si>
  <si>
    <t>Q2'09</t>
  </si>
  <si>
    <t>Q3'09</t>
  </si>
  <si>
    <t>Q4'09</t>
  </si>
  <si>
    <t>Q1'10</t>
  </si>
  <si>
    <t>Q2'10</t>
  </si>
  <si>
    <t>Q3'10</t>
  </si>
  <si>
    <t>Q4'10</t>
  </si>
  <si>
    <t>Q1'11</t>
  </si>
  <si>
    <t>Q2'11</t>
  </si>
  <si>
    <t>Q3'11</t>
  </si>
  <si>
    <t>Q4'11</t>
  </si>
  <si>
    <t>Q1'12</t>
  </si>
  <si>
    <t>Q2'12</t>
  </si>
  <si>
    <t>Q3'12</t>
  </si>
  <si>
    <t>Q4'12</t>
  </si>
  <si>
    <t>Q1'13</t>
  </si>
  <si>
    <t>Q2'13</t>
  </si>
  <si>
    <t>Q3'13</t>
  </si>
  <si>
    <t>Q4'13</t>
  </si>
  <si>
    <t>Q1'14</t>
  </si>
  <si>
    <t>Q2'14</t>
  </si>
  <si>
    <t>Q3'14</t>
  </si>
  <si>
    <t>Q4'14</t>
  </si>
  <si>
    <t>Q1'15</t>
  </si>
  <si>
    <t>Q2'15</t>
  </si>
  <si>
    <t>Q3'15</t>
  </si>
  <si>
    <t>Q4'15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</si>
  <si>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</si>
  <si>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</si>
  <si>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</si>
  <si>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</si>
  <si>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</si>
  <si>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</si>
  <si>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</si>
  <si>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</si>
  <si>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Q1'18</t>
  </si>
  <si>
    <t>Q2'18</t>
  </si>
  <si>
    <t>Q3'18</t>
  </si>
  <si>
    <t>Q4'18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</si>
  <si>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</si>
  <si>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</si>
  <si>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</si>
  <si>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</si>
  <si>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</si>
  <si>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</si>
  <si>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</si>
  <si>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</si>
  <si>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</si>
  <si>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</si>
  <si>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</si>
  <si>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</si>
  <si>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</si>
  <si>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</si>
  <si>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</si>
  <si>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</si>
  <si>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</si>
  <si>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</si>
  <si>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</si>
  <si>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</si>
  <si>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</si>
  <si>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</si>
  <si>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</si>
  <si>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</si>
  <si>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Q2'25</t>
  </si>
  <si>
    <t>Q3'25</t>
  </si>
  <si>
    <t>Q4'25</t>
  </si>
  <si>
    <t>LT Defered Revenues</t>
  </si>
  <si>
    <t>LT Income Taxes Payable</t>
  </si>
  <si>
    <t>LT Income Tax Liability</t>
  </si>
  <si>
    <t>Inventories</t>
  </si>
  <si>
    <t>Intangibles</t>
  </si>
  <si>
    <t>Income Taxes Recievable</t>
  </si>
  <si>
    <t>ST Income Taxes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</si>
</sst>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  <font>
      <u/>
      <sz val="11"/>
      <color rgb="FF00B0F0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  <xf numFmtId="14" fontId="2" fillId="0" borderId="0" xfId="0" applyNumberFormat="1" applyFont="1"/>
    <xf numFmtId="0" fontId="16" fillId="0" borderId="0" xfId="2" applyFont="1"/>
    <xf numFmtId="44" fontId="2" fillId="0" borderId="0" xfId="0" applyNumberFormat="1" applyFon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left" indent="5"/>
    </xf>
    <xf numFmtId="8" fontId="2" fillId="0" borderId="0" xfId="0" applyNumberFormat="1" applyFont="1"/>
    <xf numFmtId="0" fontId="11" fillId="0" borderId="0" xfId="0" applyFont="1" applyAlignment="1">
      <alignment horizontal="left"/>
    </xf>
    <xf numFmtId="165" fontId="2" fillId="0" borderId="0" xfId="1" applyNumberFormat="1" applyFont="1"/>
    <xf numFmtId="165" fontId="3" fillId="0" borderId="0" xfId="1" applyNumberFormat="1" applyFont="1"/>
    <xf numFmtId="1" fontId="2" fillId="0" borderId="0" xfId="0" applyNumberFormat="1" applyFont="1"/>
    <xf numFmtId="1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0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0.0%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[2]Model!$AW$115:$BQ$115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-4.00%</c:v>
                </c:pt>
                <c:pt idx="55">
                  <c:v>-3.90%</c:v>
                </c:pt>
                <c:pt idx="56">
                  <c:v>-3.80%</c:v>
                </c:pt>
                <c:pt idx="57">
                  <c:v>-3.70%</c:v>
                </c:pt>
                <c:pt idx="58">
                  <c:v>-3.60%</c:v>
                </c:pt>
                <c:pt idx="59">
                  <c:v>-3.50%</c:v>
                </c:pt>
                <c:pt idx="60">
                  <c:v>-3.40%</c:v>
                </c:pt>
                <c:pt idx="61">
                  <c:v>-3.30%</c:v>
                </c:pt>
                <c:pt idx="62">
                  <c:v>-3.20%</c:v>
                </c:pt>
                <c:pt idx="63">
                  <c:v>-3.10%</c:v>
                </c:pt>
                <c:pt idx="64">
                  <c:v>-3.00%</c:v>
                </c:pt>
                <c:pt idx="65">
                  <c:v>-2.90%</c:v>
                </c:pt>
                <c:pt idx="66">
                  <c:v>-2.80%</c:v>
                </c:pt>
                <c:pt idx="67">
                  <c:v>-2.70%</c:v>
                </c:pt>
                <c:pt idx="68">
                  <c:v>-2.60%</c:v>
                </c:pt>
                <c:pt idx="69">
                  <c:v>-2.50%</c:v>
                </c:pt>
                <c:pt idx="70">
                  <c:v>-2.40%</c:v>
                </c:pt>
                <c:pt idx="71">
                  <c:v>-2.30%</c:v>
                </c:pt>
                <c:pt idx="72">
                  <c:v>-2.20%</c:v>
                </c:pt>
                <c:pt idx="73">
                  <c:v>-2.10%</c:v>
                </c:pt>
                <c:pt idx="74">
                  <c:v>-2.00%</c:v>
                </c:pt>
                <c:pt idx="75">
                  <c:v>-1.90%</c:v>
                </c:pt>
                <c:pt idx="76">
                  <c:v>-1.80%</c:v>
                </c:pt>
                <c:pt idx="77">
                  <c:v>-1.70%</c:v>
                </c:pt>
                <c:pt idx="78">
                  <c:v>-1.60%</c:v>
                </c:pt>
                <c:pt idx="79">
                  <c:v>-1.50%</c:v>
                </c:pt>
                <c:pt idx="80">
                  <c:v>-1.40%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 formatCode="#,##0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-4.10%</c:v>
                </c:pt>
                <c:pt idx="55">
                  <c:v>-4.00%</c:v>
                </c:pt>
                <c:pt idx="56">
                  <c:v>-3.90%</c:v>
                </c:pt>
                <c:pt idx="57">
                  <c:v>-3.80%</c:v>
                </c:pt>
                <c:pt idx="58">
                  <c:v>-3.70%</c:v>
                </c:pt>
                <c:pt idx="59">
                  <c:v>-3.60%</c:v>
                </c:pt>
                <c:pt idx="60">
                  <c:v>-3.50%</c:v>
                </c:pt>
                <c:pt idx="61">
                  <c:v>-3.40%</c:v>
                </c:pt>
                <c:pt idx="62">
                  <c:v>-3.30%</c:v>
                </c:pt>
                <c:pt idx="63">
                  <c:v>-3.20%</c:v>
                </c:pt>
                <c:pt idx="64">
                  <c:v>-3.10%</c:v>
                </c:pt>
                <c:pt idx="65">
                  <c:v>-3.00%</c:v>
                </c:pt>
                <c:pt idx="66">
                  <c:v>-2.90%</c:v>
                </c:pt>
                <c:pt idx="67">
                  <c:v>-2.80%</c:v>
                </c:pt>
                <c:pt idx="68">
                  <c:v>-2.70%</c:v>
                </c:pt>
                <c:pt idx="69">
                  <c:v>-2.60%</c:v>
                </c:pt>
                <c:pt idx="70">
                  <c:v>-2.50%</c:v>
                </c:pt>
                <c:pt idx="71">
                  <c:v>-2.40%</c:v>
                </c:pt>
                <c:pt idx="72">
                  <c:v>-2.30%</c:v>
                </c:pt>
                <c:pt idx="73">
                  <c:v>-2.20%</c:v>
                </c:pt>
                <c:pt idx="74">
                  <c:v>-2.10%</c:v>
                </c:pt>
                <c:pt idx="75">
                  <c:v>-2.00%</c:v>
                </c:pt>
                <c:pt idx="76">
                  <c:v>-1.90%</c:v>
                </c:pt>
                <c:pt idx="77">
                  <c:v>-1.80%</c:v>
                </c:pt>
                <c:pt idx="78">
                  <c:v>-1.70%</c:v>
                </c:pt>
                <c:pt idx="79">
                  <c:v>-1.60%</c:v>
                </c:pt>
                <c:pt idx="80">
                  <c:v>-1.50%</c:v>
                </c:pt>
                <c:pt idx="81">
                  <c:v>-1.40%</c:v>
                </c:pt>
                <c:pt idx="82">
                  <c:v>-1.30%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0</xdr:row>
      <xdr:rowOff>0</xdr:rowOff>
    </xdr:from>
    <xdr:to>
      <xdr:col>69</xdr:col>
      <xdr:colOff>0</xdr:colOff>
      <xdr:row>138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0</xdr:colOff>
      <xdr:row>0</xdr:row>
      <xdr:rowOff>0</xdr:rowOff>
    </xdr:from>
    <xdr:to>
      <xdr:col>101</xdr:col>
      <xdr:colOff>0</xdr:colOff>
      <xdr:row>137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123</xdr:row>
      <xdr:rowOff>190499</xdr:rowOff>
    </xdr:from>
    <xdr:to>
      <xdr:col>23</xdr:col>
      <xdr:colOff>0</xdr:colOff>
      <xdr:row>154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23</xdr:col>
      <xdr:colOff>0</xdr:colOff>
      <xdr:row>188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193</xdr:row>
      <xdr:rowOff>0</xdr:rowOff>
    </xdr:from>
    <xdr:to>
      <xdr:col>23</xdr:col>
      <xdr:colOff>0</xdr:colOff>
      <xdr:row>221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9525</xdr:colOff>
      <xdr:row>2</xdr:row>
      <xdr:rowOff>19049</xdr:rowOff>
    </xdr:from>
    <xdr:to>
      <xdr:col>18</xdr:col>
      <xdr:colOff>607868</xdr:colOff>
      <xdr:row>30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CC145D-0886-470B-38EE-26018C7AD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390524"/>
          <a:ext cx="6694343" cy="52197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33</xdr:row>
      <xdr:rowOff>0</xdr:rowOff>
    </xdr:from>
    <xdr:to>
      <xdr:col>17</xdr:col>
      <xdr:colOff>7944</xdr:colOff>
      <xdr:row>61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1FD1B2-F66C-A395-EB74-2901AB7AC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6275" y="6353175"/>
          <a:ext cx="5484819" cy="508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12</xdr:col>
      <xdr:colOff>0</xdr:colOff>
      <xdr:row>32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216F5-AEBF-9543-FE14-BEE5D57A6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00025"/>
          <a:ext cx="6686550" cy="5591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J224" t="str">
            <v>Min</v>
          </cell>
        </row>
        <row r="225">
          <cell r="J225" t="str">
            <v>Max</v>
          </cell>
        </row>
        <row r="226">
          <cell r="J226" t="str">
            <v>Mean μ</v>
          </cell>
        </row>
        <row r="227">
          <cell r="J227" t="str">
            <v>Median</v>
          </cell>
        </row>
        <row r="228">
          <cell r="J228" t="str">
            <v>SD σ</v>
          </cell>
        </row>
        <row r="229">
          <cell r="J229" t="str">
            <v xml:space="preserve">  3σ 1-Day Δ: ±</v>
          </cell>
          <cell r="M229" t="str">
            <v>&lt;- Sharpe Ratio (Risk Adjusted Return)</v>
          </cell>
        </row>
        <row r="230">
          <cell r="J230" t="str">
            <v>β (1-year avg.)</v>
          </cell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ckanalysis.com/stocks/googl/" TargetMode="External"/><Relationship Id="rId2" Type="http://schemas.openxmlformats.org/officeDocument/2006/relationships/hyperlink" Target="https://seekingalpha.com/symbol/GOOGL/earnings/transcripts" TargetMode="External"/><Relationship Id="rId1" Type="http://schemas.openxmlformats.org/officeDocument/2006/relationships/hyperlink" Target="https://abc.xyz/investor/" TargetMode="External"/><Relationship Id="rId6" Type="http://schemas.openxmlformats.org/officeDocument/2006/relationships/hyperlink" Target="https://www.macrotrends.net/stocks/charts/GOOGL/alphabet/financial-statements" TargetMode="External"/><Relationship Id="rId5" Type="http://schemas.openxmlformats.org/officeDocument/2006/relationships/hyperlink" Target="mailto:investor-relations@abc.xyz" TargetMode="External"/><Relationship Id="rId4" Type="http://schemas.openxmlformats.org/officeDocument/2006/relationships/hyperlink" Target="https://app.godeltermin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1"/>
  <sheetViews>
    <sheetView topLeftCell="A41" zoomScale="85" zoomScaleNormal="85" workbookViewId="0">
      <selection activeCell="B16" sqref="B16"/>
    </sheetView>
  </sheetViews>
  <sheetFormatPr defaultRowHeight="14.25"/>
  <cols>
    <col min="1" max="1" width="2.85546875" style="1" customWidth="1"/>
    <col min="2" max="2" width="12.42578125" style="1" customWidth="1"/>
    <col min="3" max="3" width="14" style="1" customWidth="1"/>
    <col min="4" max="4" width="12.42578125" style="1" customWidth="1"/>
    <col min="5" max="8" width="9.140625" style="1"/>
    <col min="9" max="9" width="11" style="1" bestFit="1" customWidth="1"/>
    <col min="10" max="16384" width="9.140625" style="1"/>
  </cols>
  <sheetData>
    <row r="1" spans="2:46">
      <c r="AT1" s="1">
        <v>0</v>
      </c>
    </row>
    <row r="2" spans="2:46" ht="15">
      <c r="B2" s="2" t="s">
        <v>317</v>
      </c>
    </row>
    <row r="3" spans="2:46">
      <c r="B3" s="1" t="s">
        <v>0</v>
      </c>
      <c r="C3" s="47">
        <v>166.54</v>
      </c>
      <c r="D3" s="44" t="s">
        <v>111</v>
      </c>
    </row>
    <row r="4" spans="2:46">
      <c r="B4" s="1" t="s">
        <v>1</v>
      </c>
      <c r="C4" s="49">
        <f>5820+856+5459</f>
        <v>12135</v>
      </c>
      <c r="D4" s="45" t="s">
        <v>112</v>
      </c>
    </row>
    <row r="5" spans="2:46">
      <c r="B5" s="1" t="s">
        <v>2</v>
      </c>
      <c r="C5" s="48">
        <f>C3*C4</f>
        <v>2020962.9</v>
      </c>
    </row>
    <row r="6" spans="2:46">
      <c r="B6" s="1" t="s">
        <v>3</v>
      </c>
      <c r="C6" s="48">
        <v>95328</v>
      </c>
      <c r="D6" s="45" t="s">
        <v>112</v>
      </c>
    </row>
    <row r="7" spans="2:46">
      <c r="B7" s="1" t="s">
        <v>4</v>
      </c>
      <c r="C7" s="48">
        <v>10886</v>
      </c>
      <c r="D7" s="45" t="s">
        <v>112</v>
      </c>
    </row>
    <row r="8" spans="2:46">
      <c r="B8" s="1" t="s">
        <v>5</v>
      </c>
      <c r="C8" s="48">
        <f>C5-C6+C7</f>
        <v>1936520.9</v>
      </c>
      <c r="D8" s="45" t="s">
        <v>112</v>
      </c>
    </row>
    <row r="10" spans="2:46" ht="15">
      <c r="B10" s="2" t="s">
        <v>318</v>
      </c>
    </row>
    <row r="11" spans="2:46">
      <c r="N11" s="1" t="s">
        <v>113</v>
      </c>
    </row>
    <row r="12" spans="2:46">
      <c r="B12" s="1" t="s">
        <v>122</v>
      </c>
      <c r="F12" s="1" t="s">
        <v>121</v>
      </c>
      <c r="N12" s="1" t="s">
        <v>7</v>
      </c>
      <c r="Q12" s="46" t="s">
        <v>319</v>
      </c>
    </row>
    <row r="13" spans="2:46">
      <c r="B13" s="1" t="s">
        <v>303</v>
      </c>
      <c r="F13" s="1" t="s">
        <v>124</v>
      </c>
      <c r="N13" s="1" t="s">
        <v>116</v>
      </c>
      <c r="Q13" s="46" t="s">
        <v>117</v>
      </c>
    </row>
    <row r="14" spans="2:46">
      <c r="B14" s="1" t="s">
        <v>125</v>
      </c>
      <c r="F14" s="1" t="s">
        <v>6</v>
      </c>
      <c r="N14" s="1" t="s">
        <v>114</v>
      </c>
      <c r="Q14" s="46" t="s">
        <v>118</v>
      </c>
    </row>
    <row r="15" spans="2:46">
      <c r="B15" s="1" t="s">
        <v>342</v>
      </c>
      <c r="G15" s="1" t="s">
        <v>108</v>
      </c>
      <c r="H15" s="46" t="s">
        <v>123</v>
      </c>
      <c r="N15" s="1" t="s">
        <v>115</v>
      </c>
      <c r="Q15" s="46" t="s">
        <v>119</v>
      </c>
    </row>
    <row r="16" spans="2:46">
      <c r="B16" s="1" t="s">
        <v>138</v>
      </c>
      <c r="N16" s="1" t="s">
        <v>8</v>
      </c>
      <c r="Q16" s="46" t="s">
        <v>120</v>
      </c>
    </row>
    <row r="17" spans="1:17">
      <c r="B17" s="1" t="s">
        <v>137</v>
      </c>
      <c r="N17" s="1" t="s">
        <v>140</v>
      </c>
      <c r="Q17" s="46" t="s">
        <v>139</v>
      </c>
    </row>
    <row r="19" spans="1:17" ht="15">
      <c r="A19" s="2" t="s">
        <v>190</v>
      </c>
    </row>
    <row r="20" spans="1:17">
      <c r="B20" s="1" t="s">
        <v>126</v>
      </c>
    </row>
    <row r="21" spans="1:17">
      <c r="B21" s="1" t="s">
        <v>127</v>
      </c>
    </row>
    <row r="22" spans="1:17" ht="15">
      <c r="C22" s="1" t="s">
        <v>298</v>
      </c>
    </row>
    <row r="23" spans="1:17" ht="15">
      <c r="D23" s="1" t="s">
        <v>299</v>
      </c>
    </row>
    <row r="24" spans="1:17" ht="15">
      <c r="C24" s="1" t="s">
        <v>300</v>
      </c>
    </row>
    <row r="25" spans="1:17" ht="15">
      <c r="C25" s="1" t="s">
        <v>301</v>
      </c>
    </row>
    <row r="26" spans="1:17">
      <c r="B26" s="1" t="s">
        <v>302</v>
      </c>
    </row>
    <row r="27" spans="1:17" ht="15">
      <c r="B27" s="1" t="s">
        <v>306</v>
      </c>
    </row>
    <row r="29" spans="1:17" ht="15">
      <c r="A29" s="2" t="s">
        <v>9</v>
      </c>
    </row>
    <row r="31" spans="1:17" ht="15">
      <c r="B31" s="2" t="s">
        <v>188</v>
      </c>
    </row>
    <row r="33" spans="3:6" ht="15">
      <c r="C33" s="2" t="s">
        <v>305</v>
      </c>
    </row>
    <row r="34" spans="3:6">
      <c r="D34" s="1" t="s">
        <v>191</v>
      </c>
    </row>
    <row r="35" spans="3:6" ht="15">
      <c r="C35" s="2"/>
      <c r="E35" s="1" t="s">
        <v>202</v>
      </c>
    </row>
    <row r="36" spans="3:6" ht="15">
      <c r="C36" s="2"/>
      <c r="E36" s="1" t="s">
        <v>203</v>
      </c>
    </row>
    <row r="37" spans="3:6" ht="15">
      <c r="C37" s="2"/>
      <c r="F37" s="2" t="s">
        <v>215</v>
      </c>
    </row>
    <row r="38" spans="3:6" ht="15">
      <c r="C38" s="2"/>
      <c r="E38" s="1" t="s">
        <v>204</v>
      </c>
    </row>
    <row r="39" spans="3:6" ht="15">
      <c r="C39" s="2"/>
      <c r="F39" s="1" t="s">
        <v>205</v>
      </c>
    </row>
    <row r="40" spans="3:6" ht="15">
      <c r="C40" s="2"/>
      <c r="D40" s="1" t="s">
        <v>192</v>
      </c>
    </row>
    <row r="41" spans="3:6" ht="15">
      <c r="C41" s="2"/>
      <c r="E41" s="1" t="s">
        <v>206</v>
      </c>
    </row>
    <row r="42" spans="3:6" ht="15">
      <c r="C42" s="2"/>
      <c r="E42" s="1" t="s">
        <v>210</v>
      </c>
    </row>
    <row r="43" spans="3:6" ht="15">
      <c r="C43" s="2"/>
      <c r="F43" s="1" t="s">
        <v>209</v>
      </c>
    </row>
    <row r="44" spans="3:6" ht="15">
      <c r="C44" s="2"/>
      <c r="E44" s="2" t="s">
        <v>207</v>
      </c>
    </row>
    <row r="45" spans="3:6" ht="15">
      <c r="C45" s="2"/>
      <c r="F45" s="1" t="s">
        <v>208</v>
      </c>
    </row>
    <row r="46" spans="3:6">
      <c r="D46" s="1" t="s">
        <v>193</v>
      </c>
    </row>
    <row r="47" spans="3:6" ht="15">
      <c r="C47" s="2"/>
      <c r="E47" s="1" t="s">
        <v>214</v>
      </c>
    </row>
    <row r="48" spans="3:6" ht="15">
      <c r="C48" s="2"/>
      <c r="E48" s="1" t="s">
        <v>211</v>
      </c>
    </row>
    <row r="49" spans="3:7" ht="15">
      <c r="C49" s="2"/>
      <c r="F49" s="1" t="s">
        <v>212</v>
      </c>
    </row>
    <row r="50" spans="3:7" ht="15">
      <c r="C50" s="2"/>
      <c r="E50" s="1" t="s">
        <v>213</v>
      </c>
    </row>
    <row r="51" spans="3:7">
      <c r="D51" s="1" t="s">
        <v>201</v>
      </c>
    </row>
    <row r="52" spans="3:7" ht="15">
      <c r="C52" s="2"/>
      <c r="E52" s="1" t="s">
        <v>220</v>
      </c>
    </row>
    <row r="53" spans="3:7" ht="15">
      <c r="C53" s="2"/>
      <c r="E53" s="1" t="s">
        <v>221</v>
      </c>
    </row>
    <row r="54" spans="3:7" ht="15">
      <c r="C54" s="2"/>
      <c r="F54" s="1" t="s">
        <v>223</v>
      </c>
    </row>
    <row r="55" spans="3:7" ht="15">
      <c r="C55" s="2"/>
      <c r="G55" s="1" t="s">
        <v>224</v>
      </c>
    </row>
    <row r="56" spans="3:7" ht="15">
      <c r="C56" s="2"/>
      <c r="G56" s="1" t="s">
        <v>225</v>
      </c>
    </row>
    <row r="57" spans="3:7" ht="15">
      <c r="C57" s="2"/>
      <c r="E57" s="1" t="s">
        <v>222</v>
      </c>
    </row>
    <row r="58" spans="3:7">
      <c r="D58" s="1" t="s">
        <v>194</v>
      </c>
    </row>
    <row r="59" spans="3:7" ht="15">
      <c r="C59" s="2"/>
      <c r="E59" s="1" t="s">
        <v>219</v>
      </c>
    </row>
    <row r="60" spans="3:7" ht="15">
      <c r="C60" s="2"/>
      <c r="E60" s="1" t="s">
        <v>216</v>
      </c>
    </row>
    <row r="61" spans="3:7" ht="15">
      <c r="C61" s="2"/>
      <c r="F61" s="1" t="s">
        <v>218</v>
      </c>
    </row>
    <row r="62" spans="3:7" ht="15">
      <c r="C62" s="2"/>
      <c r="E62" s="1" t="s">
        <v>217</v>
      </c>
    </row>
    <row r="63" spans="3:7" ht="15">
      <c r="C63" s="2"/>
      <c r="D63" s="1" t="s">
        <v>195</v>
      </c>
    </row>
    <row r="64" spans="3:7" ht="15">
      <c r="C64" s="2"/>
      <c r="E64" s="1" t="s">
        <v>226</v>
      </c>
    </row>
    <row r="65" spans="3:6" ht="15">
      <c r="C65" s="2"/>
      <c r="E65" s="1" t="s">
        <v>227</v>
      </c>
    </row>
    <row r="66" spans="3:6" ht="15">
      <c r="C66" s="2"/>
      <c r="F66" s="1" t="s">
        <v>228</v>
      </c>
    </row>
    <row r="67" spans="3:6" ht="15">
      <c r="C67" s="2"/>
      <c r="E67" s="1" t="s">
        <v>229</v>
      </c>
    </row>
    <row r="68" spans="3:6" ht="15">
      <c r="C68" s="2"/>
      <c r="D68" s="1" t="s">
        <v>196</v>
      </c>
    </row>
    <row r="69" spans="3:6" ht="15">
      <c r="E69" s="1" t="s">
        <v>230</v>
      </c>
    </row>
    <row r="70" spans="3:6">
      <c r="E70" s="1" t="s">
        <v>231</v>
      </c>
    </row>
    <row r="71" spans="3:6">
      <c r="F71" s="1" t="s">
        <v>232</v>
      </c>
    </row>
    <row r="72" spans="3:6">
      <c r="D72" s="1" t="s">
        <v>197</v>
      </c>
    </row>
    <row r="73" spans="3:6">
      <c r="E73" s="1" t="s">
        <v>233</v>
      </c>
    </row>
    <row r="74" spans="3:6">
      <c r="E74" s="1" t="s">
        <v>234</v>
      </c>
    </row>
    <row r="75" spans="3:6">
      <c r="F75" s="1" t="s">
        <v>236</v>
      </c>
    </row>
    <row r="76" spans="3:6">
      <c r="E76" s="1" t="s">
        <v>235</v>
      </c>
    </row>
    <row r="77" spans="3:6">
      <c r="D77" s="1" t="s">
        <v>198</v>
      </c>
    </row>
    <row r="78" spans="3:6">
      <c r="E78" s="1" t="s">
        <v>237</v>
      </c>
    </row>
    <row r="79" spans="3:6">
      <c r="E79" s="1" t="s">
        <v>238</v>
      </c>
    </row>
    <row r="80" spans="3:6">
      <c r="F80" s="1" t="s">
        <v>239</v>
      </c>
    </row>
    <row r="81" spans="4:7">
      <c r="E81" s="1" t="s">
        <v>240</v>
      </c>
    </row>
    <row r="82" spans="4:7">
      <c r="F82" s="1" t="s">
        <v>241</v>
      </c>
    </row>
    <row r="83" spans="4:7">
      <c r="F83" s="1" t="s">
        <v>242</v>
      </c>
    </row>
    <row r="84" spans="4:7">
      <c r="G84" s="1" t="s">
        <v>243</v>
      </c>
    </row>
    <row r="85" spans="4:7">
      <c r="D85" s="1" t="s">
        <v>199</v>
      </c>
    </row>
    <row r="86" spans="4:7">
      <c r="E86" s="1" t="s">
        <v>244</v>
      </c>
    </row>
    <row r="87" spans="4:7">
      <c r="F87" s="1" t="s">
        <v>245</v>
      </c>
    </row>
    <row r="88" spans="4:7">
      <c r="E88" s="1" t="s">
        <v>246</v>
      </c>
    </row>
    <row r="89" spans="4:7">
      <c r="F89" s="1" t="s">
        <v>247</v>
      </c>
    </row>
    <row r="90" spans="4:7">
      <c r="E90" s="1" t="s">
        <v>248</v>
      </c>
    </row>
    <row r="91" spans="4:7">
      <c r="E91" s="1" t="s">
        <v>249</v>
      </c>
    </row>
    <row r="92" spans="4:7">
      <c r="D92" s="1" t="s">
        <v>200</v>
      </c>
    </row>
    <row r="93" spans="4:7">
      <c r="E93" s="1" t="s">
        <v>250</v>
      </c>
    </row>
    <row r="94" spans="4:7">
      <c r="F94" s="1" t="s">
        <v>251</v>
      </c>
    </row>
    <row r="95" spans="4:7">
      <c r="E95" s="1" t="s">
        <v>252</v>
      </c>
    </row>
    <row r="96" spans="4:7">
      <c r="E96" s="1" t="s">
        <v>253</v>
      </c>
    </row>
    <row r="97" spans="3:5" ht="15">
      <c r="C97" s="2" t="s">
        <v>304</v>
      </c>
    </row>
    <row r="98" spans="3:5" ht="15">
      <c r="C98" s="2"/>
      <c r="D98" s="1" t="s">
        <v>254</v>
      </c>
    </row>
    <row r="99" spans="3:5" ht="15">
      <c r="C99" s="2"/>
      <c r="E99" s="1" t="s">
        <v>261</v>
      </c>
    </row>
    <row r="100" spans="3:5" ht="15" customHeight="1">
      <c r="C100" s="2"/>
    </row>
    <row r="101" spans="3:5" ht="15">
      <c r="C101" s="2"/>
    </row>
    <row r="102" spans="3:5" ht="15">
      <c r="C102" s="2"/>
    </row>
    <row r="103" spans="3:5" ht="15">
      <c r="C103" s="2"/>
    </row>
    <row r="104" spans="3:5" ht="15">
      <c r="C104" s="2"/>
      <c r="D104" s="1" t="s">
        <v>258</v>
      </c>
    </row>
    <row r="105" spans="3:5" ht="15">
      <c r="C105" s="2"/>
      <c r="E105" s="1" t="s">
        <v>262</v>
      </c>
    </row>
    <row r="106" spans="3:5" ht="15">
      <c r="C106" s="2"/>
    </row>
    <row r="107" spans="3:5" ht="15">
      <c r="C107" s="2"/>
    </row>
    <row r="108" spans="3:5" ht="15">
      <c r="C108" s="2"/>
    </row>
    <row r="109" spans="3:5" ht="15">
      <c r="C109" s="2"/>
      <c r="D109" s="1" t="s">
        <v>257</v>
      </c>
    </row>
    <row r="110" spans="3:5" ht="15">
      <c r="C110" s="2"/>
      <c r="E110" s="1" t="s">
        <v>263</v>
      </c>
    </row>
    <row r="111" spans="3:5" ht="15">
      <c r="C111" s="2"/>
    </row>
    <row r="112" spans="3:5" ht="15">
      <c r="C112" s="2"/>
    </row>
    <row r="113" spans="3:5" ht="15">
      <c r="C113" s="2"/>
    </row>
    <row r="114" spans="3:5" ht="15">
      <c r="C114" s="2"/>
    </row>
    <row r="115" spans="3:5" ht="15">
      <c r="C115" s="2"/>
      <c r="D115" s="1" t="s">
        <v>256</v>
      </c>
    </row>
    <row r="116" spans="3:5" ht="15">
      <c r="C116" s="2"/>
      <c r="E116" s="1" t="s">
        <v>264</v>
      </c>
    </row>
    <row r="117" spans="3:5" ht="15">
      <c r="C117" s="2"/>
    </row>
    <row r="121" spans="3:5">
      <c r="D121" s="1" t="s">
        <v>255</v>
      </c>
    </row>
    <row r="122" spans="3:5">
      <c r="E122" s="1" t="s">
        <v>265</v>
      </c>
    </row>
    <row r="127" spans="3:5">
      <c r="D127" s="1" t="s">
        <v>260</v>
      </c>
    </row>
    <row r="128" spans="3:5">
      <c r="E128" s="1" t="s">
        <v>266</v>
      </c>
    </row>
    <row r="132" spans="3:7" ht="15">
      <c r="C132" s="2" t="s">
        <v>259</v>
      </c>
    </row>
    <row r="133" spans="3:7">
      <c r="D133" s="1" t="s">
        <v>129</v>
      </c>
    </row>
    <row r="134" spans="3:7">
      <c r="E134" s="1" t="s">
        <v>145</v>
      </c>
    </row>
    <row r="135" spans="3:7">
      <c r="F135" s="1" t="s">
        <v>144</v>
      </c>
    </row>
    <row r="136" spans="3:7">
      <c r="F136" s="1" t="s">
        <v>143</v>
      </c>
    </row>
    <row r="137" spans="3:7">
      <c r="D137" s="1" t="s">
        <v>130</v>
      </c>
    </row>
    <row r="138" spans="3:7">
      <c r="E138" s="1" t="s">
        <v>134</v>
      </c>
    </row>
    <row r="139" spans="3:7">
      <c r="F139" s="1" t="s">
        <v>146</v>
      </c>
    </row>
    <row r="140" spans="3:7">
      <c r="G140" s="1" t="s">
        <v>147</v>
      </c>
    </row>
    <row r="141" spans="3:7">
      <c r="G141" s="1" t="s">
        <v>148</v>
      </c>
    </row>
    <row r="142" spans="3:7">
      <c r="D142" s="1" t="s">
        <v>136</v>
      </c>
    </row>
    <row r="143" spans="3:7">
      <c r="E143" s="1" t="s">
        <v>153</v>
      </c>
    </row>
    <row r="144" spans="3:7">
      <c r="F144" s="1" t="s">
        <v>154</v>
      </c>
    </row>
    <row r="145" spans="4:9" ht="15">
      <c r="G145" s="1" t="s">
        <v>155</v>
      </c>
    </row>
    <row r="146" spans="4:9">
      <c r="F146" s="1" t="s">
        <v>183</v>
      </c>
    </row>
    <row r="147" spans="4:9">
      <c r="G147" s="1" t="s">
        <v>185</v>
      </c>
    </row>
    <row r="148" spans="4:9">
      <c r="G148" s="1" t="s">
        <v>184</v>
      </c>
    </row>
    <row r="149" spans="4:9">
      <c r="H149" s="1" t="s">
        <v>156</v>
      </c>
    </row>
    <row r="150" spans="4:9">
      <c r="H150" s="1" t="s">
        <v>157</v>
      </c>
    </row>
    <row r="151" spans="4:9">
      <c r="F151" s="1" t="s">
        <v>158</v>
      </c>
    </row>
    <row r="152" spans="4:9">
      <c r="G152" s="1" t="s">
        <v>159</v>
      </c>
    </row>
    <row r="153" spans="4:9">
      <c r="G153" s="1" t="s">
        <v>160</v>
      </c>
    </row>
    <row r="154" spans="4:9">
      <c r="G154" s="1" t="s">
        <v>161</v>
      </c>
    </row>
    <row r="155" spans="4:9" ht="15">
      <c r="F155" s="2" t="s">
        <v>162</v>
      </c>
    </row>
    <row r="156" spans="4:9" ht="15">
      <c r="D156" s="1" t="s">
        <v>132</v>
      </c>
      <c r="F156" s="2"/>
    </row>
    <row r="157" spans="4:9">
      <c r="E157" s="1" t="s">
        <v>163</v>
      </c>
    </row>
    <row r="158" spans="4:9">
      <c r="F158" s="1" t="s">
        <v>165</v>
      </c>
      <c r="I158" s="1" t="s">
        <v>166</v>
      </c>
    </row>
    <row r="159" spans="4:9">
      <c r="F159" s="1" t="s">
        <v>164</v>
      </c>
      <c r="I159" s="1" t="s">
        <v>167</v>
      </c>
    </row>
    <row r="160" spans="4:9">
      <c r="F160" s="1" t="s">
        <v>182</v>
      </c>
      <c r="I160" s="1" t="s">
        <v>181</v>
      </c>
    </row>
    <row r="161" spans="4:9">
      <c r="F161" s="1" t="s">
        <v>180</v>
      </c>
      <c r="I161" s="1" t="s">
        <v>179</v>
      </c>
    </row>
    <row r="162" spans="4:9">
      <c r="F162" s="1" t="s">
        <v>178</v>
      </c>
      <c r="I162" s="1" t="s">
        <v>177</v>
      </c>
    </row>
    <row r="163" spans="4:9">
      <c r="F163" s="1" t="s">
        <v>176</v>
      </c>
      <c r="I163" s="1" t="s">
        <v>175</v>
      </c>
    </row>
    <row r="164" spans="4:9">
      <c r="F164" s="1" t="s">
        <v>174</v>
      </c>
      <c r="I164" s="1" t="s">
        <v>173</v>
      </c>
    </row>
    <row r="165" spans="4:9">
      <c r="F165" s="1" t="s">
        <v>172</v>
      </c>
      <c r="I165" s="1" t="s">
        <v>171</v>
      </c>
    </row>
    <row r="166" spans="4:9">
      <c r="F166" s="1" t="s">
        <v>170</v>
      </c>
      <c r="I166" s="1" t="s">
        <v>169</v>
      </c>
    </row>
    <row r="167" spans="4:9">
      <c r="D167" s="1" t="s">
        <v>131</v>
      </c>
    </row>
    <row r="168" spans="4:9">
      <c r="E168" s="1" t="s">
        <v>149</v>
      </c>
    </row>
    <row r="169" spans="4:9">
      <c r="F169" s="1" t="s">
        <v>150</v>
      </c>
    </row>
    <row r="170" spans="4:9">
      <c r="G170" s="1" t="s">
        <v>151</v>
      </c>
    </row>
    <row r="171" spans="4:9" ht="15">
      <c r="G171" s="2" t="s">
        <v>152</v>
      </c>
      <c r="H171" s="2"/>
    </row>
    <row r="172" spans="4:9">
      <c r="D172" s="1" t="s">
        <v>135</v>
      </c>
    </row>
    <row r="173" spans="4:9">
      <c r="E173" s="1" t="s">
        <v>186</v>
      </c>
    </row>
    <row r="174" spans="4:9">
      <c r="D174" s="1" t="s">
        <v>141</v>
      </c>
    </row>
    <row r="175" spans="4:9">
      <c r="E175" s="1" t="s">
        <v>168</v>
      </c>
    </row>
    <row r="176" spans="4:9">
      <c r="F176" s="1" t="s">
        <v>142</v>
      </c>
    </row>
    <row r="177" spans="4:5">
      <c r="D177" s="1" t="s">
        <v>133</v>
      </c>
    </row>
    <row r="178" spans="4:5">
      <c r="E178" s="1" t="s">
        <v>187</v>
      </c>
    </row>
    <row r="179" spans="4:5" ht="15">
      <c r="D179" s="2" t="s">
        <v>128</v>
      </c>
    </row>
    <row r="199" spans="9:9">
      <c r="I199" s="50"/>
    </row>
    <row r="201" spans="9:9">
      <c r="I201" s="50"/>
    </row>
  </sheetData>
  <hyperlinks>
    <hyperlink ref="Q13" r:id="rId1" xr:uid="{AA9B7AE0-4807-4602-A589-BFB754D35D40}"/>
    <hyperlink ref="Q14" r:id="rId2" xr:uid="{6973B659-67E3-41B1-9EE2-B10B4344E22E}"/>
    <hyperlink ref="Q15" r:id="rId3" xr:uid="{68D6AC96-B3D0-4875-A7EC-0C1B6A1593E2}"/>
    <hyperlink ref="Q16" r:id="rId4" xr:uid="{B39DA20C-F45C-4E43-AC4E-CCE9242EB2F9}"/>
    <hyperlink ref="H15" r:id="rId5" xr:uid="{BC0D483D-99FE-49D1-93D8-26DF9CADE7BE}"/>
    <hyperlink ref="Q17" r:id="rId6" xr:uid="{95104289-ACBE-4B97-BCFD-C0BCC1AEBBEA}"/>
  </hyperlinks>
  <pageMargins left="0.7" right="0.7" top="0.75" bottom="0.75" header="0.3" footer="0.3"/>
  <ignoredErrors>
    <ignoredError sqref="D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H115"/>
  <sheetViews>
    <sheetView tabSelected="1" zoomScale="65" workbookViewId="0">
      <pane xSplit="2" ySplit="3" topLeftCell="AP66" activePane="bottomRight" state="frozen"/>
      <selection pane="topRight" activeCell="C1" sqref="C1"/>
      <selection pane="bottomLeft" activeCell="A4" sqref="A4"/>
      <selection pane="bottomRight" activeCell="AZ49" sqref="AZ49:AZ61"/>
    </sheetView>
  </sheetViews>
  <sheetFormatPr defaultRowHeight="14.25"/>
  <cols>
    <col min="1" max="1" width="3.140625" style="1" customWidth="1"/>
    <col min="2" max="2" width="41.85546875" style="1" customWidth="1"/>
    <col min="3" max="69" width="9.140625" style="1"/>
    <col min="70" max="75" width="9.140625" style="36"/>
    <col min="76" max="76" width="9.140625" style="36" customWidth="1"/>
    <col min="77" max="16384" width="9.140625" style="1"/>
  </cols>
  <sheetData>
    <row r="1" spans="2:164" ht="15">
      <c r="B1" s="1" t="s">
        <v>61</v>
      </c>
      <c r="AW1" s="34" t="s">
        <v>55</v>
      </c>
      <c r="BA1" s="34" t="s">
        <v>56</v>
      </c>
      <c r="BE1" s="34" t="s">
        <v>57</v>
      </c>
      <c r="BI1" s="34" t="s">
        <v>58</v>
      </c>
      <c r="BM1" s="34" t="s">
        <v>59</v>
      </c>
      <c r="BQ1" s="34" t="s">
        <v>60</v>
      </c>
    </row>
    <row r="2" spans="2:164">
      <c r="B2" s="1" t="s">
        <v>62</v>
      </c>
    </row>
    <row r="3" spans="2:164" ht="15">
      <c r="B3" s="2" t="s">
        <v>63</v>
      </c>
      <c r="C3" s="34" t="s">
        <v>54</v>
      </c>
      <c r="D3" s="34" t="s">
        <v>65</v>
      </c>
      <c r="E3" s="34" t="s">
        <v>343</v>
      </c>
      <c r="F3" s="34" t="s">
        <v>344</v>
      </c>
      <c r="G3" s="34" t="s">
        <v>345</v>
      </c>
      <c r="H3" s="34" t="s">
        <v>346</v>
      </c>
      <c r="I3" s="34" t="s">
        <v>347</v>
      </c>
      <c r="J3" s="34" t="s">
        <v>348</v>
      </c>
      <c r="K3" s="34" t="s">
        <v>349</v>
      </c>
      <c r="L3" s="34" t="s">
        <v>350</v>
      </c>
      <c r="M3" s="34" t="s">
        <v>351</v>
      </c>
      <c r="N3" s="34" t="s">
        <v>352</v>
      </c>
      <c r="O3" s="34" t="s">
        <v>353</v>
      </c>
      <c r="P3" s="34" t="s">
        <v>354</v>
      </c>
      <c r="Q3" s="34" t="s">
        <v>355</v>
      </c>
      <c r="R3" s="34" t="s">
        <v>356</v>
      </c>
      <c r="S3" s="34" t="s">
        <v>357</v>
      </c>
      <c r="T3" s="34" t="s">
        <v>358</v>
      </c>
      <c r="U3" s="34" t="s">
        <v>359</v>
      </c>
      <c r="V3" s="34" t="s">
        <v>360</v>
      </c>
      <c r="W3" s="34" t="s">
        <v>361</v>
      </c>
      <c r="X3" s="34" t="s">
        <v>362</v>
      </c>
      <c r="Y3" s="34" t="s">
        <v>363</v>
      </c>
      <c r="Z3" s="34" t="s">
        <v>364</v>
      </c>
      <c r="AA3" s="34" t="s">
        <v>365</v>
      </c>
      <c r="AB3" s="34" t="s">
        <v>366</v>
      </c>
      <c r="AC3" s="34" t="s">
        <v>367</v>
      </c>
      <c r="AD3" s="34" t="s">
        <v>368</v>
      </c>
      <c r="AE3" s="34" t="s">
        <v>369</v>
      </c>
      <c r="AF3" s="34" t="s">
        <v>370</v>
      </c>
      <c r="AG3" s="34" t="s">
        <v>371</v>
      </c>
      <c r="AH3" s="34" t="s">
        <v>372</v>
      </c>
      <c r="AI3" s="34" t="s">
        <v>373</v>
      </c>
      <c r="AJ3" s="34" t="s">
        <v>374</v>
      </c>
      <c r="AK3" s="34" t="s">
        <v>375</v>
      </c>
      <c r="AL3" s="34" t="s">
        <v>376</v>
      </c>
      <c r="AM3" s="34" t="s">
        <v>377</v>
      </c>
      <c r="AN3" s="34" t="s">
        <v>378</v>
      </c>
      <c r="AO3" s="34" t="s">
        <v>379</v>
      </c>
      <c r="AP3" s="34" t="s">
        <v>380</v>
      </c>
      <c r="AQ3" s="34" t="s">
        <v>381</v>
      </c>
      <c r="AR3" s="34" t="s">
        <v>382</v>
      </c>
      <c r="AS3" s="34" t="s">
        <v>383</v>
      </c>
      <c r="AT3" s="34" t="s">
        <v>384</v>
      </c>
      <c r="AU3" s="34" t="s">
        <v>385</v>
      </c>
      <c r="AV3" s="34" t="s">
        <v>386</v>
      </c>
      <c r="AW3" s="34" t="s">
        <v>387</v>
      </c>
      <c r="AX3" s="34" t="s">
        <v>388</v>
      </c>
      <c r="AY3" s="34" t="s">
        <v>389</v>
      </c>
      <c r="AZ3" s="34" t="s">
        <v>390</v>
      </c>
      <c r="BA3" s="34" t="s">
        <v>391</v>
      </c>
      <c r="BB3" s="34" t="s">
        <v>392</v>
      </c>
      <c r="BC3" s="34" t="s">
        <v>393</v>
      </c>
      <c r="BD3" s="34" t="s">
        <v>394</v>
      </c>
      <c r="BE3" s="34" t="s">
        <v>395</v>
      </c>
      <c r="BF3" s="34" t="s">
        <v>396</v>
      </c>
      <c r="BG3" s="34" t="s">
        <v>397</v>
      </c>
      <c r="BH3" s="34" t="s">
        <v>398</v>
      </c>
      <c r="BI3" s="34" t="s">
        <v>399</v>
      </c>
      <c r="BJ3" s="34" t="s">
        <v>400</v>
      </c>
      <c r="BK3" s="34" t="s">
        <v>401</v>
      </c>
      <c r="BL3" s="34" t="s">
        <v>402</v>
      </c>
      <c r="BM3" s="34" t="s">
        <v>403</v>
      </c>
      <c r="BN3" s="34" t="s">
        <v>404</v>
      </c>
      <c r="BO3" s="34" t="s">
        <v>405</v>
      </c>
      <c r="BP3" s="34" t="s">
        <v>406</v>
      </c>
      <c r="BQ3" s="34" t="s">
        <v>112</v>
      </c>
      <c r="BR3" s="34" t="s">
        <v>407</v>
      </c>
      <c r="BS3" s="34" t="s">
        <v>408</v>
      </c>
      <c r="BT3" s="34" t="s">
        <v>409</v>
      </c>
      <c r="BU3" s="34" t="s">
        <v>112</v>
      </c>
      <c r="BV3" s="34" t="s">
        <v>407</v>
      </c>
      <c r="BW3" s="34" t="s">
        <v>408</v>
      </c>
      <c r="BX3" s="34" t="s">
        <v>409</v>
      </c>
      <c r="CG3" s="2">
        <v>2008</v>
      </c>
      <c r="CH3" s="2">
        <f>CG3+1</f>
        <v>2009</v>
      </c>
      <c r="CI3" s="2">
        <f t="shared" ref="CI3:ET3" si="0">CH3+1</f>
        <v>2010</v>
      </c>
      <c r="CJ3" s="2">
        <f t="shared" si="0"/>
        <v>2011</v>
      </c>
      <c r="CK3" s="2">
        <f t="shared" si="0"/>
        <v>2012</v>
      </c>
      <c r="CL3" s="2">
        <f t="shared" si="0"/>
        <v>2013</v>
      </c>
      <c r="CM3" s="2">
        <f t="shared" si="0"/>
        <v>2014</v>
      </c>
      <c r="CN3" s="2">
        <f t="shared" si="0"/>
        <v>2015</v>
      </c>
      <c r="CO3" s="2">
        <f t="shared" si="0"/>
        <v>2016</v>
      </c>
      <c r="CP3" s="2">
        <f t="shared" si="0"/>
        <v>2017</v>
      </c>
      <c r="CQ3" s="2">
        <f t="shared" si="0"/>
        <v>2018</v>
      </c>
      <c r="CR3" s="2">
        <f t="shared" si="0"/>
        <v>2019</v>
      </c>
      <c r="CS3" s="2">
        <f t="shared" si="0"/>
        <v>2020</v>
      </c>
      <c r="CT3" s="2">
        <f t="shared" si="0"/>
        <v>2021</v>
      </c>
      <c r="CU3" s="2">
        <f t="shared" si="0"/>
        <v>2022</v>
      </c>
      <c r="CV3" s="2">
        <f t="shared" si="0"/>
        <v>2023</v>
      </c>
      <c r="CW3" s="2">
        <f t="shared" si="0"/>
        <v>2024</v>
      </c>
      <c r="CX3" s="2">
        <f t="shared" si="0"/>
        <v>2025</v>
      </c>
      <c r="CY3" s="2">
        <f t="shared" si="0"/>
        <v>2026</v>
      </c>
      <c r="CZ3" s="2">
        <f t="shared" si="0"/>
        <v>2027</v>
      </c>
      <c r="DA3" s="2">
        <f t="shared" si="0"/>
        <v>2028</v>
      </c>
      <c r="DB3" s="2">
        <f t="shared" si="0"/>
        <v>2029</v>
      </c>
      <c r="DC3" s="2">
        <f t="shared" si="0"/>
        <v>2030</v>
      </c>
      <c r="DD3" s="2">
        <f t="shared" si="0"/>
        <v>2031</v>
      </c>
      <c r="DE3" s="2">
        <f t="shared" si="0"/>
        <v>2032</v>
      </c>
      <c r="DF3" s="2">
        <f t="shared" si="0"/>
        <v>2033</v>
      </c>
      <c r="DG3" s="2">
        <f t="shared" si="0"/>
        <v>2034</v>
      </c>
      <c r="DH3" s="2">
        <f t="shared" si="0"/>
        <v>2035</v>
      </c>
      <c r="DI3" s="2">
        <f t="shared" si="0"/>
        <v>2036</v>
      </c>
      <c r="DJ3" s="2">
        <f t="shared" si="0"/>
        <v>2037</v>
      </c>
      <c r="DK3" s="2">
        <f t="shared" si="0"/>
        <v>2038</v>
      </c>
      <c r="DL3" s="2">
        <f t="shared" si="0"/>
        <v>2039</v>
      </c>
      <c r="DM3" s="2">
        <f t="shared" si="0"/>
        <v>2040</v>
      </c>
      <c r="DN3" s="2">
        <f t="shared" si="0"/>
        <v>2041</v>
      </c>
      <c r="DO3" s="2">
        <f t="shared" si="0"/>
        <v>2042</v>
      </c>
      <c r="DP3" s="2">
        <f t="shared" si="0"/>
        <v>2043</v>
      </c>
      <c r="DQ3" s="2">
        <f t="shared" si="0"/>
        <v>2044</v>
      </c>
      <c r="DR3" s="2">
        <f t="shared" si="0"/>
        <v>2045</v>
      </c>
      <c r="DS3" s="2">
        <f t="shared" si="0"/>
        <v>2046</v>
      </c>
      <c r="DT3" s="2">
        <f t="shared" si="0"/>
        <v>2047</v>
      </c>
      <c r="DU3" s="2">
        <f t="shared" si="0"/>
        <v>2048</v>
      </c>
      <c r="DV3" s="2">
        <f t="shared" si="0"/>
        <v>2049</v>
      </c>
      <c r="DW3" s="2">
        <f t="shared" si="0"/>
        <v>2050</v>
      </c>
      <c r="DX3" s="2">
        <f t="shared" si="0"/>
        <v>2051</v>
      </c>
      <c r="DY3" s="2">
        <f t="shared" si="0"/>
        <v>2052</v>
      </c>
      <c r="DZ3" s="2">
        <f t="shared" si="0"/>
        <v>2053</v>
      </c>
      <c r="EA3" s="2">
        <f t="shared" si="0"/>
        <v>2054</v>
      </c>
      <c r="EB3" s="2">
        <f t="shared" si="0"/>
        <v>2055</v>
      </c>
      <c r="EC3" s="2">
        <f t="shared" si="0"/>
        <v>2056</v>
      </c>
      <c r="ED3" s="2">
        <f t="shared" si="0"/>
        <v>2057</v>
      </c>
      <c r="EE3" s="2">
        <f t="shared" si="0"/>
        <v>2058</v>
      </c>
      <c r="EF3" s="2">
        <f t="shared" si="0"/>
        <v>2059</v>
      </c>
      <c r="EG3" s="2">
        <f t="shared" si="0"/>
        <v>2060</v>
      </c>
      <c r="EH3" s="2">
        <f t="shared" si="0"/>
        <v>2061</v>
      </c>
      <c r="EI3" s="2">
        <f t="shared" si="0"/>
        <v>2062</v>
      </c>
      <c r="EJ3" s="2">
        <f t="shared" si="0"/>
        <v>2063</v>
      </c>
      <c r="EK3" s="2">
        <f t="shared" si="0"/>
        <v>2064</v>
      </c>
      <c r="EL3" s="2">
        <f t="shared" si="0"/>
        <v>2065</v>
      </c>
      <c r="EM3" s="2">
        <f t="shared" si="0"/>
        <v>2066</v>
      </c>
      <c r="EN3" s="2">
        <f t="shared" si="0"/>
        <v>2067</v>
      </c>
      <c r="EO3" s="2">
        <f t="shared" si="0"/>
        <v>2068</v>
      </c>
      <c r="EP3" s="2">
        <f t="shared" si="0"/>
        <v>2069</v>
      </c>
      <c r="EQ3" s="2">
        <f t="shared" si="0"/>
        <v>2070</v>
      </c>
      <c r="ER3" s="2">
        <f t="shared" si="0"/>
        <v>2071</v>
      </c>
      <c r="ES3" s="2">
        <f t="shared" si="0"/>
        <v>2072</v>
      </c>
      <c r="ET3" s="2">
        <f t="shared" si="0"/>
        <v>2073</v>
      </c>
      <c r="EU3" s="2">
        <f t="shared" ref="EU3:FE3" si="1">ET3+1</f>
        <v>2074</v>
      </c>
      <c r="EV3" s="2">
        <f t="shared" si="1"/>
        <v>2075</v>
      </c>
      <c r="EW3" s="2">
        <f t="shared" si="1"/>
        <v>2076</v>
      </c>
      <c r="EX3" s="2">
        <f t="shared" si="1"/>
        <v>2077</v>
      </c>
      <c r="EY3" s="2">
        <f t="shared" si="1"/>
        <v>2078</v>
      </c>
      <c r="EZ3" s="2">
        <f t="shared" si="1"/>
        <v>2079</v>
      </c>
      <c r="FA3" s="2">
        <f t="shared" si="1"/>
        <v>2080</v>
      </c>
      <c r="FB3" s="2">
        <f t="shared" si="1"/>
        <v>2081</v>
      </c>
      <c r="FC3" s="2">
        <f t="shared" si="1"/>
        <v>2082</v>
      </c>
      <c r="FD3" s="2">
        <f t="shared" si="1"/>
        <v>2083</v>
      </c>
      <c r="FE3" s="2">
        <f t="shared" si="1"/>
        <v>2084</v>
      </c>
      <c r="FF3" s="2"/>
      <c r="FG3" s="2"/>
      <c r="FH3" s="2"/>
    </row>
    <row r="4" spans="2:164">
      <c r="B4" s="37" t="s">
        <v>267</v>
      </c>
      <c r="AW4" s="1">
        <v>24502</v>
      </c>
      <c r="AX4" s="1">
        <v>21319</v>
      </c>
      <c r="AY4" s="1">
        <v>26338</v>
      </c>
      <c r="AZ4" s="1">
        <f>104062-SUM(AW4:AY4)</f>
        <v>31903</v>
      </c>
      <c r="BA4" s="1">
        <v>31879</v>
      </c>
      <c r="BB4" s="1">
        <v>35845</v>
      </c>
      <c r="BC4" s="1">
        <v>37926</v>
      </c>
      <c r="BD4" s="1">
        <f>148951-SUM(BA4:BC4)</f>
        <v>43301</v>
      </c>
      <c r="BE4" s="1">
        <v>39618</v>
      </c>
      <c r="BF4" s="1">
        <v>40689</v>
      </c>
      <c r="BG4" s="1">
        <v>39539</v>
      </c>
      <c r="BH4" s="1">
        <f>162450-SUM(BE4:BG4)</f>
        <v>42604</v>
      </c>
      <c r="BI4" s="1">
        <v>40359</v>
      </c>
      <c r="BJ4" s="1">
        <v>42628</v>
      </c>
      <c r="BK4" s="1">
        <v>44026</v>
      </c>
      <c r="BL4" s="1">
        <f>175033-SUM(BI4:BK4)</f>
        <v>48020</v>
      </c>
      <c r="BM4" s="1">
        <v>46156</v>
      </c>
      <c r="BN4" s="1">
        <v>48509</v>
      </c>
      <c r="BO4" s="1">
        <v>49385</v>
      </c>
      <c r="BP4" s="1">
        <f>198084-SUM(BM4:BO4)</f>
        <v>54034</v>
      </c>
      <c r="BQ4" s="1">
        <v>50702</v>
      </c>
    </row>
    <row r="5" spans="2:164">
      <c r="B5" s="37" t="s">
        <v>268</v>
      </c>
      <c r="AW5" s="1">
        <v>4038</v>
      </c>
      <c r="AX5" s="1">
        <v>3812</v>
      </c>
      <c r="AY5" s="1">
        <v>5037</v>
      </c>
      <c r="AZ5" s="1">
        <f>19772-SUM(AW5:AY5)</f>
        <v>6885</v>
      </c>
      <c r="BA5" s="1">
        <v>6005</v>
      </c>
      <c r="BB5" s="1">
        <v>7002</v>
      </c>
      <c r="BC5" s="1">
        <v>7205</v>
      </c>
      <c r="BD5" s="1">
        <f>28845-SUM(BA5:BC5)</f>
        <v>8633</v>
      </c>
      <c r="BE5" s="1">
        <v>6869</v>
      </c>
      <c r="BF5" s="1">
        <v>7340</v>
      </c>
      <c r="BG5" s="1">
        <v>7071</v>
      </c>
      <c r="BH5" s="1">
        <f>29243-SUM(BE5:BG5)</f>
        <v>7963</v>
      </c>
      <c r="BI5" s="1">
        <v>6693</v>
      </c>
      <c r="BJ5" s="1">
        <v>7665</v>
      </c>
      <c r="BK5" s="1">
        <v>7952</v>
      </c>
      <c r="BL5" s="1">
        <f>31510-SUM(BI5:BK5)</f>
        <v>9200</v>
      </c>
      <c r="BM5" s="1">
        <v>8090</v>
      </c>
      <c r="BN5" s="1">
        <v>8663</v>
      </c>
      <c r="BO5" s="1">
        <v>8921</v>
      </c>
      <c r="BP5" s="1">
        <f>36147-SUM(BM5:BO5)</f>
        <v>10473</v>
      </c>
      <c r="BQ5" s="1">
        <v>8927</v>
      </c>
    </row>
    <row r="6" spans="2:164">
      <c r="B6" s="37" t="s">
        <v>269</v>
      </c>
      <c r="AW6" s="1">
        <v>5223</v>
      </c>
      <c r="AX6" s="1">
        <v>4736</v>
      </c>
      <c r="AY6" s="1">
        <v>5720</v>
      </c>
      <c r="AZ6" s="1">
        <f>23090-SUM(AW6:AY6)</f>
        <v>7411</v>
      </c>
      <c r="BA6" s="1">
        <v>6800</v>
      </c>
      <c r="BB6" s="1">
        <v>7597</v>
      </c>
      <c r="BC6" s="1">
        <v>7999</v>
      </c>
      <c r="BD6" s="1">
        <f>31701-SUM(BA6:BC6)</f>
        <v>9305</v>
      </c>
      <c r="BE6" s="1">
        <v>8174</v>
      </c>
      <c r="BF6" s="1">
        <v>8259</v>
      </c>
      <c r="BG6" s="1">
        <v>7872</v>
      </c>
      <c r="BH6" s="1">
        <f>32780-SUM(BE6:BG6)</f>
        <v>8475</v>
      </c>
      <c r="BI6" s="1">
        <v>7496</v>
      </c>
      <c r="BJ6" s="1">
        <v>7850</v>
      </c>
      <c r="BK6" s="1">
        <v>7669</v>
      </c>
      <c r="BL6" s="1">
        <f>31312-SUM(BI6:BK6)</f>
        <v>8297</v>
      </c>
      <c r="BM6" s="1">
        <v>7413</v>
      </c>
      <c r="BN6" s="1">
        <v>7444</v>
      </c>
      <c r="BO6" s="1">
        <v>7548</v>
      </c>
      <c r="BP6" s="1">
        <f>30359-SUM(BM6:BO6)</f>
        <v>7954</v>
      </c>
      <c r="BQ6" s="1">
        <v>7256</v>
      </c>
    </row>
    <row r="7" spans="2:164" s="2" customFormat="1" ht="15">
      <c r="B7" s="51" t="s">
        <v>270</v>
      </c>
      <c r="AW7" s="2">
        <f t="shared" ref="AW7:BL7" si="2">SUM(AW4:AW6)</f>
        <v>33763</v>
      </c>
      <c r="AX7" s="2">
        <f t="shared" si="2"/>
        <v>29867</v>
      </c>
      <c r="AY7" s="2">
        <f t="shared" si="2"/>
        <v>37095</v>
      </c>
      <c r="AZ7" s="2">
        <f t="shared" si="2"/>
        <v>46199</v>
      </c>
      <c r="BA7" s="2">
        <f t="shared" si="2"/>
        <v>44684</v>
      </c>
      <c r="BB7" s="2">
        <f t="shared" si="2"/>
        <v>50444</v>
      </c>
      <c r="BC7" s="2">
        <f t="shared" si="2"/>
        <v>53130</v>
      </c>
      <c r="BD7" s="2">
        <f t="shared" si="2"/>
        <v>61239</v>
      </c>
      <c r="BE7" s="2">
        <f t="shared" si="2"/>
        <v>54661</v>
      </c>
      <c r="BF7" s="2">
        <f t="shared" si="2"/>
        <v>56288</v>
      </c>
      <c r="BG7" s="2">
        <f t="shared" si="2"/>
        <v>54482</v>
      </c>
      <c r="BH7" s="2">
        <f t="shared" si="2"/>
        <v>59042</v>
      </c>
      <c r="BI7" s="2">
        <f t="shared" si="2"/>
        <v>54548</v>
      </c>
      <c r="BJ7" s="2">
        <f t="shared" si="2"/>
        <v>58143</v>
      </c>
      <c r="BK7" s="2">
        <f t="shared" si="2"/>
        <v>59647</v>
      </c>
      <c r="BL7" s="2">
        <f t="shared" si="2"/>
        <v>65517</v>
      </c>
      <c r="BM7" s="2">
        <f>SUM(BM4:BM6)</f>
        <v>61659</v>
      </c>
      <c r="BN7" s="2">
        <f t="shared" ref="BN7:BQ7" si="3">SUM(BN4:BN6)</f>
        <v>64616</v>
      </c>
      <c r="BO7" s="2">
        <f t="shared" si="3"/>
        <v>65854</v>
      </c>
      <c r="BP7" s="2">
        <f t="shared" si="3"/>
        <v>72461</v>
      </c>
      <c r="BQ7" s="2">
        <f t="shared" si="3"/>
        <v>66885</v>
      </c>
      <c r="BR7" s="35"/>
      <c r="BS7" s="35"/>
      <c r="BT7" s="35"/>
      <c r="BU7" s="35"/>
      <c r="BV7" s="35"/>
      <c r="BW7" s="35"/>
      <c r="BX7" s="35"/>
    </row>
    <row r="8" spans="2:164">
      <c r="B8" s="37" t="s">
        <v>278</v>
      </c>
      <c r="AW8" s="1">
        <v>4435</v>
      </c>
      <c r="AX8" s="1">
        <v>5124</v>
      </c>
      <c r="AY8" s="1">
        <v>5478</v>
      </c>
      <c r="AZ8" s="1">
        <f>21711-SUM(AW8:AY8)</f>
        <v>6674</v>
      </c>
      <c r="BA8" s="1">
        <v>6494</v>
      </c>
      <c r="BB8" s="1">
        <v>6623</v>
      </c>
      <c r="BC8" s="1">
        <v>6754</v>
      </c>
      <c r="BD8" s="1">
        <f>28032-SUM(BA8:BC8)</f>
        <v>8161</v>
      </c>
      <c r="BE8" s="1">
        <v>6811</v>
      </c>
      <c r="BF8" s="1">
        <v>6553</v>
      </c>
      <c r="BG8" s="1">
        <v>6895</v>
      </c>
      <c r="BH8" s="1">
        <f>29055-SUM(BE8:BG8)</f>
        <v>8796</v>
      </c>
      <c r="BI8" s="1">
        <v>7413</v>
      </c>
      <c r="BJ8" s="1">
        <v>8142</v>
      </c>
      <c r="BK8" s="1">
        <v>8339</v>
      </c>
      <c r="BL8" s="1">
        <f>34688-SUM(BI8:BK8)</f>
        <v>10794</v>
      </c>
      <c r="BM8" s="1">
        <v>8739</v>
      </c>
      <c r="BN8" s="1">
        <v>9312</v>
      </c>
      <c r="BO8" s="1">
        <v>10656</v>
      </c>
      <c r="BP8" s="1">
        <f>40340-SUM(BM8:BO8)</f>
        <v>11633</v>
      </c>
      <c r="BQ8" s="1">
        <v>10379</v>
      </c>
    </row>
    <row r="9" spans="2:164">
      <c r="B9" s="37" t="s">
        <v>271</v>
      </c>
      <c r="AW9" s="1">
        <v>2777</v>
      </c>
      <c r="AX9" s="1">
        <v>3007</v>
      </c>
      <c r="AY9" s="1">
        <v>3444</v>
      </c>
      <c r="AZ9" s="1">
        <f>13059-SUM(AW9:AY9)</f>
        <v>3831</v>
      </c>
      <c r="BA9" s="1">
        <v>4047</v>
      </c>
      <c r="BB9" s="1">
        <v>4628</v>
      </c>
      <c r="BC9" s="1">
        <v>4990</v>
      </c>
      <c r="BD9" s="1">
        <f>19206-SUM(BA9:BC9)</f>
        <v>5541</v>
      </c>
      <c r="BE9" s="1">
        <v>5821</v>
      </c>
      <c r="BF9" s="1">
        <v>6276</v>
      </c>
      <c r="BG9" s="1">
        <v>6868</v>
      </c>
      <c r="BH9" s="1">
        <f>26280-SUM(BE9:BG9)</f>
        <v>7315</v>
      </c>
      <c r="BI9" s="1">
        <v>7454</v>
      </c>
      <c r="BJ9" s="1">
        <v>8031</v>
      </c>
      <c r="BK9" s="1">
        <v>8411</v>
      </c>
      <c r="BL9" s="1">
        <f>33088-SUM(BI9:BK9)</f>
        <v>9192</v>
      </c>
      <c r="BM9" s="1">
        <v>9574</v>
      </c>
      <c r="BN9" s="1">
        <v>10347</v>
      </c>
      <c r="BO9" s="1">
        <v>11353</v>
      </c>
      <c r="BP9" s="1">
        <f>43229-SUM(BM9:BO9)</f>
        <v>11955</v>
      </c>
      <c r="BQ9" s="1">
        <v>12260</v>
      </c>
    </row>
    <row r="10" spans="2:164">
      <c r="B10" s="37" t="s">
        <v>189</v>
      </c>
      <c r="AW10" s="1">
        <v>135</v>
      </c>
      <c r="AX10" s="1">
        <v>148</v>
      </c>
      <c r="AY10" s="1">
        <v>178</v>
      </c>
      <c r="AZ10" s="1">
        <f>657-SUM(AW10:AY10)</f>
        <v>196</v>
      </c>
      <c r="BA10" s="1">
        <v>198</v>
      </c>
      <c r="BB10" s="1">
        <v>192</v>
      </c>
      <c r="BC10" s="1">
        <v>182</v>
      </c>
      <c r="BD10" s="1">
        <f>753-SUM(BA10:BC10)</f>
        <v>181</v>
      </c>
      <c r="BE10" s="1">
        <v>440</v>
      </c>
      <c r="BF10" s="1">
        <v>193</v>
      </c>
      <c r="BG10" s="1">
        <v>209</v>
      </c>
      <c r="BH10" s="1">
        <f>1068-SUM(BE10:BG10)</f>
        <v>226</v>
      </c>
      <c r="BI10" s="1">
        <v>288</v>
      </c>
      <c r="BJ10" s="1">
        <v>285</v>
      </c>
      <c r="BK10" s="1">
        <v>297</v>
      </c>
      <c r="BL10" s="1">
        <f>1527-SUM(BI10:BK10)</f>
        <v>657</v>
      </c>
      <c r="BM10" s="1">
        <v>495</v>
      </c>
      <c r="BN10" s="1">
        <v>365</v>
      </c>
      <c r="BO10" s="1">
        <v>388</v>
      </c>
      <c r="BP10" s="1">
        <f>1648-SUM(BM10:BO10)</f>
        <v>400</v>
      </c>
      <c r="BQ10" s="1">
        <v>450</v>
      </c>
    </row>
    <row r="11" spans="2:164">
      <c r="B11" s="37" t="s">
        <v>272</v>
      </c>
      <c r="AW11" s="1">
        <v>49</v>
      </c>
      <c r="AX11" s="1">
        <v>151</v>
      </c>
      <c r="AY11" s="1">
        <v>-22</v>
      </c>
      <c r="AZ11" s="1">
        <f>176-SUM(AW11:AY11)</f>
        <v>-2</v>
      </c>
      <c r="BA11" s="1">
        <v>-109</v>
      </c>
      <c r="BB11" s="1">
        <v>-7</v>
      </c>
      <c r="BC11" s="1">
        <v>62</v>
      </c>
      <c r="BD11" s="1">
        <f>149-SUM(BA11:BC11)</f>
        <v>203</v>
      </c>
      <c r="BE11" s="1">
        <v>278</v>
      </c>
      <c r="BF11" s="1">
        <v>375</v>
      </c>
      <c r="BG11" s="1">
        <v>638</v>
      </c>
      <c r="BH11" s="1">
        <f>1960-SUM(BE11:BG11)</f>
        <v>669</v>
      </c>
      <c r="BI11" s="1">
        <v>84</v>
      </c>
      <c r="BJ11" s="1">
        <v>3</v>
      </c>
      <c r="BK11" s="1">
        <v>-1</v>
      </c>
      <c r="BL11" s="1">
        <f>236-SUM(BI11:BK11)</f>
        <v>150</v>
      </c>
      <c r="BM11" s="1">
        <v>72</v>
      </c>
      <c r="BN11" s="1">
        <v>102</v>
      </c>
      <c r="BO11" s="1">
        <v>17</v>
      </c>
      <c r="BP11" s="1">
        <f>211-SUM(BM11:BO11)</f>
        <v>20</v>
      </c>
      <c r="BQ11" s="1">
        <v>260</v>
      </c>
    </row>
    <row r="12" spans="2:164" s="2" customFormat="1" ht="15">
      <c r="B12" s="34" t="s">
        <v>64</v>
      </c>
      <c r="AW12" s="2">
        <f t="shared" ref="AW12:BP12" si="4">SUM(AW7:AW11)</f>
        <v>41159</v>
      </c>
      <c r="AX12" s="2">
        <f t="shared" si="4"/>
        <v>38297</v>
      </c>
      <c r="AY12" s="2">
        <f t="shared" si="4"/>
        <v>46173</v>
      </c>
      <c r="AZ12" s="2">
        <f t="shared" si="4"/>
        <v>56898</v>
      </c>
      <c r="BA12" s="2">
        <f t="shared" si="4"/>
        <v>55314</v>
      </c>
      <c r="BB12" s="2">
        <f t="shared" si="4"/>
        <v>61880</v>
      </c>
      <c r="BC12" s="2">
        <f t="shared" si="4"/>
        <v>65118</v>
      </c>
      <c r="BD12" s="2">
        <f t="shared" si="4"/>
        <v>75325</v>
      </c>
      <c r="BE12" s="2">
        <f t="shared" si="4"/>
        <v>68011</v>
      </c>
      <c r="BF12" s="2">
        <f t="shared" si="4"/>
        <v>69685</v>
      </c>
      <c r="BG12" s="2">
        <f t="shared" si="4"/>
        <v>69092</v>
      </c>
      <c r="BH12" s="2">
        <f t="shared" si="4"/>
        <v>76048</v>
      </c>
      <c r="BI12" s="2">
        <f t="shared" si="4"/>
        <v>69787</v>
      </c>
      <c r="BJ12" s="2">
        <f t="shared" si="4"/>
        <v>74604</v>
      </c>
      <c r="BK12" s="2">
        <f t="shared" si="4"/>
        <v>76693</v>
      </c>
      <c r="BL12" s="2">
        <f t="shared" si="4"/>
        <v>86310</v>
      </c>
      <c r="BM12" s="2">
        <f t="shared" si="4"/>
        <v>80539</v>
      </c>
      <c r="BN12" s="2">
        <f t="shared" si="4"/>
        <v>84742</v>
      </c>
      <c r="BO12" s="2">
        <f t="shared" si="4"/>
        <v>88268</v>
      </c>
      <c r="BP12" s="2">
        <f t="shared" si="4"/>
        <v>96469</v>
      </c>
      <c r="BQ12" s="2">
        <f>SUM(BQ7:BQ11)</f>
        <v>90234</v>
      </c>
      <c r="BR12" s="35"/>
      <c r="BS12" s="35"/>
      <c r="BT12" s="35"/>
      <c r="BU12" s="35"/>
      <c r="BV12" s="35"/>
      <c r="BW12" s="35"/>
      <c r="BX12" s="35"/>
    </row>
    <row r="13" spans="2:164">
      <c r="B13" s="37"/>
    </row>
    <row r="14" spans="2:164">
      <c r="B14" s="38" t="s">
        <v>273</v>
      </c>
      <c r="BA14" s="52">
        <f t="shared" ref="BA14:BP14" si="5">BA4/AW4-1</f>
        <v>0.30107746306423966</v>
      </c>
      <c r="BB14" s="52">
        <f t="shared" si="5"/>
        <v>0.68136404146535945</v>
      </c>
      <c r="BC14" s="52">
        <f t="shared" si="5"/>
        <v>0.43997266307236682</v>
      </c>
      <c r="BD14" s="52">
        <f t="shared" si="5"/>
        <v>0.35727047613077145</v>
      </c>
      <c r="BE14" s="52">
        <f t="shared" si="5"/>
        <v>0.24276169265033398</v>
      </c>
      <c r="BF14" s="52">
        <f t="shared" si="5"/>
        <v>0.13513739712651684</v>
      </c>
      <c r="BG14" s="52">
        <f t="shared" si="5"/>
        <v>4.2530190370722032E-2</v>
      </c>
      <c r="BH14" s="52">
        <f t="shared" si="5"/>
        <v>-1.6096625943973542E-2</v>
      </c>
      <c r="BI14" s="52">
        <f t="shared" si="5"/>
        <v>1.8703619566863505E-2</v>
      </c>
      <c r="BJ14" s="52">
        <f t="shared" si="5"/>
        <v>4.7654157143208309E-2</v>
      </c>
      <c r="BK14" s="52">
        <f t="shared" si="5"/>
        <v>0.11348289031083225</v>
      </c>
      <c r="BL14" s="52">
        <f t="shared" si="5"/>
        <v>0.12712421368885551</v>
      </c>
      <c r="BM14" s="52">
        <f t="shared" si="5"/>
        <v>0.14363586808394668</v>
      </c>
      <c r="BN14" s="52">
        <f t="shared" si="5"/>
        <v>0.13796096462419061</v>
      </c>
      <c r="BO14" s="52">
        <f t="shared" si="5"/>
        <v>0.12172352700676869</v>
      </c>
      <c r="BP14" s="52">
        <f t="shared" si="5"/>
        <v>0.12523948354852155</v>
      </c>
      <c r="BQ14" s="52">
        <f t="shared" ref="BQ14:BQ20" si="6">BQ4/BM4-1</f>
        <v>9.8492070370049367E-2</v>
      </c>
    </row>
    <row r="15" spans="2:164">
      <c r="B15" s="38" t="s">
        <v>274</v>
      </c>
      <c r="BA15" s="52">
        <f t="shared" ref="BA15:BP15" si="7">BA5/AW5-1</f>
        <v>0.48712233779098568</v>
      </c>
      <c r="BB15" s="52">
        <f t="shared" si="7"/>
        <v>0.83683105981112282</v>
      </c>
      <c r="BC15" s="52">
        <f t="shared" si="7"/>
        <v>0.4304149295215407</v>
      </c>
      <c r="BD15" s="52">
        <f t="shared" si="7"/>
        <v>0.25388525780682647</v>
      </c>
      <c r="BE15" s="52">
        <f t="shared" si="7"/>
        <v>0.143880099916736</v>
      </c>
      <c r="BF15" s="52">
        <f t="shared" si="7"/>
        <v>4.8271922307911996E-2</v>
      </c>
      <c r="BG15" s="52">
        <f t="shared" si="7"/>
        <v>-1.8598195697432374E-2</v>
      </c>
      <c r="BH15" s="52">
        <f t="shared" si="7"/>
        <v>-7.7609174099386058E-2</v>
      </c>
      <c r="BI15" s="52">
        <f t="shared" si="7"/>
        <v>-2.5622361333527466E-2</v>
      </c>
      <c r="BJ15" s="52">
        <f t="shared" si="7"/>
        <v>4.4277929155313256E-2</v>
      </c>
      <c r="BK15" s="52">
        <f t="shared" si="7"/>
        <v>0.12459340970159816</v>
      </c>
      <c r="BL15" s="52">
        <f t="shared" si="7"/>
        <v>0.15534346351877426</v>
      </c>
      <c r="BM15" s="52">
        <f t="shared" si="7"/>
        <v>0.20872553414014638</v>
      </c>
      <c r="BN15" s="52">
        <f t="shared" si="7"/>
        <v>0.13020221787345077</v>
      </c>
      <c r="BO15" s="52">
        <f t="shared" si="7"/>
        <v>0.12185613682092544</v>
      </c>
      <c r="BP15" s="52">
        <f t="shared" si="7"/>
        <v>0.1383695652173913</v>
      </c>
      <c r="BQ15" s="52">
        <f t="shared" si="6"/>
        <v>0.10346106304079106</v>
      </c>
    </row>
    <row r="16" spans="2:164">
      <c r="B16" s="38" t="s">
        <v>275</v>
      </c>
      <c r="BA16" s="52">
        <f t="shared" ref="BA16:BP16" si="8">BA6/AW6-1</f>
        <v>0.30193375454719518</v>
      </c>
      <c r="BB16" s="52">
        <f t="shared" si="8"/>
        <v>0.60409628378378377</v>
      </c>
      <c r="BC16" s="52">
        <f t="shared" si="8"/>
        <v>0.3984265734265735</v>
      </c>
      <c r="BD16" s="52">
        <f t="shared" si="8"/>
        <v>0.25556605046552416</v>
      </c>
      <c r="BE16" s="52">
        <f t="shared" si="8"/>
        <v>0.20205882352941185</v>
      </c>
      <c r="BF16" s="52">
        <f t="shared" si="8"/>
        <v>8.7139660392260065E-2</v>
      </c>
      <c r="BG16" s="52">
        <f t="shared" si="8"/>
        <v>-1.587698462307785E-2</v>
      </c>
      <c r="BH16" s="52">
        <f t="shared" si="8"/>
        <v>-8.9199355185384244E-2</v>
      </c>
      <c r="BI16" s="52">
        <f t="shared" si="8"/>
        <v>-8.294592610716911E-2</v>
      </c>
      <c r="BJ16" s="52">
        <f t="shared" si="8"/>
        <v>-4.9521733866085493E-2</v>
      </c>
      <c r="BK16" s="52">
        <f t="shared" si="8"/>
        <v>-2.5787601626016232E-2</v>
      </c>
      <c r="BL16" s="52">
        <f t="shared" si="8"/>
        <v>-2.1002949852507391E-2</v>
      </c>
      <c r="BM16" s="52">
        <f t="shared" si="8"/>
        <v>-1.1072572038420492E-2</v>
      </c>
      <c r="BN16" s="52">
        <f t="shared" si="8"/>
        <v>-5.1719745222929991E-2</v>
      </c>
      <c r="BO16" s="52">
        <f t="shared" si="8"/>
        <v>-1.5777806754466051E-2</v>
      </c>
      <c r="BP16" s="52">
        <f t="shared" si="8"/>
        <v>-4.1340243461492121E-2</v>
      </c>
      <c r="BQ16" s="52">
        <f t="shared" si="6"/>
        <v>-2.1179009847565045E-2</v>
      </c>
    </row>
    <row r="17" spans="2:76" s="2" customFormat="1" ht="15">
      <c r="B17" s="34" t="s">
        <v>276</v>
      </c>
      <c r="BA17" s="53">
        <f t="shared" ref="BA17:BP17" si="9">BA7/AW7-1</f>
        <v>0.32346059295678709</v>
      </c>
      <c r="BB17" s="53">
        <f t="shared" si="9"/>
        <v>0.68895436434861224</v>
      </c>
      <c r="BC17" s="53">
        <f t="shared" si="9"/>
        <v>0.43226849979781634</v>
      </c>
      <c r="BD17" s="53">
        <f t="shared" si="9"/>
        <v>0.32554817203835573</v>
      </c>
      <c r="BE17" s="53">
        <f t="shared" si="9"/>
        <v>0.22327902604959271</v>
      </c>
      <c r="BF17" s="53">
        <f t="shared" si="9"/>
        <v>0.11585124098009669</v>
      </c>
      <c r="BG17" s="53">
        <f t="shared" si="9"/>
        <v>2.5447016751364515E-2</v>
      </c>
      <c r="BH17" s="53">
        <f t="shared" si="9"/>
        <v>-3.5875830761442851E-2</v>
      </c>
      <c r="BI17" s="53">
        <f t="shared" si="9"/>
        <v>-2.0672874627247761E-3</v>
      </c>
      <c r="BJ17" s="53">
        <f t="shared" si="9"/>
        <v>3.2955514496873173E-2</v>
      </c>
      <c r="BK17" s="53">
        <f t="shared" si="9"/>
        <v>9.4801952938585288E-2</v>
      </c>
      <c r="BL17" s="53">
        <f t="shared" si="9"/>
        <v>0.10966769418380129</v>
      </c>
      <c r="BM17" s="53">
        <f t="shared" si="9"/>
        <v>0.13036224976167787</v>
      </c>
      <c r="BN17" s="53">
        <f t="shared" si="9"/>
        <v>0.11132896479369836</v>
      </c>
      <c r="BO17" s="53">
        <f t="shared" si="9"/>
        <v>0.10406223280299098</v>
      </c>
      <c r="BP17" s="53">
        <f t="shared" si="9"/>
        <v>0.10598775890226975</v>
      </c>
      <c r="BQ17" s="53">
        <f t="shared" si="6"/>
        <v>8.4756483238456637E-2</v>
      </c>
      <c r="BR17" s="35"/>
      <c r="BS17" s="35"/>
      <c r="BT17" s="35"/>
      <c r="BU17" s="35"/>
      <c r="BV17" s="35"/>
      <c r="BW17" s="35"/>
      <c r="BX17" s="35"/>
    </row>
    <row r="18" spans="2:76">
      <c r="B18" s="38" t="s">
        <v>277</v>
      </c>
      <c r="BA18" s="52">
        <f t="shared" ref="BA18:BP18" si="10">BA8/AW8-1</f>
        <v>0.46426155580608786</v>
      </c>
      <c r="BB18" s="52">
        <f t="shared" si="10"/>
        <v>0.29254488680718183</v>
      </c>
      <c r="BC18" s="52">
        <f t="shared" si="10"/>
        <v>0.23293172690763053</v>
      </c>
      <c r="BD18" s="52">
        <f t="shared" si="10"/>
        <v>0.22280491459394658</v>
      </c>
      <c r="BE18" s="52">
        <f t="shared" si="10"/>
        <v>4.8814290113951442E-2</v>
      </c>
      <c r="BF18" s="52">
        <f t="shared" si="10"/>
        <v>-1.0569228446323464E-2</v>
      </c>
      <c r="BG18" s="52">
        <f t="shared" si="10"/>
        <v>2.0876517619188739E-2</v>
      </c>
      <c r="BH18" s="52">
        <f t="shared" si="10"/>
        <v>7.7809092023036319E-2</v>
      </c>
      <c r="BI18" s="52">
        <f t="shared" si="10"/>
        <v>8.8386433710174739E-2</v>
      </c>
      <c r="BJ18" s="52">
        <f t="shared" si="10"/>
        <v>0.24248435830917137</v>
      </c>
      <c r="BK18" s="52">
        <f t="shared" si="10"/>
        <v>0.20942712110224804</v>
      </c>
      <c r="BL18" s="52">
        <f t="shared" si="10"/>
        <v>0.22714870395634379</v>
      </c>
      <c r="BM18" s="52">
        <f t="shared" si="10"/>
        <v>0.17887494941319293</v>
      </c>
      <c r="BN18" s="52">
        <f t="shared" si="10"/>
        <v>0.14369933677229185</v>
      </c>
      <c r="BO18" s="52">
        <f t="shared" si="10"/>
        <v>0.2778510612783307</v>
      </c>
      <c r="BP18" s="52">
        <f t="shared" si="10"/>
        <v>7.772836761163604E-2</v>
      </c>
      <c r="BQ18" s="52">
        <f t="shared" si="6"/>
        <v>0.18766449250486317</v>
      </c>
    </row>
    <row r="19" spans="2:76">
      <c r="B19" s="38" t="s">
        <v>279</v>
      </c>
      <c r="BA19" s="52">
        <f t="shared" ref="BA19:BP19" si="11">BA9/AW9-1</f>
        <v>0.4573280518545193</v>
      </c>
      <c r="BB19" s="52">
        <f t="shared" si="11"/>
        <v>0.53907549052211512</v>
      </c>
      <c r="BC19" s="52">
        <f t="shared" si="11"/>
        <v>0.44889663182346107</v>
      </c>
      <c r="BD19" s="52">
        <f t="shared" si="11"/>
        <v>0.44635865309318712</v>
      </c>
      <c r="BE19" s="52">
        <f t="shared" si="11"/>
        <v>0.4383493946132937</v>
      </c>
      <c r="BF19" s="52">
        <f t="shared" si="11"/>
        <v>0.35609334485738975</v>
      </c>
      <c r="BG19" s="52">
        <f t="shared" si="11"/>
        <v>0.37635270541082155</v>
      </c>
      <c r="BH19" s="52">
        <f t="shared" si="11"/>
        <v>0.3201588160981772</v>
      </c>
      <c r="BI19" s="52">
        <f t="shared" si="11"/>
        <v>0.28053599037965982</v>
      </c>
      <c r="BJ19" s="52">
        <f t="shared" si="11"/>
        <v>0.2796367112810707</v>
      </c>
      <c r="BK19" s="52">
        <f t="shared" si="11"/>
        <v>0.22466511357018049</v>
      </c>
      <c r="BL19" s="52">
        <f t="shared" si="11"/>
        <v>0.25659603554340404</v>
      </c>
      <c r="BM19" s="52">
        <f t="shared" si="11"/>
        <v>0.28441105446740012</v>
      </c>
      <c r="BN19" s="52">
        <f t="shared" si="11"/>
        <v>0.28838251774374291</v>
      </c>
      <c r="BO19" s="52">
        <f t="shared" si="11"/>
        <v>0.34978004993460954</v>
      </c>
      <c r="BP19" s="52">
        <f t="shared" si="11"/>
        <v>0.3005874673629243</v>
      </c>
      <c r="BQ19" s="52">
        <f t="shared" si="6"/>
        <v>0.28055149362857734</v>
      </c>
    </row>
    <row r="20" spans="2:76">
      <c r="B20" s="38" t="s">
        <v>280</v>
      </c>
      <c r="BA20" s="52">
        <f t="shared" ref="BA20:BP20" si="12">BA10/AW10-1</f>
        <v>0.46666666666666656</v>
      </c>
      <c r="BB20" s="52">
        <f t="shared" si="12"/>
        <v>0.29729729729729737</v>
      </c>
      <c r="BC20" s="52">
        <f t="shared" si="12"/>
        <v>2.2471910112359605E-2</v>
      </c>
      <c r="BD20" s="52">
        <f t="shared" si="12"/>
        <v>-7.6530612244897989E-2</v>
      </c>
      <c r="BE20" s="52">
        <f t="shared" si="12"/>
        <v>1.2222222222222223</v>
      </c>
      <c r="BF20" s="52">
        <f t="shared" si="12"/>
        <v>5.2083333333332593E-3</v>
      </c>
      <c r="BG20" s="52">
        <f t="shared" si="12"/>
        <v>0.14835164835164827</v>
      </c>
      <c r="BH20" s="52">
        <f t="shared" si="12"/>
        <v>0.24861878453038666</v>
      </c>
      <c r="BI20" s="52">
        <f t="shared" si="12"/>
        <v>-0.34545454545454546</v>
      </c>
      <c r="BJ20" s="52">
        <f t="shared" si="12"/>
        <v>0.47668393782383411</v>
      </c>
      <c r="BK20" s="52">
        <f t="shared" si="12"/>
        <v>0.42105263157894735</v>
      </c>
      <c r="BL20" s="52">
        <f t="shared" si="12"/>
        <v>1.9070796460176993</v>
      </c>
      <c r="BM20" s="52">
        <f t="shared" si="12"/>
        <v>0.71875</v>
      </c>
      <c r="BN20" s="52">
        <f t="shared" si="12"/>
        <v>0.2807017543859649</v>
      </c>
      <c r="BO20" s="52">
        <f t="shared" si="12"/>
        <v>0.30639730639730645</v>
      </c>
      <c r="BP20" s="52">
        <f t="shared" si="12"/>
        <v>-0.39117199391171997</v>
      </c>
      <c r="BQ20" s="52">
        <f t="shared" si="6"/>
        <v>-9.0909090909090939E-2</v>
      </c>
    </row>
    <row r="21" spans="2:76" s="2" customFormat="1" ht="15">
      <c r="B21" s="34" t="s">
        <v>281</v>
      </c>
      <c r="BA21" s="53">
        <f t="shared" ref="BA21:BQ21" si="13">BA12/AW12-1</f>
        <v>0.34391020189994892</v>
      </c>
      <c r="BB21" s="53">
        <f t="shared" si="13"/>
        <v>0.61579235971486024</v>
      </c>
      <c r="BC21" s="53">
        <f t="shared" si="13"/>
        <v>0.41030472353973102</v>
      </c>
      <c r="BD21" s="53">
        <f t="shared" si="13"/>
        <v>0.32386024113325607</v>
      </c>
      <c r="BE21" s="53">
        <f t="shared" si="13"/>
        <v>0.22954405756228069</v>
      </c>
      <c r="BF21" s="53">
        <f t="shared" si="13"/>
        <v>0.12613122171945701</v>
      </c>
      <c r="BG21" s="53">
        <f t="shared" si="13"/>
        <v>6.1027672840074931E-2</v>
      </c>
      <c r="BH21" s="53">
        <f t="shared" si="13"/>
        <v>9.5984069034185104E-3</v>
      </c>
      <c r="BI21" s="53">
        <f t="shared" si="13"/>
        <v>2.6113422828660138E-2</v>
      </c>
      <c r="BJ21" s="53">
        <f t="shared" si="13"/>
        <v>7.0589079428858392E-2</v>
      </c>
      <c r="BK21" s="53">
        <f t="shared" si="13"/>
        <v>0.11001273664100042</v>
      </c>
      <c r="BL21" s="53">
        <f t="shared" si="13"/>
        <v>0.13494108983799702</v>
      </c>
      <c r="BM21" s="53">
        <f t="shared" si="13"/>
        <v>0.15406880937710454</v>
      </c>
      <c r="BN21" s="53">
        <f t="shared" si="13"/>
        <v>0.13589083695244231</v>
      </c>
      <c r="BO21" s="53">
        <f t="shared" si="13"/>
        <v>0.15092642092498654</v>
      </c>
      <c r="BP21" s="53">
        <f t="shared" si="13"/>
        <v>0.11770362646275045</v>
      </c>
      <c r="BQ21" s="53">
        <f t="shared" si="13"/>
        <v>0.12037646357665222</v>
      </c>
      <c r="BR21" s="35"/>
      <c r="BS21" s="35"/>
      <c r="BT21" s="35"/>
      <c r="BU21" s="35"/>
      <c r="BV21" s="35"/>
      <c r="BW21" s="35"/>
      <c r="BX21" s="35"/>
    </row>
    <row r="23" spans="2:76">
      <c r="B23" s="38" t="s">
        <v>282</v>
      </c>
      <c r="AW23" s="52">
        <f t="shared" ref="AW23:BP23" si="14">AW4/AW12</f>
        <v>0.5953011492018756</v>
      </c>
      <c r="AX23" s="52">
        <f t="shared" si="14"/>
        <v>0.55667545760764547</v>
      </c>
      <c r="AY23" s="52">
        <f t="shared" si="14"/>
        <v>0.57041994239057459</v>
      </c>
      <c r="AZ23" s="52">
        <f t="shared" si="14"/>
        <v>0.56070512144539353</v>
      </c>
      <c r="BA23" s="52">
        <f t="shared" si="14"/>
        <v>0.57632787359438842</v>
      </c>
      <c r="BB23" s="52">
        <f t="shared" si="14"/>
        <v>0.57926632191338079</v>
      </c>
      <c r="BC23" s="52">
        <f t="shared" si="14"/>
        <v>0.58241960748180222</v>
      </c>
      <c r="BD23" s="52">
        <f t="shared" si="14"/>
        <v>0.5748556256223033</v>
      </c>
      <c r="BE23" s="52">
        <f t="shared" si="14"/>
        <v>0.58252341532987306</v>
      </c>
      <c r="BF23" s="52">
        <f t="shared" si="14"/>
        <v>0.58389897395422252</v>
      </c>
      <c r="BG23" s="52">
        <f t="shared" si="14"/>
        <v>0.57226596422161757</v>
      </c>
      <c r="BH23" s="52">
        <f t="shared" si="14"/>
        <v>0.56022512097622557</v>
      </c>
      <c r="BI23" s="52">
        <f t="shared" si="14"/>
        <v>0.57831687850172664</v>
      </c>
      <c r="BJ23" s="52">
        <f t="shared" si="14"/>
        <v>0.57139027397994746</v>
      </c>
      <c r="BK23" s="52">
        <f t="shared" si="14"/>
        <v>0.574054998500515</v>
      </c>
      <c r="BL23" s="52">
        <f t="shared" si="14"/>
        <v>0.55636658556366581</v>
      </c>
      <c r="BM23" s="52">
        <f t="shared" si="14"/>
        <v>0.57308881411490087</v>
      </c>
      <c r="BN23" s="52">
        <f t="shared" si="14"/>
        <v>0.57243161596374881</v>
      </c>
      <c r="BO23" s="52">
        <f t="shared" si="14"/>
        <v>0.55948928263923503</v>
      </c>
      <c r="BP23" s="52">
        <f t="shared" si="14"/>
        <v>0.5601177580362604</v>
      </c>
      <c r="BQ23" s="52">
        <f>BQ4/BQ12</f>
        <v>0.56189462951880664</v>
      </c>
    </row>
    <row r="24" spans="2:76">
      <c r="B24" s="38" t="s">
        <v>283</v>
      </c>
      <c r="AW24" s="52">
        <f t="shared" ref="AW24:BP24" si="15">AW8/AW12</f>
        <v>0.10775286085667776</v>
      </c>
      <c r="AX24" s="52">
        <f t="shared" si="15"/>
        <v>0.13379638091756535</v>
      </c>
      <c r="AY24" s="52">
        <f t="shared" si="15"/>
        <v>0.11864076408290559</v>
      </c>
      <c r="AZ24" s="52">
        <f t="shared" si="15"/>
        <v>0.11729762030299835</v>
      </c>
      <c r="BA24" s="52">
        <f t="shared" si="15"/>
        <v>0.11740246592182811</v>
      </c>
      <c r="BB24" s="52">
        <f t="shared" si="15"/>
        <v>0.10702973497091144</v>
      </c>
      <c r="BC24" s="52">
        <f t="shared" si="15"/>
        <v>0.10371940170152646</v>
      </c>
      <c r="BD24" s="52">
        <f t="shared" si="15"/>
        <v>0.10834384334550282</v>
      </c>
      <c r="BE24" s="52">
        <f t="shared" si="15"/>
        <v>0.10014556468806517</v>
      </c>
      <c r="BF24" s="52">
        <f t="shared" si="15"/>
        <v>9.4037454258448727E-2</v>
      </c>
      <c r="BG24" s="52">
        <f t="shared" si="15"/>
        <v>9.9794476929311648E-2</v>
      </c>
      <c r="BH24" s="52">
        <f t="shared" si="15"/>
        <v>0.11566379128971176</v>
      </c>
      <c r="BI24" s="52">
        <f t="shared" si="15"/>
        <v>0.10622322209007408</v>
      </c>
      <c r="BJ24" s="52">
        <f t="shared" si="15"/>
        <v>0.10913623934373493</v>
      </c>
      <c r="BK24" s="52">
        <f t="shared" si="15"/>
        <v>0.10873221806423011</v>
      </c>
      <c r="BL24" s="52">
        <f t="shared" si="15"/>
        <v>0.12506082725060827</v>
      </c>
      <c r="BM24" s="52">
        <f t="shared" si="15"/>
        <v>0.10850643787481841</v>
      </c>
      <c r="BN24" s="52">
        <f t="shared" si="15"/>
        <v>0.10988647895966581</v>
      </c>
      <c r="BO24" s="52">
        <f t="shared" si="15"/>
        <v>0.12072325191462364</v>
      </c>
      <c r="BP24" s="52">
        <f t="shared" si="15"/>
        <v>0.12058796089935626</v>
      </c>
      <c r="BQ24" s="52">
        <f>BQ8/BQ12</f>
        <v>0.11502316200101957</v>
      </c>
    </row>
    <row r="25" spans="2:76">
      <c r="B25" s="38" t="s">
        <v>284</v>
      </c>
      <c r="AW25" s="52">
        <f t="shared" ref="AW25:BP25" si="16">AW9/AW12</f>
        <v>6.7470055151971617E-2</v>
      </c>
      <c r="AX25" s="52">
        <f t="shared" si="16"/>
        <v>7.8517899574379199E-2</v>
      </c>
      <c r="AY25" s="52">
        <f t="shared" si="16"/>
        <v>7.4589045546098368E-2</v>
      </c>
      <c r="AZ25" s="52">
        <f t="shared" si="16"/>
        <v>6.7331013392386382E-2</v>
      </c>
      <c r="BA25" s="52">
        <f t="shared" si="16"/>
        <v>7.3164117583251975E-2</v>
      </c>
      <c r="BB25" s="52">
        <f t="shared" si="16"/>
        <v>7.4789915966386553E-2</v>
      </c>
      <c r="BC25" s="52">
        <f t="shared" si="16"/>
        <v>7.6630117632605424E-2</v>
      </c>
      <c r="BD25" s="52">
        <f t="shared" si="16"/>
        <v>7.3561234649850649E-2</v>
      </c>
      <c r="BE25" s="52">
        <f t="shared" si="16"/>
        <v>8.5589095881548574E-2</v>
      </c>
      <c r="BF25" s="52">
        <f t="shared" si="16"/>
        <v>9.0062423764081218E-2</v>
      </c>
      <c r="BG25" s="52">
        <f t="shared" si="16"/>
        <v>9.9403693625890119E-2</v>
      </c>
      <c r="BH25" s="52">
        <f t="shared" si="16"/>
        <v>9.6189248895434468E-2</v>
      </c>
      <c r="BI25" s="52">
        <f t="shared" si="16"/>
        <v>0.10681072406035508</v>
      </c>
      <c r="BJ25" s="52">
        <f t="shared" si="16"/>
        <v>0.10764838346469358</v>
      </c>
      <c r="BK25" s="52">
        <f t="shared" si="16"/>
        <v>0.10967102603888229</v>
      </c>
      <c r="BL25" s="52">
        <f t="shared" si="16"/>
        <v>0.10649982620785541</v>
      </c>
      <c r="BM25" s="52">
        <f t="shared" si="16"/>
        <v>0.11887408584660848</v>
      </c>
      <c r="BN25" s="52">
        <f t="shared" si="16"/>
        <v>0.1221000212409431</v>
      </c>
      <c r="BO25" s="52">
        <f t="shared" si="16"/>
        <v>0.12861965831331854</v>
      </c>
      <c r="BP25" s="52">
        <f t="shared" si="16"/>
        <v>0.12392582072997543</v>
      </c>
      <c r="BQ25" s="52">
        <f>BQ9/BQ12</f>
        <v>0.13586896291863376</v>
      </c>
    </row>
    <row r="26" spans="2:76">
      <c r="B26" s="38" t="s">
        <v>285</v>
      </c>
      <c r="AW26" s="52">
        <f t="shared" ref="AW26:BP26" si="17">AW10/AW12</f>
        <v>3.2799630700454338E-3</v>
      </c>
      <c r="AX26" s="52">
        <f t="shared" si="17"/>
        <v>3.8645324699062588E-3</v>
      </c>
      <c r="AY26" s="52">
        <f t="shared" si="17"/>
        <v>3.8550668139388819E-3</v>
      </c>
      <c r="AZ26" s="52">
        <f t="shared" si="17"/>
        <v>3.4447608000281204E-3</v>
      </c>
      <c r="BA26" s="52">
        <f t="shared" si="17"/>
        <v>3.5795639440286365E-3</v>
      </c>
      <c r="BB26" s="52">
        <f t="shared" si="17"/>
        <v>3.1027795733678085E-3</v>
      </c>
      <c r="BC26" s="52">
        <f t="shared" si="17"/>
        <v>2.7949261340950273E-3</v>
      </c>
      <c r="BD26" s="52">
        <f t="shared" si="17"/>
        <v>2.4029206770660471E-3</v>
      </c>
      <c r="BE26" s="52">
        <f t="shared" si="17"/>
        <v>6.4695416917851523E-3</v>
      </c>
      <c r="BF26" s="52">
        <f t="shared" si="17"/>
        <v>2.7696060845232118E-3</v>
      </c>
      <c r="BG26" s="52">
        <f t="shared" si="17"/>
        <v>3.0249522375962487E-3</v>
      </c>
      <c r="BH26" s="52">
        <f t="shared" si="17"/>
        <v>2.9718072796128762E-3</v>
      </c>
      <c r="BI26" s="52">
        <f t="shared" si="17"/>
        <v>4.1268431083153019E-3</v>
      </c>
      <c r="BJ26" s="52">
        <f t="shared" si="17"/>
        <v>3.8201705002412741E-3</v>
      </c>
      <c r="BK26" s="52">
        <f t="shared" si="17"/>
        <v>3.8725828954402617E-3</v>
      </c>
      <c r="BL26" s="52">
        <f t="shared" si="17"/>
        <v>7.6120959332638162E-3</v>
      </c>
      <c r="BM26" s="52">
        <f t="shared" si="17"/>
        <v>6.1460907138156671E-3</v>
      </c>
      <c r="BN26" s="52">
        <f t="shared" si="17"/>
        <v>4.3071912392910246E-3</v>
      </c>
      <c r="BO26" s="52">
        <f t="shared" si="17"/>
        <v>4.395703992386822E-3</v>
      </c>
      <c r="BP26" s="52">
        <f t="shared" si="17"/>
        <v>4.146409727477221E-3</v>
      </c>
      <c r="BQ26" s="52">
        <f>BQ10/BQ12</f>
        <v>4.9870337123478952E-3</v>
      </c>
    </row>
    <row r="27" spans="2:76">
      <c r="B27" s="38" t="s">
        <v>286</v>
      </c>
      <c r="AW27" s="52">
        <f t="shared" ref="AW27:BP27" si="18">AW11/AW12</f>
        <v>1.190505114312787E-3</v>
      </c>
      <c r="AX27" s="52">
        <f t="shared" si="18"/>
        <v>3.9428675875394937E-3</v>
      </c>
      <c r="AY27" s="52">
        <f t="shared" si="18"/>
        <v>-4.7646893205986182E-4</v>
      </c>
      <c r="AZ27" s="52">
        <f t="shared" si="18"/>
        <v>-3.5150620408450207E-5</v>
      </c>
      <c r="BA27" s="52">
        <f t="shared" si="18"/>
        <v>-1.9705680297935424E-3</v>
      </c>
      <c r="BB27" s="52">
        <f t="shared" si="18"/>
        <v>-1.1312217194570136E-4</v>
      </c>
      <c r="BC27" s="52">
        <f t="shared" si="18"/>
        <v>9.5211769403237198E-4</v>
      </c>
      <c r="BD27" s="52">
        <f t="shared" si="18"/>
        <v>2.6949883836707603E-3</v>
      </c>
      <c r="BE27" s="52">
        <f t="shared" si="18"/>
        <v>4.0875740689006188E-3</v>
      </c>
      <c r="BF27" s="52">
        <f t="shared" si="18"/>
        <v>5.3813589725191938E-3</v>
      </c>
      <c r="BG27" s="52">
        <f t="shared" si="18"/>
        <v>9.2340647252938113E-3</v>
      </c>
      <c r="BH27" s="52">
        <f t="shared" si="18"/>
        <v>8.7970755312434257E-3</v>
      </c>
      <c r="BI27" s="52">
        <f t="shared" si="18"/>
        <v>1.2036625732586299E-3</v>
      </c>
      <c r="BJ27" s="52">
        <f t="shared" si="18"/>
        <v>4.0212321055171307E-5</v>
      </c>
      <c r="BK27" s="52">
        <f t="shared" si="18"/>
        <v>-1.303899964794701E-5</v>
      </c>
      <c r="BL27" s="52">
        <f t="shared" si="18"/>
        <v>1.7379214459506431E-3</v>
      </c>
      <c r="BM27" s="52">
        <f t="shared" si="18"/>
        <v>8.9397683110046069E-4</v>
      </c>
      <c r="BN27" s="52">
        <f t="shared" si="18"/>
        <v>1.2036534422128343E-3</v>
      </c>
      <c r="BO27" s="52">
        <f t="shared" si="18"/>
        <v>1.9259527801694838E-4</v>
      </c>
      <c r="BP27" s="52">
        <f t="shared" si="18"/>
        <v>2.0732048637386104E-4</v>
      </c>
      <c r="BQ27" s="52">
        <f>BQ11/BQ12</f>
        <v>2.8813972560232286E-3</v>
      </c>
    </row>
    <row r="29" spans="2:76">
      <c r="B29" s="37" t="s">
        <v>66</v>
      </c>
      <c r="AW29" s="1">
        <v>18870</v>
      </c>
      <c r="AX29" s="1">
        <v>17999</v>
      </c>
      <c r="AY29" s="1">
        <v>21442</v>
      </c>
      <c r="AZ29" s="1">
        <f>85014-SUM(AW29:AY29)</f>
        <v>26703</v>
      </c>
      <c r="BA29" s="1">
        <v>25032</v>
      </c>
      <c r="BB29" s="1">
        <v>28208</v>
      </c>
      <c r="BC29" s="1">
        <v>29824</v>
      </c>
      <c r="BD29" s="1">
        <f>117854-SUM(BA29:BC29)</f>
        <v>34790</v>
      </c>
      <c r="BE29" s="1">
        <v>31733</v>
      </c>
      <c r="BF29" s="1">
        <v>32727</v>
      </c>
      <c r="BG29" s="1">
        <v>33372</v>
      </c>
      <c r="BH29" s="1">
        <f>134814-SUM(BE29:BG29)</f>
        <v>36982</v>
      </c>
      <c r="BI29" s="1">
        <v>32864</v>
      </c>
      <c r="BJ29" s="1">
        <v>35073</v>
      </c>
      <c r="BK29" s="1">
        <v>36354</v>
      </c>
      <c r="BL29" s="1">
        <f>146286-SUM(BI29:BK29)</f>
        <v>41995</v>
      </c>
      <c r="BM29" s="1">
        <v>38737</v>
      </c>
      <c r="BN29" s="1">
        <v>41196</v>
      </c>
      <c r="BO29" s="1">
        <v>43139</v>
      </c>
      <c r="BP29" s="1">
        <f>170447-SUM(BM29:BO29)</f>
        <v>47375</v>
      </c>
      <c r="BQ29" s="1">
        <v>43964</v>
      </c>
    </row>
    <row r="30" spans="2:76">
      <c r="B30" s="37" t="s">
        <v>287</v>
      </c>
      <c r="AW30" s="1">
        <v>12845</v>
      </c>
      <c r="AX30" s="1">
        <v>11363</v>
      </c>
      <c r="AY30" s="1">
        <v>13924</v>
      </c>
      <c r="AZ30" s="1">
        <f>55370-SUM(AW30:AY30)</f>
        <v>17238</v>
      </c>
      <c r="BA30" s="1">
        <v>17031</v>
      </c>
      <c r="BB30" s="1">
        <v>19084</v>
      </c>
      <c r="BC30" s="1">
        <v>19839</v>
      </c>
      <c r="BD30" s="1">
        <f>79107-SUM(BA30:BC30)</f>
        <v>23153</v>
      </c>
      <c r="BE30" s="1">
        <v>20317</v>
      </c>
      <c r="BF30" s="1">
        <v>20533</v>
      </c>
      <c r="BG30" s="1">
        <v>19450</v>
      </c>
      <c r="BH30" s="1">
        <f>82062-SUM(BE30:BG30)</f>
        <v>21762</v>
      </c>
      <c r="BI30" s="1">
        <v>21078</v>
      </c>
      <c r="BJ30" s="1">
        <v>22289</v>
      </c>
      <c r="BK30" s="1">
        <v>22661</v>
      </c>
      <c r="BL30" s="1">
        <f>91038-SUM(BI30:BK30)</f>
        <v>25010</v>
      </c>
      <c r="BM30" s="1">
        <v>23788</v>
      </c>
      <c r="BN30" s="1">
        <v>24683</v>
      </c>
      <c r="BO30" s="1">
        <v>25472</v>
      </c>
      <c r="BP30" s="1">
        <f>102127-SUM(BM30:BO30)</f>
        <v>28184</v>
      </c>
      <c r="BQ30" s="1">
        <v>25923</v>
      </c>
    </row>
    <row r="31" spans="2:76">
      <c r="B31" s="37" t="s">
        <v>288</v>
      </c>
      <c r="AW31" s="1">
        <v>7238</v>
      </c>
      <c r="AX31" s="1">
        <v>6945</v>
      </c>
      <c r="AY31" s="1">
        <v>8458</v>
      </c>
      <c r="AZ31" s="1">
        <f>32550-SUM(AW31:AY31)</f>
        <v>9909</v>
      </c>
      <c r="BA31" s="1">
        <v>10455</v>
      </c>
      <c r="BB31" s="1">
        <v>11231</v>
      </c>
      <c r="BC31" s="1">
        <v>11705</v>
      </c>
      <c r="BD31" s="1">
        <f>46123-SUM(BA31:BC31)</f>
        <v>12732</v>
      </c>
      <c r="BE31" s="1">
        <v>11841</v>
      </c>
      <c r="BF31" s="1">
        <v>11710</v>
      </c>
      <c r="BG31" s="1">
        <v>11494</v>
      </c>
      <c r="BH31" s="1">
        <f>47024-SUM(BE31:BG31)</f>
        <v>11979</v>
      </c>
      <c r="BI31" s="1">
        <v>11681</v>
      </c>
      <c r="BJ31" s="1">
        <v>12728</v>
      </c>
      <c r="BK31" s="1">
        <v>13126</v>
      </c>
      <c r="BL31" s="1">
        <f>51514-SUM(BI31:BK31)</f>
        <v>13979</v>
      </c>
      <c r="BM31" s="1">
        <v>13289</v>
      </c>
      <c r="BN31" s="1">
        <v>13823</v>
      </c>
      <c r="BO31" s="1">
        <v>14547</v>
      </c>
      <c r="BP31" s="1">
        <f>56815-SUM(BM31:BO31)</f>
        <v>15156</v>
      </c>
      <c r="BQ31" s="1">
        <v>14854</v>
      </c>
    </row>
    <row r="32" spans="2:76">
      <c r="B32" s="37" t="s">
        <v>289</v>
      </c>
      <c r="AW32" s="1">
        <v>2157</v>
      </c>
      <c r="AX32" s="1">
        <v>1839</v>
      </c>
      <c r="AY32" s="1">
        <v>2371</v>
      </c>
      <c r="AZ32" s="1">
        <f>9417-SUM(AW32:AY32)</f>
        <v>3050</v>
      </c>
      <c r="BA32" s="1">
        <v>2905</v>
      </c>
      <c r="BB32" s="1">
        <v>3364</v>
      </c>
      <c r="BC32" s="1">
        <v>3688</v>
      </c>
      <c r="BD32" s="1">
        <f>14404-SUM(BA32:BC32)</f>
        <v>4447</v>
      </c>
      <c r="BE32" s="1">
        <v>3842</v>
      </c>
      <c r="BF32" s="1">
        <v>4340</v>
      </c>
      <c r="BG32" s="1">
        <v>4138</v>
      </c>
      <c r="BH32" s="1">
        <f>16976-SUM(BE32:BG32)</f>
        <v>4656</v>
      </c>
      <c r="BI32" s="1">
        <v>4080</v>
      </c>
      <c r="BJ32" s="1">
        <v>4511</v>
      </c>
      <c r="BK32" s="1">
        <v>4553</v>
      </c>
      <c r="BL32" s="1">
        <f>18320-SUM(BI32:BK32)</f>
        <v>5176</v>
      </c>
      <c r="BM32" s="1">
        <v>4653</v>
      </c>
      <c r="BN32" s="1">
        <v>4938</v>
      </c>
      <c r="BO32" s="1">
        <v>5093</v>
      </c>
      <c r="BP32" s="1">
        <f>20418-SUM(BM32:BO32)</f>
        <v>5734</v>
      </c>
      <c r="BQ32" s="1">
        <v>5233</v>
      </c>
    </row>
    <row r="33" spans="2:76">
      <c r="B33" s="37" t="s">
        <v>272</v>
      </c>
      <c r="AW33" s="1">
        <v>49</v>
      </c>
      <c r="AX33" s="1">
        <v>151</v>
      </c>
      <c r="AY33" s="1">
        <v>-22</v>
      </c>
      <c r="AZ33" s="1">
        <f>176-SUM(AW33:AY33)</f>
        <v>-2</v>
      </c>
      <c r="BA33" s="1">
        <v>-109</v>
      </c>
      <c r="BB33" s="1">
        <v>-7</v>
      </c>
      <c r="BC33" s="1">
        <v>62</v>
      </c>
      <c r="BD33" s="1">
        <f>149-SUM(BA33:BC33)</f>
        <v>203</v>
      </c>
      <c r="BE33" s="1">
        <v>278</v>
      </c>
      <c r="BF33" s="1">
        <v>375</v>
      </c>
      <c r="BG33" s="1">
        <v>638</v>
      </c>
      <c r="BH33" s="1">
        <f>1960-SUM(BE33:BG33)</f>
        <v>669</v>
      </c>
      <c r="BI33" s="1">
        <v>84</v>
      </c>
      <c r="BJ33" s="1">
        <v>3</v>
      </c>
      <c r="BK33" s="1">
        <v>-1</v>
      </c>
      <c r="BL33" s="1">
        <f>236-SUM(BI33:BK33)</f>
        <v>150</v>
      </c>
      <c r="BM33" s="1">
        <v>72</v>
      </c>
      <c r="BN33" s="1">
        <v>102</v>
      </c>
      <c r="BO33" s="1">
        <v>17</v>
      </c>
      <c r="BP33" s="1">
        <f>211-SUM(BM33:BO33)</f>
        <v>20</v>
      </c>
      <c r="BQ33" s="1">
        <v>260</v>
      </c>
    </row>
    <row r="34" spans="2:76" s="2" customFormat="1" ht="15">
      <c r="B34" s="34" t="s">
        <v>64</v>
      </c>
      <c r="AW34" s="2">
        <f t="shared" ref="AW34:BP34" si="19">SUM(AW29:AW33)</f>
        <v>41159</v>
      </c>
      <c r="AX34" s="2">
        <f t="shared" si="19"/>
        <v>38297</v>
      </c>
      <c r="AY34" s="2">
        <f t="shared" si="19"/>
        <v>46173</v>
      </c>
      <c r="AZ34" s="2">
        <f t="shared" si="19"/>
        <v>56898</v>
      </c>
      <c r="BA34" s="2">
        <f t="shared" si="19"/>
        <v>55314</v>
      </c>
      <c r="BB34" s="2">
        <f t="shared" si="19"/>
        <v>61880</v>
      </c>
      <c r="BC34" s="2">
        <f t="shared" si="19"/>
        <v>65118</v>
      </c>
      <c r="BD34" s="2">
        <f t="shared" si="19"/>
        <v>75325</v>
      </c>
      <c r="BE34" s="2">
        <f t="shared" si="19"/>
        <v>68011</v>
      </c>
      <c r="BF34" s="2">
        <f t="shared" si="19"/>
        <v>69685</v>
      </c>
      <c r="BG34" s="2">
        <f t="shared" si="19"/>
        <v>69092</v>
      </c>
      <c r="BH34" s="2">
        <f t="shared" si="19"/>
        <v>76048</v>
      </c>
      <c r="BI34" s="2">
        <f t="shared" si="19"/>
        <v>69787</v>
      </c>
      <c r="BJ34" s="2">
        <f t="shared" si="19"/>
        <v>74604</v>
      </c>
      <c r="BK34" s="2">
        <f t="shared" si="19"/>
        <v>76693</v>
      </c>
      <c r="BL34" s="2">
        <f t="shared" si="19"/>
        <v>86310</v>
      </c>
      <c r="BM34" s="2">
        <f t="shared" si="19"/>
        <v>80539</v>
      </c>
      <c r="BN34" s="2">
        <f t="shared" si="19"/>
        <v>84742</v>
      </c>
      <c r="BO34" s="2">
        <f t="shared" si="19"/>
        <v>88268</v>
      </c>
      <c r="BP34" s="2">
        <f t="shared" si="19"/>
        <v>96469</v>
      </c>
      <c r="BQ34" s="2">
        <f>SUM(BQ29:BQ33)</f>
        <v>90234</v>
      </c>
      <c r="BR34" s="35"/>
      <c r="BS34" s="35"/>
      <c r="BT34" s="35"/>
      <c r="BU34" s="35"/>
      <c r="BV34" s="35"/>
      <c r="BW34" s="35"/>
      <c r="BX34" s="35"/>
    </row>
    <row r="36" spans="2:76">
      <c r="B36" s="1" t="s">
        <v>68</v>
      </c>
      <c r="BA36" s="52">
        <f t="shared" ref="BA36:BP36" si="20">BA29/AW29-1</f>
        <v>0.32655007949125592</v>
      </c>
      <c r="BB36" s="52">
        <f t="shared" si="20"/>
        <v>0.56719817767653757</v>
      </c>
      <c r="BC36" s="52">
        <f t="shared" si="20"/>
        <v>0.39091502658334121</v>
      </c>
      <c r="BD36" s="52">
        <f t="shared" si="20"/>
        <v>0.30284986705613592</v>
      </c>
      <c r="BE36" s="52">
        <f t="shared" si="20"/>
        <v>0.26769734739533391</v>
      </c>
      <c r="BF36" s="52">
        <f t="shared" si="20"/>
        <v>0.1602027793533749</v>
      </c>
      <c r="BG36" s="52">
        <f t="shared" si="20"/>
        <v>0.11896459227467804</v>
      </c>
      <c r="BH36" s="52">
        <f t="shared" si="20"/>
        <v>6.3006611095142384E-2</v>
      </c>
      <c r="BI36" s="52">
        <f t="shared" si="20"/>
        <v>3.5641130684145761E-2</v>
      </c>
      <c r="BJ36" s="52">
        <f t="shared" si="20"/>
        <v>7.1683930699422582E-2</v>
      </c>
      <c r="BK36" s="52">
        <f t="shared" si="20"/>
        <v>8.935634663789993E-2</v>
      </c>
      <c r="BL36" s="52">
        <f t="shared" si="20"/>
        <v>0.13555243091233571</v>
      </c>
      <c r="BM36" s="52">
        <f t="shared" si="20"/>
        <v>0.17870618305744879</v>
      </c>
      <c r="BN36" s="52">
        <f t="shared" si="20"/>
        <v>0.17457873577965954</v>
      </c>
      <c r="BO36" s="52">
        <f t="shared" si="20"/>
        <v>0.18663695879408038</v>
      </c>
      <c r="BP36" s="52">
        <f t="shared" si="20"/>
        <v>0.12811048934396951</v>
      </c>
      <c r="BQ36" s="52">
        <f>BQ29/BM29-1</f>
        <v>0.13493559129514421</v>
      </c>
    </row>
    <row r="37" spans="2:76">
      <c r="B37" s="1" t="s">
        <v>290</v>
      </c>
      <c r="BA37" s="52">
        <f t="shared" ref="BA37:BP37" si="21">BA30/AW30-1</f>
        <v>0.32588555858310619</v>
      </c>
      <c r="BB37" s="52">
        <f t="shared" si="21"/>
        <v>0.67948605121886829</v>
      </c>
      <c r="BC37" s="52">
        <f t="shared" si="21"/>
        <v>0.42480609020396431</v>
      </c>
      <c r="BD37" s="52">
        <f t="shared" si="21"/>
        <v>0.34313725490196068</v>
      </c>
      <c r="BE37" s="52">
        <f t="shared" si="21"/>
        <v>0.19294228172156647</v>
      </c>
      <c r="BF37" s="52">
        <f t="shared" si="21"/>
        <v>7.592747851603443E-2</v>
      </c>
      <c r="BG37" s="52">
        <f t="shared" si="21"/>
        <v>-1.9607843137254943E-2</v>
      </c>
      <c r="BH37" s="52">
        <f t="shared" si="21"/>
        <v>-6.0078607523862959E-2</v>
      </c>
      <c r="BI37" s="52">
        <f t="shared" si="21"/>
        <v>3.7456317369690462E-2</v>
      </c>
      <c r="BJ37" s="52">
        <f t="shared" si="21"/>
        <v>8.5520868845273545E-2</v>
      </c>
      <c r="BK37" s="52">
        <f t="shared" si="21"/>
        <v>0.16508997429305916</v>
      </c>
      <c r="BL37" s="52">
        <f t="shared" si="21"/>
        <v>0.14925098796066538</v>
      </c>
      <c r="BM37" s="52">
        <f t="shared" si="21"/>
        <v>0.12857007306196033</v>
      </c>
      <c r="BN37" s="52">
        <f t="shared" si="21"/>
        <v>0.1074072412400735</v>
      </c>
      <c r="BO37" s="52">
        <f t="shared" si="21"/>
        <v>0.1240457173116809</v>
      </c>
      <c r="BP37" s="52">
        <f t="shared" si="21"/>
        <v>0.12690923630547779</v>
      </c>
      <c r="BQ37" s="52">
        <f>BQ30/BM30-1</f>
        <v>8.9751135026063578E-2</v>
      </c>
    </row>
    <row r="38" spans="2:76">
      <c r="B38" s="1" t="s">
        <v>291</v>
      </c>
      <c r="BA38" s="52">
        <f t="shared" ref="BA38:BP38" si="22">BA31/AW31-1</f>
        <v>0.44445979552362536</v>
      </c>
      <c r="BB38" s="52">
        <f t="shared" si="22"/>
        <v>0.61713462922966156</v>
      </c>
      <c r="BC38" s="52">
        <f t="shared" si="22"/>
        <v>0.38389690234097906</v>
      </c>
      <c r="BD38" s="52">
        <f t="shared" si="22"/>
        <v>0.28489252194974268</v>
      </c>
      <c r="BE38" s="52">
        <f t="shared" si="22"/>
        <v>0.13256814921090387</v>
      </c>
      <c r="BF38" s="52">
        <f t="shared" si="22"/>
        <v>4.2649808565577318E-2</v>
      </c>
      <c r="BG38" s="52">
        <f t="shared" si="22"/>
        <v>-1.8026484408372512E-2</v>
      </c>
      <c r="BH38" s="52">
        <f t="shared" si="22"/>
        <v>-5.9142318567389274E-2</v>
      </c>
      <c r="BI38" s="52">
        <f t="shared" si="22"/>
        <v>-1.3512372265855888E-2</v>
      </c>
      <c r="BJ38" s="52">
        <f t="shared" si="22"/>
        <v>8.6934244235695957E-2</v>
      </c>
      <c r="BK38" s="52">
        <f t="shared" si="22"/>
        <v>0.14198712371672184</v>
      </c>
      <c r="BL38" s="52">
        <f t="shared" si="22"/>
        <v>0.16695884464479516</v>
      </c>
      <c r="BM38" s="52">
        <f t="shared" si="22"/>
        <v>0.13765944696515708</v>
      </c>
      <c r="BN38" s="52">
        <f t="shared" si="22"/>
        <v>8.6030798240100514E-2</v>
      </c>
      <c r="BO38" s="52">
        <f t="shared" si="22"/>
        <v>0.10825841840621675</v>
      </c>
      <c r="BP38" s="52">
        <f t="shared" si="22"/>
        <v>8.4197725159167236E-2</v>
      </c>
      <c r="BQ38" s="52">
        <f>BQ31/BM31-1</f>
        <v>0.11776657385807821</v>
      </c>
    </row>
    <row r="39" spans="2:76">
      <c r="B39" s="1" t="s">
        <v>292</v>
      </c>
      <c r="BA39" s="52">
        <f t="shared" ref="BA39:BP39" si="23">BA32/AW32-1</f>
        <v>0.34677793231339815</v>
      </c>
      <c r="BB39" s="52">
        <f t="shared" si="23"/>
        <v>0.82925502990755851</v>
      </c>
      <c r="BC39" s="52">
        <f t="shared" si="23"/>
        <v>0.55546183045128639</v>
      </c>
      <c r="BD39" s="52">
        <f t="shared" si="23"/>
        <v>0.45803278688524585</v>
      </c>
      <c r="BE39" s="52">
        <f t="shared" si="23"/>
        <v>0.32254733218588649</v>
      </c>
      <c r="BF39" s="52">
        <f t="shared" si="23"/>
        <v>0.29013079667063013</v>
      </c>
      <c r="BG39" s="52">
        <f t="shared" si="23"/>
        <v>0.12201735357917576</v>
      </c>
      <c r="BH39" s="52">
        <f t="shared" si="23"/>
        <v>4.6997976163705824E-2</v>
      </c>
      <c r="BI39" s="52">
        <f t="shared" si="23"/>
        <v>6.1946902654867353E-2</v>
      </c>
      <c r="BJ39" s="52">
        <f t="shared" si="23"/>
        <v>3.9400921658986121E-2</v>
      </c>
      <c r="BK39" s="52">
        <f t="shared" si="23"/>
        <v>0.1002899951667473</v>
      </c>
      <c r="BL39" s="52">
        <f t="shared" si="23"/>
        <v>0.11168384879725091</v>
      </c>
      <c r="BM39" s="52">
        <f t="shared" si="23"/>
        <v>0.14044117647058818</v>
      </c>
      <c r="BN39" s="52">
        <f t="shared" si="23"/>
        <v>9.4657503879405969E-2</v>
      </c>
      <c r="BO39" s="52">
        <f t="shared" si="23"/>
        <v>0.11860311882275432</v>
      </c>
      <c r="BP39" s="52">
        <f t="shared" si="23"/>
        <v>0.10780525502318383</v>
      </c>
      <c r="BQ39" s="52">
        <f>BQ32/BM32-1</f>
        <v>0.12465076294863531</v>
      </c>
    </row>
    <row r="40" spans="2:76" ht="15">
      <c r="B40" s="2" t="s">
        <v>281</v>
      </c>
      <c r="BA40" s="52">
        <f>BA34/AW34-1</f>
        <v>0.34391020189994892</v>
      </c>
      <c r="BB40" s="52">
        <f>BB34/AX34-1</f>
        <v>0.61579235971486024</v>
      </c>
      <c r="BC40" s="52">
        <f>BC34/AY34-1</f>
        <v>0.41030472353973102</v>
      </c>
      <c r="BD40" s="52">
        <f>BD34/AZ34-1</f>
        <v>0.32386024113325607</v>
      </c>
      <c r="BE40" s="52">
        <f>BE34/BA34-1</f>
        <v>0.22954405756228069</v>
      </c>
      <c r="BF40" s="52">
        <f>BF34/BB34-1</f>
        <v>0.12613122171945701</v>
      </c>
      <c r="BG40" s="52">
        <f>BG34/BC34-1</f>
        <v>6.1027672840074931E-2</v>
      </c>
      <c r="BH40" s="52">
        <f>BH34/BD34-1</f>
        <v>9.5984069034185104E-3</v>
      </c>
      <c r="BI40" s="52">
        <f>BI34/BE34-1</f>
        <v>2.6113422828660138E-2</v>
      </c>
      <c r="BJ40" s="52">
        <f>BJ34/BF34-1</f>
        <v>7.0589079428858392E-2</v>
      </c>
      <c r="BK40" s="52">
        <f>BK34/BG34-1</f>
        <v>0.11001273664100042</v>
      </c>
      <c r="BL40" s="52">
        <f>BL34/BH34-1</f>
        <v>0.13494108983799702</v>
      </c>
      <c r="BM40" s="52">
        <f>BM34/BI34-1</f>
        <v>0.15406880937710454</v>
      </c>
      <c r="BN40" s="52">
        <f>BN34/BJ34-1</f>
        <v>0.13589083695244231</v>
      </c>
      <c r="BO40" s="52">
        <f>BO34/BK34-1</f>
        <v>0.15092642092498654</v>
      </c>
      <c r="BP40" s="52">
        <f>BP34/BL34-1</f>
        <v>0.11770362646275045</v>
      </c>
      <c r="BQ40" s="52">
        <f>BQ34/BM34-1</f>
        <v>0.12037646357665222</v>
      </c>
    </row>
    <row r="42" spans="2:76">
      <c r="B42" s="39" t="s">
        <v>67</v>
      </c>
      <c r="AW42" s="52">
        <f t="shared" ref="AW42:BP42" si="24">AW29/AW34</f>
        <v>0.45846594912412836</v>
      </c>
      <c r="AX42" s="52">
        <f t="shared" si="24"/>
        <v>0.4699845940935321</v>
      </c>
      <c r="AY42" s="52">
        <f t="shared" si="24"/>
        <v>0.46438394732852534</v>
      </c>
      <c r="AZ42" s="52">
        <f t="shared" si="24"/>
        <v>0.46931350838342295</v>
      </c>
      <c r="BA42" s="52">
        <f t="shared" si="24"/>
        <v>0.45254365983295369</v>
      </c>
      <c r="BB42" s="52">
        <f t="shared" si="24"/>
        <v>0.45585003232062055</v>
      </c>
      <c r="BC42" s="52">
        <f t="shared" si="24"/>
        <v>0.45799932430357199</v>
      </c>
      <c r="BD42" s="52">
        <f t="shared" si="24"/>
        <v>0.46186525058081646</v>
      </c>
      <c r="BE42" s="52">
        <f t="shared" si="24"/>
        <v>0.46658628751231418</v>
      </c>
      <c r="BF42" s="52">
        <f t="shared" si="24"/>
        <v>0.46964196024969507</v>
      </c>
      <c r="BG42" s="52">
        <f t="shared" si="24"/>
        <v>0.48300816302900479</v>
      </c>
      <c r="BH42" s="52">
        <f t="shared" si="24"/>
        <v>0.48629812749842205</v>
      </c>
      <c r="BI42" s="52">
        <f t="shared" si="24"/>
        <v>0.4709186524710906</v>
      </c>
      <c r="BJ42" s="52">
        <f t="shared" si="24"/>
        <v>0.47012224545600773</v>
      </c>
      <c r="BK42" s="52">
        <f t="shared" si="24"/>
        <v>0.47401979320146559</v>
      </c>
      <c r="BL42" s="52">
        <f t="shared" si="24"/>
        <v>0.48656007415131503</v>
      </c>
      <c r="BM42" s="52">
        <f t="shared" si="24"/>
        <v>0.48097195147692423</v>
      </c>
      <c r="BN42" s="52">
        <f t="shared" si="24"/>
        <v>0.48613438436666589</v>
      </c>
      <c r="BO42" s="52">
        <f t="shared" si="24"/>
        <v>0.48872751166900802</v>
      </c>
      <c r="BP42" s="52">
        <f t="shared" si="24"/>
        <v>0.4910904020980833</v>
      </c>
      <c r="BQ42" s="52">
        <f>BQ29/BQ34</f>
        <v>0.48722211139925081</v>
      </c>
    </row>
    <row r="43" spans="2:76">
      <c r="B43" s="1" t="s">
        <v>293</v>
      </c>
      <c r="AW43" s="52">
        <f t="shared" ref="AW43:BP43" si="25">AW30/AW34</f>
        <v>0.31208241210913773</v>
      </c>
      <c r="AX43" s="52">
        <f t="shared" si="25"/>
        <v>0.29670731388881638</v>
      </c>
      <c r="AY43" s="52">
        <f t="shared" si="25"/>
        <v>0.30156151863643255</v>
      </c>
      <c r="AZ43" s="52">
        <f t="shared" si="25"/>
        <v>0.30296319730043236</v>
      </c>
      <c r="BA43" s="52">
        <f t="shared" si="25"/>
        <v>0.3078967350037965</v>
      </c>
      <c r="BB43" s="52">
        <f t="shared" si="25"/>
        <v>0.30840336134453783</v>
      </c>
      <c r="BC43" s="52">
        <f t="shared" si="25"/>
        <v>0.30466230535335853</v>
      </c>
      <c r="BD43" s="52">
        <f t="shared" si="25"/>
        <v>0.30737470959176899</v>
      </c>
      <c r="BE43" s="52">
        <f t="shared" si="25"/>
        <v>0.2987310876181794</v>
      </c>
      <c r="BF43" s="52">
        <f t="shared" si="25"/>
        <v>0.29465451675396426</v>
      </c>
      <c r="BG43" s="52">
        <f t="shared" si="25"/>
        <v>0.28150871302032071</v>
      </c>
      <c r="BH43" s="52">
        <f t="shared" si="25"/>
        <v>0.2861613717652009</v>
      </c>
      <c r="BI43" s="52">
        <f t="shared" si="25"/>
        <v>0.30203332998982618</v>
      </c>
      <c r="BJ43" s="52">
        <f t="shared" si="25"/>
        <v>0.29876414133290441</v>
      </c>
      <c r="BK43" s="52">
        <f t="shared" si="25"/>
        <v>0.29547677102212716</v>
      </c>
      <c r="BL43" s="52">
        <f t="shared" si="25"/>
        <v>0.28976943575483721</v>
      </c>
      <c r="BM43" s="52">
        <f t="shared" si="25"/>
        <v>0.29536001191969108</v>
      </c>
      <c r="BN43" s="52">
        <f t="shared" si="25"/>
        <v>0.29127233249156265</v>
      </c>
      <c r="BO43" s="52">
        <f t="shared" si="25"/>
        <v>0.28857570127339466</v>
      </c>
      <c r="BP43" s="52">
        <f t="shared" si="25"/>
        <v>0.29215602939804497</v>
      </c>
      <c r="BQ43" s="52">
        <f>BQ30/BQ34</f>
        <v>0.28728638872265444</v>
      </c>
    </row>
    <row r="44" spans="2:76">
      <c r="B44" s="1" t="s">
        <v>294</v>
      </c>
      <c r="AW44" s="52">
        <f t="shared" ref="AW44:BP44" si="26">AW31/AW34</f>
        <v>0.17585461259991739</v>
      </c>
      <c r="AX44" s="52">
        <f t="shared" si="26"/>
        <v>0.18134579732093897</v>
      </c>
      <c r="AY44" s="52">
        <f t="shared" si="26"/>
        <v>0.18318064669828688</v>
      </c>
      <c r="AZ44" s="52">
        <f t="shared" si="26"/>
        <v>0.17415374881366655</v>
      </c>
      <c r="BA44" s="52">
        <f t="shared" si="26"/>
        <v>0.18901182340817876</v>
      </c>
      <c r="BB44" s="52">
        <f t="shared" si="26"/>
        <v>0.18149644473173884</v>
      </c>
      <c r="BC44" s="52">
        <f t="shared" si="26"/>
        <v>0.17975060659111153</v>
      </c>
      <c r="BD44" s="52">
        <f t="shared" si="26"/>
        <v>0.16902754729505476</v>
      </c>
      <c r="BE44" s="52">
        <f t="shared" si="26"/>
        <v>0.17410418902824543</v>
      </c>
      <c r="BF44" s="52">
        <f t="shared" si="26"/>
        <v>0.16804190284853268</v>
      </c>
      <c r="BG44" s="52">
        <f t="shared" si="26"/>
        <v>0.16635789961211139</v>
      </c>
      <c r="BH44" s="52">
        <f t="shared" si="26"/>
        <v>0.15751893540921524</v>
      </c>
      <c r="BI44" s="52">
        <f t="shared" si="26"/>
        <v>0.16738074426469113</v>
      </c>
      <c r="BJ44" s="52">
        <f t="shared" si="26"/>
        <v>0.17060747413007346</v>
      </c>
      <c r="BK44" s="52">
        <f t="shared" si="26"/>
        <v>0.17114990937895244</v>
      </c>
      <c r="BL44" s="52">
        <f t="shared" si="26"/>
        <v>0.16196269261962692</v>
      </c>
      <c r="BM44" s="52">
        <f t="shared" si="26"/>
        <v>0.16500080706241696</v>
      </c>
      <c r="BN44" s="52">
        <f t="shared" si="26"/>
        <v>0.16311864246772556</v>
      </c>
      <c r="BO44" s="52">
        <f t="shared" si="26"/>
        <v>0.16480491231250283</v>
      </c>
      <c r="BP44" s="52">
        <f t="shared" si="26"/>
        <v>0.1571074645741119</v>
      </c>
      <c r="BQ44" s="52">
        <f>BQ31/BQ34</f>
        <v>0.16461644169603476</v>
      </c>
    </row>
    <row r="45" spans="2:76">
      <c r="B45" s="1" t="s">
        <v>295</v>
      </c>
      <c r="AW45" s="52">
        <f t="shared" ref="AW45:BP45" si="27">AW32/AW34</f>
        <v>5.2406521052503707E-2</v>
      </c>
      <c r="AX45" s="52">
        <f t="shared" si="27"/>
        <v>4.8019427109173042E-2</v>
      </c>
      <c r="AY45" s="52">
        <f t="shared" si="27"/>
        <v>5.1350356268815109E-2</v>
      </c>
      <c r="AZ45" s="52">
        <f t="shared" si="27"/>
        <v>5.3604696122886569E-2</v>
      </c>
      <c r="BA45" s="52">
        <f t="shared" si="27"/>
        <v>5.2518349784864589E-2</v>
      </c>
      <c r="BB45" s="52">
        <f t="shared" si="27"/>
        <v>5.4363283775048482E-2</v>
      </c>
      <c r="BC45" s="52">
        <f t="shared" si="27"/>
        <v>5.6635646057925614E-2</v>
      </c>
      <c r="BD45" s="52">
        <f t="shared" si="27"/>
        <v>5.9037504148689017E-2</v>
      </c>
      <c r="BE45" s="52">
        <f t="shared" si="27"/>
        <v>5.6490861772360353E-2</v>
      </c>
      <c r="BF45" s="52">
        <f t="shared" si="27"/>
        <v>6.2280261175288801E-2</v>
      </c>
      <c r="BG45" s="52">
        <f t="shared" si="27"/>
        <v>5.9891159613269261E-2</v>
      </c>
      <c r="BH45" s="52">
        <f t="shared" si="27"/>
        <v>6.1224489795918366E-2</v>
      </c>
      <c r="BI45" s="52">
        <f t="shared" si="27"/>
        <v>5.8463610701133449E-2</v>
      </c>
      <c r="BJ45" s="52">
        <f t="shared" si="27"/>
        <v>6.0465926759959251E-2</v>
      </c>
      <c r="BK45" s="52">
        <f t="shared" si="27"/>
        <v>5.9366565397102736E-2</v>
      </c>
      <c r="BL45" s="52">
        <f t="shared" si="27"/>
        <v>5.996987602827019E-2</v>
      </c>
      <c r="BM45" s="52">
        <f t="shared" si="27"/>
        <v>5.7773252709867266E-2</v>
      </c>
      <c r="BN45" s="52">
        <f t="shared" si="27"/>
        <v>5.8270987231833091E-2</v>
      </c>
      <c r="BO45" s="52">
        <f t="shared" si="27"/>
        <v>5.7699279467077536E-2</v>
      </c>
      <c r="BP45" s="52">
        <f t="shared" si="27"/>
        <v>5.9438783443385955E-2</v>
      </c>
      <c r="BQ45" s="52">
        <f>BQ32/BQ34</f>
        <v>5.799366092603675E-2</v>
      </c>
    </row>
    <row r="46" spans="2:76">
      <c r="B46" s="1" t="s">
        <v>296</v>
      </c>
      <c r="AW46" s="52">
        <f t="shared" ref="AW46:BP46" si="28">AW33/AW34</f>
        <v>1.190505114312787E-3</v>
      </c>
      <c r="AX46" s="52">
        <f t="shared" si="28"/>
        <v>3.9428675875394937E-3</v>
      </c>
      <c r="AY46" s="52">
        <f t="shared" si="28"/>
        <v>-4.7646893205986182E-4</v>
      </c>
      <c r="AZ46" s="52">
        <f t="shared" si="28"/>
        <v>-3.5150620408450207E-5</v>
      </c>
      <c r="BA46" s="52">
        <f t="shared" si="28"/>
        <v>-1.9705680297935424E-3</v>
      </c>
      <c r="BB46" s="52">
        <f t="shared" si="28"/>
        <v>-1.1312217194570136E-4</v>
      </c>
      <c r="BC46" s="52">
        <f t="shared" si="28"/>
        <v>9.5211769403237198E-4</v>
      </c>
      <c r="BD46" s="52">
        <f t="shared" si="28"/>
        <v>2.6949883836707603E-3</v>
      </c>
      <c r="BE46" s="52">
        <f t="shared" si="28"/>
        <v>4.0875740689006188E-3</v>
      </c>
      <c r="BF46" s="52">
        <f t="shared" si="28"/>
        <v>5.3813589725191938E-3</v>
      </c>
      <c r="BG46" s="52">
        <f t="shared" si="28"/>
        <v>9.2340647252938113E-3</v>
      </c>
      <c r="BH46" s="52">
        <f t="shared" si="28"/>
        <v>8.7970755312434257E-3</v>
      </c>
      <c r="BI46" s="52">
        <f t="shared" si="28"/>
        <v>1.2036625732586299E-3</v>
      </c>
      <c r="BJ46" s="52">
        <f t="shared" si="28"/>
        <v>4.0212321055171307E-5</v>
      </c>
      <c r="BK46" s="52">
        <f t="shared" si="28"/>
        <v>-1.303899964794701E-5</v>
      </c>
      <c r="BL46" s="52">
        <f t="shared" si="28"/>
        <v>1.7379214459506431E-3</v>
      </c>
      <c r="BM46" s="52">
        <f t="shared" si="28"/>
        <v>8.9397683110046069E-4</v>
      </c>
      <c r="BN46" s="52">
        <f t="shared" si="28"/>
        <v>1.2036534422128343E-3</v>
      </c>
      <c r="BO46" s="52">
        <f t="shared" si="28"/>
        <v>1.9259527801694838E-4</v>
      </c>
      <c r="BP46" s="52">
        <f t="shared" si="28"/>
        <v>2.0732048637386104E-4</v>
      </c>
      <c r="BQ46" s="52">
        <f>BQ33/BQ34</f>
        <v>2.8813972560232286E-3</v>
      </c>
    </row>
    <row r="48" spans="2:76" s="2" customFormat="1" ht="15">
      <c r="B48" s="2" t="s">
        <v>63</v>
      </c>
      <c r="C48" s="2">
        <v>5367</v>
      </c>
      <c r="D48" s="2">
        <v>5541</v>
      </c>
      <c r="E48" s="2">
        <v>5509</v>
      </c>
      <c r="F48" s="2">
        <v>5523</v>
      </c>
      <c r="G48" s="2">
        <v>5945</v>
      </c>
      <c r="H48" s="2">
        <v>6674</v>
      </c>
      <c r="I48" s="2">
        <v>6775</v>
      </c>
      <c r="J48" s="2">
        <v>6820</v>
      </c>
      <c r="K48" s="2">
        <v>7286</v>
      </c>
      <c r="L48" s="2">
        <v>8440</v>
      </c>
      <c r="M48" s="2">
        <v>8575</v>
      </c>
      <c r="N48" s="2">
        <v>9026</v>
      </c>
      <c r="O48" s="2">
        <v>9720</v>
      </c>
      <c r="P48" s="2">
        <v>10584</v>
      </c>
      <c r="Q48" s="2">
        <v>10645</v>
      </c>
      <c r="R48" s="2">
        <v>11807</v>
      </c>
      <c r="S48" s="2">
        <v>13304</v>
      </c>
      <c r="T48" s="2">
        <v>10283</v>
      </c>
      <c r="U48" s="2">
        <v>12951</v>
      </c>
      <c r="V48" s="2">
        <v>13107</v>
      </c>
      <c r="W48" s="2">
        <v>13754</v>
      </c>
      <c r="X48" s="2">
        <v>15707</v>
      </c>
      <c r="Y48" s="2">
        <v>15420</v>
      </c>
      <c r="Z48" s="2">
        <v>15955</v>
      </c>
      <c r="AA48" s="2">
        <v>16523</v>
      </c>
      <c r="AB48" s="2">
        <v>18103</v>
      </c>
      <c r="AC48" s="2">
        <v>17258</v>
      </c>
      <c r="AD48" s="2">
        <v>17727</v>
      </c>
      <c r="AE48" s="2">
        <v>18675</v>
      </c>
      <c r="AF48" s="2">
        <v>21329</v>
      </c>
      <c r="AG48" s="2">
        <v>20257</v>
      </c>
      <c r="AH48" s="2">
        <v>21500</v>
      </c>
      <c r="AI48" s="2">
        <v>22451</v>
      </c>
      <c r="AJ48" s="2">
        <v>26064</v>
      </c>
      <c r="AK48" s="2">
        <v>24750</v>
      </c>
      <c r="AL48" s="2">
        <v>26010</v>
      </c>
      <c r="AM48" s="2">
        <v>27772</v>
      </c>
      <c r="AN48" s="2">
        <v>32323</v>
      </c>
      <c r="AO48" s="2">
        <v>31146</v>
      </c>
      <c r="AP48" s="2">
        <v>32657</v>
      </c>
      <c r="AQ48" s="2">
        <v>33740</v>
      </c>
      <c r="AR48" s="2">
        <v>39276</v>
      </c>
      <c r="AS48" s="2">
        <v>36339</v>
      </c>
      <c r="AT48" s="2">
        <v>38944</v>
      </c>
      <c r="AU48" s="2">
        <v>40499</v>
      </c>
      <c r="AV48" s="2">
        <v>46075</v>
      </c>
      <c r="AW48" s="2">
        <f>AW12</f>
        <v>41159</v>
      </c>
      <c r="AX48" s="2">
        <f>AX12</f>
        <v>38297</v>
      </c>
      <c r="AY48" s="2">
        <f>AY12</f>
        <v>46173</v>
      </c>
      <c r="AZ48" s="2">
        <f>AZ12</f>
        <v>56898</v>
      </c>
      <c r="BA48" s="2">
        <f>BA12</f>
        <v>55314</v>
      </c>
      <c r="BB48" s="2">
        <f>BB12</f>
        <v>61880</v>
      </c>
      <c r="BC48" s="2">
        <f>BC12</f>
        <v>65118</v>
      </c>
      <c r="BD48" s="2">
        <f>BD12</f>
        <v>75325</v>
      </c>
      <c r="BE48" s="2">
        <f>BE12</f>
        <v>68011</v>
      </c>
      <c r="BF48" s="2">
        <f>BF12</f>
        <v>69685</v>
      </c>
      <c r="BG48" s="2">
        <f>BG12</f>
        <v>69092</v>
      </c>
      <c r="BH48" s="2">
        <f>BH12</f>
        <v>76048</v>
      </c>
      <c r="BI48" s="2">
        <f>BI12</f>
        <v>69787</v>
      </c>
      <c r="BJ48" s="2">
        <f>BJ12</f>
        <v>74604</v>
      </c>
      <c r="BK48" s="2">
        <f>BK12</f>
        <v>76693</v>
      </c>
      <c r="BL48" s="2">
        <f>BL12</f>
        <v>86310</v>
      </c>
      <c r="BM48" s="2">
        <f>BM12</f>
        <v>80539</v>
      </c>
      <c r="BN48" s="2">
        <f>BN12</f>
        <v>84742</v>
      </c>
      <c r="BO48" s="2">
        <f>BO12</f>
        <v>88268</v>
      </c>
      <c r="BP48" s="2">
        <f>BP12</f>
        <v>96469</v>
      </c>
      <c r="BQ48" s="2">
        <f>BQ12</f>
        <v>90234</v>
      </c>
      <c r="BR48" s="35"/>
      <c r="BS48" s="35"/>
      <c r="BT48" s="35"/>
      <c r="BU48" s="35"/>
      <c r="BV48" s="35"/>
      <c r="BW48" s="35"/>
      <c r="BX48" s="35"/>
    </row>
    <row r="49" spans="2:76">
      <c r="B49" s="1" t="s">
        <v>69</v>
      </c>
      <c r="C49" s="1">
        <v>2148</v>
      </c>
      <c r="D49" s="1">
        <v>2173</v>
      </c>
      <c r="E49" s="1">
        <v>2102</v>
      </c>
      <c r="F49" s="1">
        <v>2108</v>
      </c>
      <c r="G49" s="1">
        <v>2226</v>
      </c>
      <c r="H49" s="1">
        <v>2408</v>
      </c>
      <c r="I49" s="1">
        <v>2452</v>
      </c>
      <c r="J49" s="1">
        <v>2467</v>
      </c>
      <c r="K49" s="1">
        <v>2552</v>
      </c>
      <c r="L49" s="1">
        <v>2946</v>
      </c>
      <c r="M49" s="1">
        <v>2936</v>
      </c>
      <c r="N49" s="1">
        <v>3172</v>
      </c>
      <c r="O49" s="1">
        <v>3378</v>
      </c>
      <c r="P49" s="1">
        <v>3702</v>
      </c>
      <c r="Q49" s="1">
        <v>3789</v>
      </c>
      <c r="R49" s="1">
        <v>4677</v>
      </c>
      <c r="S49" s="1">
        <v>5955</v>
      </c>
      <c r="T49" s="1">
        <v>2755</v>
      </c>
      <c r="U49" s="1">
        <v>5136</v>
      </c>
      <c r="V49" s="1">
        <v>5195</v>
      </c>
      <c r="W49" s="1">
        <v>5409</v>
      </c>
      <c r="X49" s="1">
        <v>6253</v>
      </c>
      <c r="Y49" s="1">
        <v>5961</v>
      </c>
      <c r="Z49" s="1">
        <v>6114</v>
      </c>
      <c r="AA49" s="1">
        <v>6695</v>
      </c>
      <c r="AB49" s="1">
        <v>6921</v>
      </c>
      <c r="AC49" s="1">
        <v>6356</v>
      </c>
      <c r="AD49" s="1">
        <v>6583</v>
      </c>
      <c r="AE49" s="1">
        <v>7037</v>
      </c>
      <c r="AF49" s="1">
        <v>8188</v>
      </c>
      <c r="AG49" s="1">
        <v>7648</v>
      </c>
      <c r="AH49" s="1">
        <v>8130</v>
      </c>
      <c r="AI49" s="1">
        <v>8699</v>
      </c>
      <c r="AJ49" s="1">
        <v>10661</v>
      </c>
      <c r="AK49" s="1">
        <v>9795</v>
      </c>
      <c r="AL49" s="1">
        <v>10373</v>
      </c>
      <c r="AM49" s="1">
        <v>11148</v>
      </c>
      <c r="AN49" s="1">
        <v>14267</v>
      </c>
      <c r="AO49" s="1">
        <v>13467</v>
      </c>
      <c r="AP49" s="1">
        <v>13883</v>
      </c>
      <c r="AQ49" s="1">
        <v>14281</v>
      </c>
      <c r="AR49" s="1">
        <v>17918</v>
      </c>
      <c r="AS49" s="1">
        <v>16012</v>
      </c>
      <c r="AT49" s="1">
        <v>17296</v>
      </c>
      <c r="AU49" s="1">
        <v>17568</v>
      </c>
      <c r="AV49" s="1">
        <v>21020</v>
      </c>
      <c r="AW49" s="1">
        <v>18982</v>
      </c>
      <c r="AX49" s="1">
        <v>18553</v>
      </c>
      <c r="AY49" s="1">
        <v>21117</v>
      </c>
      <c r="AZ49" s="1">
        <f>84732-SUM(AW49:AY49)</f>
        <v>26080</v>
      </c>
      <c r="BA49" s="1">
        <v>24103</v>
      </c>
      <c r="BB49" s="1">
        <v>26227</v>
      </c>
      <c r="BC49" s="1">
        <v>27621</v>
      </c>
      <c r="BD49" s="1">
        <f>110939-SUM(BA49:BC49)</f>
        <v>32988</v>
      </c>
      <c r="BE49" s="1">
        <v>29599</v>
      </c>
      <c r="BF49" s="1">
        <v>30104</v>
      </c>
      <c r="BG49" s="1">
        <v>31158</v>
      </c>
      <c r="BH49" s="1">
        <f>126203-SUM(BE49:BG49)</f>
        <v>35342</v>
      </c>
      <c r="BI49" s="1">
        <v>30612</v>
      </c>
      <c r="BJ49" s="1">
        <v>31916</v>
      </c>
      <c r="BK49" s="1">
        <v>33229</v>
      </c>
      <c r="BL49" s="1">
        <f>133332-SUM(BI49:BK49)</f>
        <v>37575</v>
      </c>
      <c r="BM49" s="1">
        <v>33712</v>
      </c>
      <c r="BN49" s="1">
        <v>35507</v>
      </c>
      <c r="BO49" s="1">
        <v>36474</v>
      </c>
      <c r="BP49" s="1">
        <f>146306-SUM(BM49:BO49)</f>
        <v>40613</v>
      </c>
      <c r="BQ49" s="1">
        <v>36361</v>
      </c>
      <c r="BR49" s="1"/>
      <c r="BS49" s="1"/>
      <c r="BT49" s="1"/>
      <c r="BU49" s="1"/>
      <c r="BV49" s="1"/>
      <c r="BW49" s="1"/>
      <c r="BX49" s="1"/>
    </row>
    <row r="50" spans="2:76">
      <c r="B50" s="1" t="s">
        <v>70</v>
      </c>
      <c r="C50" s="1">
        <f>C48-C49</f>
        <v>3219</v>
      </c>
      <c r="D50" s="1">
        <f t="shared" ref="D50:BO50" si="29">D48-D49</f>
        <v>3368</v>
      </c>
      <c r="E50" s="1">
        <f t="shared" si="29"/>
        <v>3407</v>
      </c>
      <c r="F50" s="1">
        <f t="shared" si="29"/>
        <v>3415</v>
      </c>
      <c r="G50" s="1">
        <f t="shared" si="29"/>
        <v>3719</v>
      </c>
      <c r="H50" s="1">
        <f t="shared" si="29"/>
        <v>4266</v>
      </c>
      <c r="I50" s="1">
        <f t="shared" si="29"/>
        <v>4323</v>
      </c>
      <c r="J50" s="1">
        <f t="shared" si="29"/>
        <v>4353</v>
      </c>
      <c r="K50" s="1">
        <f t="shared" si="29"/>
        <v>4734</v>
      </c>
      <c r="L50" s="1">
        <f t="shared" si="29"/>
        <v>5494</v>
      </c>
      <c r="M50" s="1">
        <f t="shared" si="29"/>
        <v>5639</v>
      </c>
      <c r="N50" s="1">
        <f t="shared" si="29"/>
        <v>5854</v>
      </c>
      <c r="O50" s="1">
        <f t="shared" si="29"/>
        <v>6342</v>
      </c>
      <c r="P50" s="1">
        <f t="shared" si="29"/>
        <v>6882</v>
      </c>
      <c r="Q50" s="1">
        <f t="shared" si="29"/>
        <v>6856</v>
      </c>
      <c r="R50" s="1">
        <f t="shared" si="29"/>
        <v>7130</v>
      </c>
      <c r="S50" s="1">
        <f t="shared" si="29"/>
        <v>7349</v>
      </c>
      <c r="T50" s="1">
        <f t="shared" si="29"/>
        <v>7528</v>
      </c>
      <c r="U50" s="1">
        <f t="shared" si="29"/>
        <v>7815</v>
      </c>
      <c r="V50" s="1">
        <f t="shared" si="29"/>
        <v>7912</v>
      </c>
      <c r="W50" s="1">
        <f t="shared" si="29"/>
        <v>8345</v>
      </c>
      <c r="X50" s="1">
        <f t="shared" si="29"/>
        <v>9454</v>
      </c>
      <c r="Y50" s="1">
        <f t="shared" si="29"/>
        <v>9459</v>
      </c>
      <c r="Z50" s="1">
        <f t="shared" si="29"/>
        <v>9841</v>
      </c>
      <c r="AA50" s="1">
        <f t="shared" si="29"/>
        <v>9828</v>
      </c>
      <c r="AB50" s="1">
        <f t="shared" si="29"/>
        <v>11182</v>
      </c>
      <c r="AC50" s="1">
        <f t="shared" si="29"/>
        <v>10902</v>
      </c>
      <c r="AD50" s="1">
        <f t="shared" si="29"/>
        <v>11144</v>
      </c>
      <c r="AE50" s="1">
        <f t="shared" si="29"/>
        <v>11638</v>
      </c>
      <c r="AF50" s="1">
        <f t="shared" si="29"/>
        <v>13141</v>
      </c>
      <c r="AG50" s="1">
        <f t="shared" si="29"/>
        <v>12609</v>
      </c>
      <c r="AH50" s="1">
        <f t="shared" si="29"/>
        <v>13370</v>
      </c>
      <c r="AI50" s="1">
        <f t="shared" si="29"/>
        <v>13752</v>
      </c>
      <c r="AJ50" s="1">
        <f t="shared" si="29"/>
        <v>15403</v>
      </c>
      <c r="AK50" s="1">
        <f t="shared" si="29"/>
        <v>14955</v>
      </c>
      <c r="AL50" s="1">
        <f t="shared" si="29"/>
        <v>15637</v>
      </c>
      <c r="AM50" s="1">
        <f t="shared" si="29"/>
        <v>16624</v>
      </c>
      <c r="AN50" s="1">
        <f t="shared" si="29"/>
        <v>18056</v>
      </c>
      <c r="AO50" s="1">
        <f t="shared" si="29"/>
        <v>17679</v>
      </c>
      <c r="AP50" s="1">
        <f t="shared" si="29"/>
        <v>18774</v>
      </c>
      <c r="AQ50" s="1">
        <f t="shared" si="29"/>
        <v>19459</v>
      </c>
      <c r="AR50" s="1">
        <f t="shared" si="29"/>
        <v>21358</v>
      </c>
      <c r="AS50" s="1">
        <f t="shared" si="29"/>
        <v>20327</v>
      </c>
      <c r="AT50" s="1">
        <f t="shared" si="29"/>
        <v>21648</v>
      </c>
      <c r="AU50" s="1">
        <f t="shared" si="29"/>
        <v>22931</v>
      </c>
      <c r="AV50" s="1">
        <f t="shared" si="29"/>
        <v>25055</v>
      </c>
      <c r="AW50" s="1">
        <f t="shared" si="29"/>
        <v>22177</v>
      </c>
      <c r="AX50" s="1">
        <f t="shared" si="29"/>
        <v>19744</v>
      </c>
      <c r="AY50" s="1">
        <f t="shared" si="29"/>
        <v>25056</v>
      </c>
      <c r="AZ50" s="1">
        <f t="shared" si="29"/>
        <v>30818</v>
      </c>
      <c r="BA50" s="1">
        <f t="shared" si="29"/>
        <v>31211</v>
      </c>
      <c r="BB50" s="1">
        <f t="shared" si="29"/>
        <v>35653</v>
      </c>
      <c r="BC50" s="1">
        <f t="shared" si="29"/>
        <v>37497</v>
      </c>
      <c r="BD50" s="1">
        <f t="shared" si="29"/>
        <v>42337</v>
      </c>
      <c r="BE50" s="1">
        <f t="shared" si="29"/>
        <v>38412</v>
      </c>
      <c r="BF50" s="1">
        <f t="shared" si="29"/>
        <v>39581</v>
      </c>
      <c r="BG50" s="1">
        <f t="shared" si="29"/>
        <v>37934</v>
      </c>
      <c r="BH50" s="1">
        <f t="shared" si="29"/>
        <v>40706</v>
      </c>
      <c r="BI50" s="1">
        <f t="shared" si="29"/>
        <v>39175</v>
      </c>
      <c r="BJ50" s="1">
        <f t="shared" si="29"/>
        <v>42688</v>
      </c>
      <c r="BK50" s="1">
        <f t="shared" si="29"/>
        <v>43464</v>
      </c>
      <c r="BL50" s="1">
        <f t="shared" si="29"/>
        <v>48735</v>
      </c>
      <c r="BM50" s="1">
        <f t="shared" si="29"/>
        <v>46827</v>
      </c>
      <c r="BN50" s="1">
        <f t="shared" si="29"/>
        <v>49235</v>
      </c>
      <c r="BO50" s="1">
        <f t="shared" si="29"/>
        <v>51794</v>
      </c>
      <c r="BP50" s="1">
        <f t="shared" ref="BP50" si="30">BP48-BP49</f>
        <v>55856</v>
      </c>
      <c r="BQ50" s="1">
        <f>BQ48-BQ49</f>
        <v>53873</v>
      </c>
    </row>
    <row r="51" spans="2:76">
      <c r="B51" s="1" t="s">
        <v>307</v>
      </c>
      <c r="C51" s="1">
        <v>681</v>
      </c>
      <c r="D51" s="1">
        <v>705</v>
      </c>
      <c r="E51" s="1">
        <v>642</v>
      </c>
      <c r="F51" s="1">
        <v>708</v>
      </c>
      <c r="G51" s="1">
        <v>758</v>
      </c>
      <c r="H51" s="1">
        <v>735</v>
      </c>
      <c r="I51" s="1">
        <v>818</v>
      </c>
      <c r="J51" s="1">
        <v>898</v>
      </c>
      <c r="K51" s="1">
        <v>994</v>
      </c>
      <c r="L51" s="1">
        <v>1052</v>
      </c>
      <c r="M51" s="1">
        <v>1226</v>
      </c>
      <c r="N51" s="1">
        <v>1234</v>
      </c>
      <c r="O51" s="1">
        <v>1404</v>
      </c>
      <c r="P51" s="1">
        <v>1298</v>
      </c>
      <c r="Q51" s="1">
        <v>1441</v>
      </c>
      <c r="R51" s="1">
        <v>1538</v>
      </c>
      <c r="S51" s="1">
        <v>1879</v>
      </c>
      <c r="T51" s="1">
        <v>1225</v>
      </c>
      <c r="U51" s="1">
        <v>1617</v>
      </c>
      <c r="V51" s="1">
        <v>1766</v>
      </c>
      <c r="W51" s="1">
        <v>1821</v>
      </c>
      <c r="X51" s="1">
        <v>1933</v>
      </c>
      <c r="Y51" s="1">
        <v>2126</v>
      </c>
      <c r="Z51" s="1">
        <v>2238</v>
      </c>
      <c r="AA51" s="1">
        <v>2655</v>
      </c>
      <c r="AB51" s="1">
        <v>2813</v>
      </c>
      <c r="AC51" s="1">
        <v>2753</v>
      </c>
      <c r="AD51" s="1">
        <v>2789</v>
      </c>
      <c r="AE51" s="1">
        <v>3230</v>
      </c>
      <c r="AF51" s="1">
        <v>3510</v>
      </c>
      <c r="AG51" s="1">
        <v>3367</v>
      </c>
      <c r="AH51" s="1">
        <v>3363</v>
      </c>
      <c r="AI51" s="1">
        <v>3596</v>
      </c>
      <c r="AJ51" s="1">
        <v>3622</v>
      </c>
      <c r="AK51" s="1">
        <v>3942</v>
      </c>
      <c r="AL51" s="1">
        <v>4172</v>
      </c>
      <c r="AM51" s="1">
        <v>4205</v>
      </c>
      <c r="AN51" s="1">
        <v>4306</v>
      </c>
      <c r="AO51" s="1">
        <v>5039</v>
      </c>
      <c r="AP51" s="1">
        <v>5114</v>
      </c>
      <c r="AQ51" s="1">
        <v>5232</v>
      </c>
      <c r="AR51" s="1">
        <v>6034</v>
      </c>
      <c r="AS51" s="1">
        <v>6029</v>
      </c>
      <c r="AT51" s="1">
        <v>6213</v>
      </c>
      <c r="AU51" s="1">
        <v>6554</v>
      </c>
      <c r="AV51" s="1">
        <v>7222</v>
      </c>
      <c r="AW51" s="1">
        <v>6820</v>
      </c>
      <c r="AX51" s="1">
        <v>6875</v>
      </c>
      <c r="AY51" s="1">
        <v>6856</v>
      </c>
      <c r="AZ51" s="1">
        <f>27573-SUM(AW51:AY51)</f>
        <v>7022</v>
      </c>
      <c r="BA51" s="1">
        <v>7485</v>
      </c>
      <c r="BB51" s="1">
        <v>7675</v>
      </c>
      <c r="BC51" s="1">
        <v>7694</v>
      </c>
      <c r="BD51" s="1">
        <f>31562-SUM(BA51:BC51)</f>
        <v>8708</v>
      </c>
      <c r="BE51" s="1">
        <v>9119</v>
      </c>
      <c r="BF51" s="1">
        <v>9841</v>
      </c>
      <c r="BG51" s="1">
        <v>10273</v>
      </c>
      <c r="BH51" s="1">
        <f>39500-SUM(BE51:BG51)</f>
        <v>10267</v>
      </c>
      <c r="BI51" s="1">
        <v>11468</v>
      </c>
      <c r="BJ51" s="1">
        <v>10588</v>
      </c>
      <c r="BK51" s="1">
        <v>11258</v>
      </c>
      <c r="BL51" s="1">
        <f>45427-SUM(BI51:BK51)</f>
        <v>12113</v>
      </c>
      <c r="BM51" s="1">
        <v>11903</v>
      </c>
      <c r="BN51" s="1">
        <v>11860</v>
      </c>
      <c r="BO51" s="1">
        <v>12447</v>
      </c>
      <c r="BP51" s="1">
        <f>49326-SUM(BM51:BO51)</f>
        <v>13116</v>
      </c>
      <c r="BQ51" s="1">
        <v>13556</v>
      </c>
    </row>
    <row r="52" spans="2:76">
      <c r="B52" s="1" t="s">
        <v>309</v>
      </c>
      <c r="C52" s="54">
        <f>1642-C51-C53</f>
        <v>486.1</v>
      </c>
      <c r="D52" s="54">
        <f>1720-D51-D53</f>
        <v>507.9</v>
      </c>
      <c r="E52" s="1">
        <f>1523-E51-E53</f>
        <v>434</v>
      </c>
      <c r="F52" s="1">
        <f>1541-F51-F53</f>
        <v>469</v>
      </c>
      <c r="G52" s="1">
        <f>1645-G51-G53</f>
        <v>498</v>
      </c>
      <c r="H52" s="1">
        <f>1786-H51-H53</f>
        <v>583</v>
      </c>
      <c r="I52" s="1">
        <f>1835-I51-I53</f>
        <v>607</v>
      </c>
      <c r="J52" s="1">
        <f>1988-J51-J53</f>
        <v>629</v>
      </c>
      <c r="K52" s="1">
        <f>2187-K51-K53</f>
        <v>661</v>
      </c>
      <c r="L52" s="1">
        <f>2513-L51-L53</f>
        <v>902</v>
      </c>
      <c r="M52" s="1">
        <f>3343-M51-M53</f>
        <v>1526</v>
      </c>
      <c r="N52" s="1">
        <f>2973-N51-N53</f>
        <v>1091</v>
      </c>
      <c r="O52" s="1">
        <f>3284-O51-O53</f>
        <v>1204</v>
      </c>
      <c r="P52" s="1">
        <f>3375-P51-P53</f>
        <v>1268</v>
      </c>
      <c r="Q52" s="1">
        <f>3467-Q51-Q53</f>
        <v>1269</v>
      </c>
      <c r="R52" s="1">
        <f>3893-R51-R53</f>
        <v>1413</v>
      </c>
      <c r="S52" s="1">
        <f>4609-S51-S53</f>
        <v>1710</v>
      </c>
      <c r="T52" s="1">
        <f>3060-T51-T53</f>
        <v>1073</v>
      </c>
      <c r="U52" s="1">
        <f>4067-U51-U53</f>
        <v>1435</v>
      </c>
      <c r="V52" s="1">
        <f>4447-V51-V53</f>
        <v>1583</v>
      </c>
      <c r="W52" s="1">
        <f>4584-W51-W53</f>
        <v>1628</v>
      </c>
      <c r="X52" s="1">
        <f>5025-X51-X53</f>
        <v>1908</v>
      </c>
      <c r="Y52" s="1">
        <f>5344-Y51-Y53</f>
        <v>1729</v>
      </c>
      <c r="Z52" s="1">
        <f>5583-Z51-Z53</f>
        <v>1941</v>
      </c>
      <c r="AA52" s="1">
        <f>6104-AA51-AA53</f>
        <v>2084</v>
      </c>
      <c r="AB52" s="1">
        <f>6783-AB51-AB53</f>
        <v>2377</v>
      </c>
      <c r="AC52" s="1">
        <f>6455-AC51-AC53</f>
        <v>2065</v>
      </c>
      <c r="AD52" s="1">
        <f>6319-AD51-AD53</f>
        <v>2080</v>
      </c>
      <c r="AE52" s="1">
        <f>6930-AE51-AE53</f>
        <v>2223</v>
      </c>
      <c r="AF52" s="1">
        <f>7761-AF51-AF53</f>
        <v>2679</v>
      </c>
      <c r="AG52" s="1">
        <f>7267-AG51-AG53</f>
        <v>2387</v>
      </c>
      <c r="AH52" s="1">
        <f>7402-AH51-AH53</f>
        <v>2415</v>
      </c>
      <c r="AI52" s="1">
        <f>7985-AI51-AI53</f>
        <v>2565</v>
      </c>
      <c r="AJ52" s="1">
        <f>8764-AJ51-AJ53</f>
        <v>3118</v>
      </c>
      <c r="AK52" s="1">
        <f>8387-AK51-AK53</f>
        <v>2644</v>
      </c>
      <c r="AL52" s="1">
        <f>11505-AL51-AL53</f>
        <v>5633</v>
      </c>
      <c r="AM52" s="1">
        <f>8842-AM51-AM53</f>
        <v>3042</v>
      </c>
      <c r="AN52" s="1">
        <f>10360-AN51-AN53</f>
        <v>4310</v>
      </c>
      <c r="AO52" s="1">
        <f>10046-AO51-AO53</f>
        <v>3604</v>
      </c>
      <c r="AP52" s="1">
        <f>15729-AP51-AP53</f>
        <v>8851</v>
      </c>
      <c r="AQ52" s="1">
        <f>10834-AQ51-AQ53</f>
        <v>3849</v>
      </c>
      <c r="AR52" s="1">
        <f>13137-AR51-AR53</f>
        <v>5100</v>
      </c>
      <c r="AS52" s="1">
        <f>13719-AS51-AS53</f>
        <v>5602</v>
      </c>
      <c r="AT52" s="1">
        <f>12468-AT51-AT53</f>
        <v>4212</v>
      </c>
      <c r="AU52" s="1">
        <f>13754-AU51-AU53</f>
        <v>4609</v>
      </c>
      <c r="AV52" s="1">
        <f>15789-AV51-AV53</f>
        <v>5738</v>
      </c>
      <c r="AW52" s="1">
        <v>4500</v>
      </c>
      <c r="AX52" s="1">
        <v>3901</v>
      </c>
      <c r="AY52" s="1">
        <v>4231</v>
      </c>
      <c r="AZ52" s="1">
        <f>17946-SUM(AW52:AY52)</f>
        <v>5314</v>
      </c>
      <c r="BA52" s="1">
        <v>4516</v>
      </c>
      <c r="BB52" s="1">
        <v>5276</v>
      </c>
      <c r="BC52" s="1">
        <v>5516</v>
      </c>
      <c r="BD52" s="1">
        <f>22912-SUM(BA52:BC52)</f>
        <v>7604</v>
      </c>
      <c r="BE52" s="1">
        <v>5825</v>
      </c>
      <c r="BF52" s="1">
        <v>6630</v>
      </c>
      <c r="BG52" s="1">
        <v>6929</v>
      </c>
      <c r="BH52" s="1">
        <f>26567-SUM(BE52:BG52)</f>
        <v>7183</v>
      </c>
      <c r="BI52" s="1">
        <v>6533</v>
      </c>
      <c r="BJ52" s="1">
        <v>6781</v>
      </c>
      <c r="BK52" s="1">
        <v>6884</v>
      </c>
      <c r="BL52" s="1">
        <f>27917-SUM(BI52:BK52)</f>
        <v>7719</v>
      </c>
      <c r="BM52" s="1">
        <v>6426</v>
      </c>
      <c r="BN52" s="1">
        <v>6792</v>
      </c>
      <c r="BO52" s="1">
        <v>7227</v>
      </c>
      <c r="BP52" s="1">
        <f>27808-SUM(BM52:BO52)</f>
        <v>7363</v>
      </c>
      <c r="BQ52" s="1">
        <v>6172</v>
      </c>
    </row>
    <row r="53" spans="2:76">
      <c r="B53" s="1" t="s">
        <v>308</v>
      </c>
      <c r="C53" s="54">
        <v>474.9</v>
      </c>
      <c r="D53" s="54">
        <v>507.1</v>
      </c>
      <c r="E53" s="1">
        <v>447</v>
      </c>
      <c r="F53" s="1">
        <v>364</v>
      </c>
      <c r="G53" s="1">
        <v>389</v>
      </c>
      <c r="H53" s="1">
        <v>468</v>
      </c>
      <c r="I53" s="1">
        <v>410</v>
      </c>
      <c r="J53" s="1">
        <v>461</v>
      </c>
      <c r="K53" s="1">
        <v>532</v>
      </c>
      <c r="L53" s="1">
        <v>559</v>
      </c>
      <c r="M53" s="1">
        <v>591</v>
      </c>
      <c r="N53" s="1">
        <v>648</v>
      </c>
      <c r="O53" s="1">
        <v>676</v>
      </c>
      <c r="P53" s="1">
        <v>809</v>
      </c>
      <c r="Q53" s="1">
        <v>757</v>
      </c>
      <c r="R53" s="1">
        <v>942</v>
      </c>
      <c r="S53" s="1">
        <v>1020</v>
      </c>
      <c r="T53" s="1">
        <v>762</v>
      </c>
      <c r="U53" s="1">
        <v>1015</v>
      </c>
      <c r="V53" s="1">
        <v>1098</v>
      </c>
      <c r="W53" s="1">
        <v>1135</v>
      </c>
      <c r="X53" s="1">
        <v>1184</v>
      </c>
      <c r="Y53" s="1">
        <v>1489</v>
      </c>
      <c r="Z53" s="1">
        <v>1404</v>
      </c>
      <c r="AA53" s="1">
        <v>1365</v>
      </c>
      <c r="AB53" s="1">
        <v>1593</v>
      </c>
      <c r="AC53" s="1">
        <v>1637</v>
      </c>
      <c r="AD53" s="1">
        <v>1450</v>
      </c>
      <c r="AE53" s="1">
        <v>1477</v>
      </c>
      <c r="AF53" s="1">
        <v>1572</v>
      </c>
      <c r="AG53" s="1">
        <v>1513</v>
      </c>
      <c r="AH53" s="1">
        <v>1624</v>
      </c>
      <c r="AI53" s="1">
        <v>1824</v>
      </c>
      <c r="AJ53" s="1">
        <v>2024</v>
      </c>
      <c r="AK53" s="1">
        <v>1801</v>
      </c>
      <c r="AL53" s="1">
        <v>1700</v>
      </c>
      <c r="AM53" s="1">
        <v>1595</v>
      </c>
      <c r="AN53" s="1">
        <v>1744</v>
      </c>
      <c r="AO53" s="1">
        <v>1403</v>
      </c>
      <c r="AP53" s="1">
        <v>1764</v>
      </c>
      <c r="AQ53" s="1">
        <v>1753</v>
      </c>
      <c r="AR53" s="1">
        <v>2003</v>
      </c>
      <c r="AS53" s="1">
        <v>2088</v>
      </c>
      <c r="AT53" s="1">
        <v>2043</v>
      </c>
      <c r="AU53" s="1">
        <v>2591</v>
      </c>
      <c r="AV53" s="1">
        <v>2829</v>
      </c>
      <c r="AW53" s="1">
        <v>2880</v>
      </c>
      <c r="AX53" s="1">
        <v>2585</v>
      </c>
      <c r="AY53" s="1">
        <v>2756</v>
      </c>
      <c r="AZ53" s="1">
        <f>11052-SUM(AW53:AY53)</f>
        <v>2831</v>
      </c>
      <c r="BA53" s="1">
        <v>2773</v>
      </c>
      <c r="BB53" s="1">
        <v>3341</v>
      </c>
      <c r="BC53" s="1">
        <v>3256</v>
      </c>
      <c r="BD53" s="1">
        <f>13510-SUM(BA53:BC53)</f>
        <v>4140</v>
      </c>
      <c r="BE53" s="1">
        <v>3374</v>
      </c>
      <c r="BF53" s="1">
        <v>3657</v>
      </c>
      <c r="BG53" s="1">
        <v>3597</v>
      </c>
      <c r="BH53" s="1">
        <f>15724-SUM(BE53:BG53)</f>
        <v>5096</v>
      </c>
      <c r="BI53" s="1">
        <v>3759</v>
      </c>
      <c r="BJ53" s="1">
        <v>3481</v>
      </c>
      <c r="BK53" s="1">
        <v>3979</v>
      </c>
      <c r="BL53" s="1">
        <f>16425-SUM(BI53:BK53)</f>
        <v>5206</v>
      </c>
      <c r="BM53" s="1">
        <v>3026</v>
      </c>
      <c r="BN53" s="1">
        <v>3158</v>
      </c>
      <c r="BO53" s="1">
        <v>3599</v>
      </c>
      <c r="BP53" s="1">
        <f>14188-SUM(BM53:BO53)</f>
        <v>4405</v>
      </c>
      <c r="BQ53" s="1">
        <v>3539</v>
      </c>
    </row>
    <row r="54" spans="2:76">
      <c r="B54" s="1" t="s">
        <v>310</v>
      </c>
      <c r="C54" s="54">
        <f>SUM(C52:C53)</f>
        <v>961</v>
      </c>
      <c r="D54" s="54">
        <f t="shared" ref="D54:AV54" si="31">SUM(D52:D53)</f>
        <v>1015</v>
      </c>
      <c r="E54" s="54">
        <f t="shared" si="31"/>
        <v>881</v>
      </c>
      <c r="F54" s="54">
        <f t="shared" si="31"/>
        <v>833</v>
      </c>
      <c r="G54" s="54">
        <f t="shared" si="31"/>
        <v>887</v>
      </c>
      <c r="H54" s="54">
        <f t="shared" si="31"/>
        <v>1051</v>
      </c>
      <c r="I54" s="54">
        <f t="shared" si="31"/>
        <v>1017</v>
      </c>
      <c r="J54" s="54">
        <f t="shared" si="31"/>
        <v>1090</v>
      </c>
      <c r="K54" s="54">
        <f t="shared" si="31"/>
        <v>1193</v>
      </c>
      <c r="L54" s="54">
        <f t="shared" si="31"/>
        <v>1461</v>
      </c>
      <c r="M54" s="54">
        <f t="shared" si="31"/>
        <v>2117</v>
      </c>
      <c r="N54" s="54">
        <f t="shared" si="31"/>
        <v>1739</v>
      </c>
      <c r="O54" s="54">
        <f t="shared" si="31"/>
        <v>1880</v>
      </c>
      <c r="P54" s="54">
        <f t="shared" si="31"/>
        <v>2077</v>
      </c>
      <c r="Q54" s="54">
        <f t="shared" si="31"/>
        <v>2026</v>
      </c>
      <c r="R54" s="54">
        <f t="shared" si="31"/>
        <v>2355</v>
      </c>
      <c r="S54" s="54">
        <f t="shared" si="31"/>
        <v>2730</v>
      </c>
      <c r="T54" s="54">
        <f t="shared" si="31"/>
        <v>1835</v>
      </c>
      <c r="U54" s="54">
        <f t="shared" si="31"/>
        <v>2450</v>
      </c>
      <c r="V54" s="54">
        <f t="shared" si="31"/>
        <v>2681</v>
      </c>
      <c r="W54" s="54">
        <f t="shared" si="31"/>
        <v>2763</v>
      </c>
      <c r="X54" s="54">
        <f t="shared" si="31"/>
        <v>3092</v>
      </c>
      <c r="Y54" s="54">
        <f t="shared" si="31"/>
        <v>3218</v>
      </c>
      <c r="Z54" s="54">
        <f t="shared" si="31"/>
        <v>3345</v>
      </c>
      <c r="AA54" s="54">
        <f t="shared" si="31"/>
        <v>3449</v>
      </c>
      <c r="AB54" s="54">
        <f t="shared" si="31"/>
        <v>3970</v>
      </c>
      <c r="AC54" s="54">
        <f t="shared" si="31"/>
        <v>3702</v>
      </c>
      <c r="AD54" s="54">
        <f t="shared" si="31"/>
        <v>3530</v>
      </c>
      <c r="AE54" s="54">
        <f t="shared" si="31"/>
        <v>3700</v>
      </c>
      <c r="AF54" s="54">
        <f t="shared" si="31"/>
        <v>4251</v>
      </c>
      <c r="AG54" s="54">
        <f t="shared" si="31"/>
        <v>3900</v>
      </c>
      <c r="AH54" s="54">
        <f t="shared" si="31"/>
        <v>4039</v>
      </c>
      <c r="AI54" s="54">
        <f t="shared" si="31"/>
        <v>4389</v>
      </c>
      <c r="AJ54" s="54">
        <f t="shared" si="31"/>
        <v>5142</v>
      </c>
      <c r="AK54" s="54">
        <f t="shared" si="31"/>
        <v>4445</v>
      </c>
      <c r="AL54" s="54">
        <f t="shared" si="31"/>
        <v>7333</v>
      </c>
      <c r="AM54" s="54">
        <f t="shared" si="31"/>
        <v>4637</v>
      </c>
      <c r="AN54" s="54">
        <f t="shared" si="31"/>
        <v>6054</v>
      </c>
      <c r="AO54" s="54">
        <f t="shared" si="31"/>
        <v>5007</v>
      </c>
      <c r="AP54" s="54">
        <f t="shared" si="31"/>
        <v>10615</v>
      </c>
      <c r="AQ54" s="54">
        <f t="shared" si="31"/>
        <v>5602</v>
      </c>
      <c r="AR54" s="54">
        <f t="shared" si="31"/>
        <v>7103</v>
      </c>
      <c r="AS54" s="54">
        <f t="shared" si="31"/>
        <v>7690</v>
      </c>
      <c r="AT54" s="54">
        <f t="shared" si="31"/>
        <v>6255</v>
      </c>
      <c r="AU54" s="54">
        <f t="shared" si="31"/>
        <v>7200</v>
      </c>
      <c r="AV54" s="54">
        <f t="shared" si="31"/>
        <v>8567</v>
      </c>
      <c r="AW54" s="54">
        <f t="shared" ref="AW54" si="32">SUM(AW52:AW53)</f>
        <v>7380</v>
      </c>
      <c r="AX54" s="1">
        <f t="shared" ref="AW54:BP54" si="33">AX52+AX53</f>
        <v>6486</v>
      </c>
      <c r="AY54" s="1">
        <f t="shared" si="33"/>
        <v>6987</v>
      </c>
      <c r="AZ54" s="1">
        <f t="shared" si="33"/>
        <v>8145</v>
      </c>
      <c r="BA54" s="1">
        <f t="shared" si="33"/>
        <v>7289</v>
      </c>
      <c r="BB54" s="1">
        <f t="shared" si="33"/>
        <v>8617</v>
      </c>
      <c r="BC54" s="1">
        <f t="shared" si="33"/>
        <v>8772</v>
      </c>
      <c r="BD54" s="1">
        <f t="shared" si="33"/>
        <v>11744</v>
      </c>
      <c r="BE54" s="1">
        <f t="shared" si="33"/>
        <v>9199</v>
      </c>
      <c r="BF54" s="1">
        <f t="shared" si="33"/>
        <v>10287</v>
      </c>
      <c r="BG54" s="1">
        <f t="shared" si="33"/>
        <v>10526</v>
      </c>
      <c r="BH54" s="1">
        <f t="shared" si="33"/>
        <v>12279</v>
      </c>
      <c r="BI54" s="1">
        <f t="shared" si="33"/>
        <v>10292</v>
      </c>
      <c r="BJ54" s="1">
        <f t="shared" si="33"/>
        <v>10262</v>
      </c>
      <c r="BK54" s="1">
        <f t="shared" si="33"/>
        <v>10863</v>
      </c>
      <c r="BL54" s="1">
        <f t="shared" si="33"/>
        <v>12925</v>
      </c>
      <c r="BM54" s="1">
        <f t="shared" si="33"/>
        <v>9452</v>
      </c>
      <c r="BN54" s="1">
        <f t="shared" si="33"/>
        <v>9950</v>
      </c>
      <c r="BO54" s="1">
        <f t="shared" si="33"/>
        <v>10826</v>
      </c>
      <c r="BP54" s="1">
        <f t="shared" si="33"/>
        <v>11768</v>
      </c>
      <c r="BQ54" s="1">
        <f>BQ52+BQ53</f>
        <v>9711</v>
      </c>
    </row>
    <row r="55" spans="2:76">
      <c r="B55" s="1" t="s">
        <v>311</v>
      </c>
      <c r="C55" s="54">
        <f t="shared" ref="C55:BN55" si="34">C50-C51-C54</f>
        <v>1577</v>
      </c>
      <c r="D55" s="54">
        <f t="shared" si="34"/>
        <v>1648</v>
      </c>
      <c r="E55" s="1">
        <f t="shared" si="34"/>
        <v>1884</v>
      </c>
      <c r="F55" s="1">
        <f t="shared" si="34"/>
        <v>1874</v>
      </c>
      <c r="G55" s="1">
        <f t="shared" si="34"/>
        <v>2074</v>
      </c>
      <c r="H55" s="1">
        <f t="shared" si="34"/>
        <v>2480</v>
      </c>
      <c r="I55" s="1">
        <f t="shared" si="34"/>
        <v>2488</v>
      </c>
      <c r="J55" s="1">
        <f t="shared" si="34"/>
        <v>2365</v>
      </c>
      <c r="K55" s="1">
        <f t="shared" si="34"/>
        <v>2547</v>
      </c>
      <c r="L55" s="1">
        <f t="shared" si="34"/>
        <v>2981</v>
      </c>
      <c r="M55" s="1">
        <f t="shared" si="34"/>
        <v>2296</v>
      </c>
      <c r="N55" s="1">
        <f t="shared" si="34"/>
        <v>2881</v>
      </c>
      <c r="O55" s="1">
        <f t="shared" si="34"/>
        <v>3058</v>
      </c>
      <c r="P55" s="1">
        <f t="shared" si="34"/>
        <v>3507</v>
      </c>
      <c r="Q55" s="1">
        <f t="shared" si="34"/>
        <v>3389</v>
      </c>
      <c r="R55" s="1">
        <f t="shared" si="34"/>
        <v>3237</v>
      </c>
      <c r="S55" s="1">
        <f t="shared" si="34"/>
        <v>2740</v>
      </c>
      <c r="T55" s="1">
        <f t="shared" si="34"/>
        <v>4468</v>
      </c>
      <c r="U55" s="1">
        <f t="shared" si="34"/>
        <v>3748</v>
      </c>
      <c r="V55" s="1">
        <f t="shared" si="34"/>
        <v>3465</v>
      </c>
      <c r="W55" s="1">
        <f t="shared" si="34"/>
        <v>3761</v>
      </c>
      <c r="X55" s="1">
        <f t="shared" si="34"/>
        <v>4429</v>
      </c>
      <c r="Y55" s="1">
        <f t="shared" si="34"/>
        <v>4115</v>
      </c>
      <c r="Z55" s="1">
        <f t="shared" si="34"/>
        <v>4258</v>
      </c>
      <c r="AA55" s="1">
        <f t="shared" si="34"/>
        <v>3724</v>
      </c>
      <c r="AB55" s="1">
        <f t="shared" si="34"/>
        <v>4399</v>
      </c>
      <c r="AC55" s="1">
        <f t="shared" si="34"/>
        <v>4447</v>
      </c>
      <c r="AD55" s="1">
        <f t="shared" si="34"/>
        <v>4825</v>
      </c>
      <c r="AE55" s="1">
        <f t="shared" si="34"/>
        <v>4708</v>
      </c>
      <c r="AF55" s="1">
        <f t="shared" si="34"/>
        <v>5380</v>
      </c>
      <c r="AG55" s="1">
        <f t="shared" si="34"/>
        <v>5342</v>
      </c>
      <c r="AH55" s="1">
        <f t="shared" si="34"/>
        <v>5968</v>
      </c>
      <c r="AI55" s="1">
        <f t="shared" si="34"/>
        <v>5767</v>
      </c>
      <c r="AJ55" s="1">
        <f t="shared" si="34"/>
        <v>6639</v>
      </c>
      <c r="AK55" s="1">
        <f t="shared" si="34"/>
        <v>6568</v>
      </c>
      <c r="AL55" s="1">
        <f t="shared" si="34"/>
        <v>4132</v>
      </c>
      <c r="AM55" s="1">
        <f t="shared" si="34"/>
        <v>7782</v>
      </c>
      <c r="AN55" s="1">
        <f t="shared" si="34"/>
        <v>7696</v>
      </c>
      <c r="AO55" s="1">
        <f t="shared" si="34"/>
        <v>7633</v>
      </c>
      <c r="AP55" s="1">
        <f t="shared" si="34"/>
        <v>3045</v>
      </c>
      <c r="AQ55" s="1">
        <f t="shared" si="34"/>
        <v>8625</v>
      </c>
      <c r="AR55" s="1">
        <f t="shared" si="34"/>
        <v>8221</v>
      </c>
      <c r="AS55" s="1">
        <f t="shared" si="34"/>
        <v>6608</v>
      </c>
      <c r="AT55" s="1">
        <f t="shared" si="34"/>
        <v>9180</v>
      </c>
      <c r="AU55" s="1">
        <f t="shared" si="34"/>
        <v>9177</v>
      </c>
      <c r="AV55" s="1">
        <f t="shared" si="34"/>
        <v>9266</v>
      </c>
      <c r="AW55" s="1">
        <f t="shared" si="34"/>
        <v>7977</v>
      </c>
      <c r="AX55" s="1">
        <f t="shared" si="34"/>
        <v>6383</v>
      </c>
      <c r="AY55" s="1">
        <f t="shared" si="34"/>
        <v>11213</v>
      </c>
      <c r="AZ55" s="1">
        <f t="shared" si="34"/>
        <v>15651</v>
      </c>
      <c r="BA55" s="1">
        <f t="shared" si="34"/>
        <v>16437</v>
      </c>
      <c r="BB55" s="1">
        <f t="shared" si="34"/>
        <v>19361</v>
      </c>
      <c r="BC55" s="1">
        <f t="shared" si="34"/>
        <v>21031</v>
      </c>
      <c r="BD55" s="1">
        <f t="shared" si="34"/>
        <v>21885</v>
      </c>
      <c r="BE55" s="1">
        <f t="shared" si="34"/>
        <v>20094</v>
      </c>
      <c r="BF55" s="1">
        <f t="shared" si="34"/>
        <v>19453</v>
      </c>
      <c r="BG55" s="1">
        <f t="shared" si="34"/>
        <v>17135</v>
      </c>
      <c r="BH55" s="1">
        <f t="shared" si="34"/>
        <v>18160</v>
      </c>
      <c r="BI55" s="1">
        <f t="shared" si="34"/>
        <v>17415</v>
      </c>
      <c r="BJ55" s="1">
        <f t="shared" si="34"/>
        <v>21838</v>
      </c>
      <c r="BK55" s="1">
        <f t="shared" si="34"/>
        <v>21343</v>
      </c>
      <c r="BL55" s="1">
        <f t="shared" si="34"/>
        <v>23697</v>
      </c>
      <c r="BM55" s="1">
        <f t="shared" si="34"/>
        <v>25472</v>
      </c>
      <c r="BN55" s="1">
        <f t="shared" si="34"/>
        <v>27425</v>
      </c>
      <c r="BO55" s="1">
        <f t="shared" ref="BO55:BP55" si="35">BO50-BO51-BO54</f>
        <v>28521</v>
      </c>
      <c r="BP55" s="1">
        <f t="shared" si="35"/>
        <v>30972</v>
      </c>
      <c r="BQ55" s="1">
        <f>BQ50-BQ51-BQ54</f>
        <v>30606</v>
      </c>
    </row>
    <row r="56" spans="2:76">
      <c r="B56" s="1" t="s">
        <v>312</v>
      </c>
      <c r="C56" s="54">
        <v>57.9</v>
      </c>
      <c r="D56" s="54">
        <v>21.2</v>
      </c>
      <c r="E56" s="1">
        <v>6</v>
      </c>
      <c r="F56" s="1">
        <v>-18</v>
      </c>
      <c r="G56" s="1">
        <v>-7</v>
      </c>
      <c r="H56" s="1">
        <v>88</v>
      </c>
      <c r="I56" s="1">
        <v>18</v>
      </c>
      <c r="J56" s="1">
        <v>69</v>
      </c>
      <c r="K56" s="1">
        <v>167</v>
      </c>
      <c r="L56" s="1">
        <v>161</v>
      </c>
      <c r="M56" s="1">
        <v>96</v>
      </c>
      <c r="N56" s="1">
        <v>204</v>
      </c>
      <c r="O56" s="1">
        <v>302</v>
      </c>
      <c r="P56" s="1">
        <v>-18</v>
      </c>
      <c r="Q56" s="1">
        <v>156</v>
      </c>
      <c r="R56" s="1">
        <v>253</v>
      </c>
      <c r="S56" s="1">
        <v>65</v>
      </c>
      <c r="T56" s="1">
        <v>161</v>
      </c>
      <c r="U56" s="1">
        <v>134</v>
      </c>
      <c r="V56" s="1">
        <v>236</v>
      </c>
      <c r="W56" s="1">
        <v>14</v>
      </c>
      <c r="X56" s="1">
        <v>112</v>
      </c>
      <c r="Y56" s="1">
        <v>357</v>
      </c>
      <c r="Z56" s="1">
        <v>145</v>
      </c>
      <c r="AA56" s="1">
        <v>133</v>
      </c>
      <c r="AB56" s="1">
        <v>128</v>
      </c>
      <c r="AC56" s="1">
        <v>157</v>
      </c>
      <c r="AD56" s="1">
        <v>131</v>
      </c>
      <c r="AE56" s="1">
        <v>183</v>
      </c>
      <c r="AF56" s="1">
        <v>-180</v>
      </c>
      <c r="AG56" s="1">
        <v>-213</v>
      </c>
      <c r="AH56" s="1">
        <v>151</v>
      </c>
      <c r="AI56" s="1">
        <v>278</v>
      </c>
      <c r="AJ56" s="1">
        <v>218</v>
      </c>
      <c r="AK56" s="1">
        <v>251</v>
      </c>
      <c r="AL56" s="1">
        <v>245</v>
      </c>
      <c r="AM56" s="1">
        <v>197</v>
      </c>
      <c r="AN56" s="1">
        <v>322</v>
      </c>
      <c r="AO56" s="1">
        <v>2910</v>
      </c>
      <c r="AP56" s="1">
        <v>1170</v>
      </c>
      <c r="AQ56" s="1">
        <v>1458</v>
      </c>
      <c r="AR56" s="1">
        <v>1851</v>
      </c>
      <c r="AS56" s="1">
        <v>1538</v>
      </c>
      <c r="AT56" s="1">
        <v>2967</v>
      </c>
      <c r="AU56" s="1">
        <v>-549</v>
      </c>
      <c r="AV56" s="1">
        <v>1438</v>
      </c>
      <c r="AW56" s="1">
        <v>-220</v>
      </c>
      <c r="AX56" s="1">
        <v>1894</v>
      </c>
      <c r="AY56" s="1">
        <v>2146</v>
      </c>
      <c r="AZ56" s="1">
        <f>6858-SUM(AW56:AY56)</f>
        <v>3038</v>
      </c>
      <c r="BA56" s="1">
        <v>4846</v>
      </c>
      <c r="BB56" s="1">
        <v>2624</v>
      </c>
      <c r="BC56" s="1">
        <v>2033</v>
      </c>
      <c r="BD56" s="1">
        <f>12020-SUM(BA56:BC56)</f>
        <v>2517</v>
      </c>
      <c r="BE56" s="1">
        <v>-1160</v>
      </c>
      <c r="BF56" s="1">
        <v>-439</v>
      </c>
      <c r="BG56" s="1">
        <v>-902</v>
      </c>
      <c r="BH56" s="1">
        <f>-3514-SUM(BE56:BG56)</f>
        <v>-1013</v>
      </c>
      <c r="BI56" s="1">
        <v>790</v>
      </c>
      <c r="BJ56" s="1">
        <v>65</v>
      </c>
      <c r="BK56" s="1">
        <v>-146</v>
      </c>
      <c r="BL56" s="1">
        <f>1424-SUM(BI56:BK56)</f>
        <v>715</v>
      </c>
      <c r="BM56" s="1">
        <v>2843</v>
      </c>
      <c r="BN56" s="1">
        <v>126</v>
      </c>
      <c r="BO56" s="1">
        <v>3185</v>
      </c>
      <c r="BP56" s="1">
        <f>7425-SUM(BM56:BO56)</f>
        <v>1271</v>
      </c>
      <c r="BQ56" s="1">
        <v>11183</v>
      </c>
    </row>
    <row r="57" spans="2:76">
      <c r="B57" s="1" t="s">
        <v>313</v>
      </c>
      <c r="C57" s="54">
        <f>C55+C56</f>
        <v>1634.9</v>
      </c>
      <c r="D57" s="54">
        <f t="shared" ref="D57:BO57" si="36">D55+D56</f>
        <v>1669.2</v>
      </c>
      <c r="E57" s="1">
        <f t="shared" si="36"/>
        <v>1890</v>
      </c>
      <c r="F57" s="1">
        <f t="shared" si="36"/>
        <v>1856</v>
      </c>
      <c r="G57" s="1">
        <f t="shared" si="36"/>
        <v>2067</v>
      </c>
      <c r="H57" s="1">
        <f t="shared" si="36"/>
        <v>2568</v>
      </c>
      <c r="I57" s="1">
        <f t="shared" si="36"/>
        <v>2506</v>
      </c>
      <c r="J57" s="1">
        <f t="shared" si="36"/>
        <v>2434</v>
      </c>
      <c r="K57" s="1">
        <f t="shared" si="36"/>
        <v>2714</v>
      </c>
      <c r="L57" s="1">
        <f t="shared" si="36"/>
        <v>3142</v>
      </c>
      <c r="M57" s="1">
        <f t="shared" si="36"/>
        <v>2392</v>
      </c>
      <c r="N57" s="1">
        <f t="shared" si="36"/>
        <v>3085</v>
      </c>
      <c r="O57" s="1">
        <f t="shared" si="36"/>
        <v>3360</v>
      </c>
      <c r="P57" s="1">
        <f t="shared" si="36"/>
        <v>3489</v>
      </c>
      <c r="Q57" s="1">
        <f t="shared" si="36"/>
        <v>3545</v>
      </c>
      <c r="R57" s="1">
        <f t="shared" si="36"/>
        <v>3490</v>
      </c>
      <c r="S57" s="1">
        <f t="shared" si="36"/>
        <v>2805</v>
      </c>
      <c r="T57" s="1">
        <f t="shared" si="36"/>
        <v>4629</v>
      </c>
      <c r="U57" s="1">
        <f t="shared" si="36"/>
        <v>3882</v>
      </c>
      <c r="V57" s="1">
        <f t="shared" si="36"/>
        <v>3701</v>
      </c>
      <c r="W57" s="1">
        <f t="shared" si="36"/>
        <v>3775</v>
      </c>
      <c r="X57" s="1">
        <f t="shared" si="36"/>
        <v>4541</v>
      </c>
      <c r="Y57" s="1">
        <f t="shared" si="36"/>
        <v>4472</v>
      </c>
      <c r="Z57" s="1">
        <f t="shared" si="36"/>
        <v>4403</v>
      </c>
      <c r="AA57" s="1">
        <f t="shared" si="36"/>
        <v>3857</v>
      </c>
      <c r="AB57" s="1">
        <f t="shared" si="36"/>
        <v>4527</v>
      </c>
      <c r="AC57" s="1">
        <f t="shared" si="36"/>
        <v>4604</v>
      </c>
      <c r="AD57" s="1">
        <f t="shared" si="36"/>
        <v>4956</v>
      </c>
      <c r="AE57" s="1">
        <f t="shared" si="36"/>
        <v>4891</v>
      </c>
      <c r="AF57" s="1">
        <f t="shared" si="36"/>
        <v>5200</v>
      </c>
      <c r="AG57" s="1">
        <f t="shared" si="36"/>
        <v>5129</v>
      </c>
      <c r="AH57" s="1">
        <f t="shared" si="36"/>
        <v>6119</v>
      </c>
      <c r="AI57" s="1">
        <f t="shared" si="36"/>
        <v>6045</v>
      </c>
      <c r="AJ57" s="1">
        <f t="shared" si="36"/>
        <v>6857</v>
      </c>
      <c r="AK57" s="1">
        <f t="shared" si="36"/>
        <v>6819</v>
      </c>
      <c r="AL57" s="1">
        <f t="shared" si="36"/>
        <v>4377</v>
      </c>
      <c r="AM57" s="1">
        <f t="shared" si="36"/>
        <v>7979</v>
      </c>
      <c r="AN57" s="1">
        <f t="shared" si="36"/>
        <v>8018</v>
      </c>
      <c r="AO57" s="1">
        <f t="shared" si="36"/>
        <v>10543</v>
      </c>
      <c r="AP57" s="1">
        <f t="shared" si="36"/>
        <v>4215</v>
      </c>
      <c r="AQ57" s="1">
        <f t="shared" si="36"/>
        <v>10083</v>
      </c>
      <c r="AR57" s="1">
        <f t="shared" si="36"/>
        <v>10072</v>
      </c>
      <c r="AS57" s="1">
        <f t="shared" si="36"/>
        <v>8146</v>
      </c>
      <c r="AT57" s="1">
        <f t="shared" si="36"/>
        <v>12147</v>
      </c>
      <c r="AU57" s="1">
        <f t="shared" si="36"/>
        <v>8628</v>
      </c>
      <c r="AV57" s="1">
        <f t="shared" si="36"/>
        <v>10704</v>
      </c>
      <c r="AW57" s="1">
        <f t="shared" si="36"/>
        <v>7757</v>
      </c>
      <c r="AX57" s="1">
        <f t="shared" si="36"/>
        <v>8277</v>
      </c>
      <c r="AY57" s="1">
        <f t="shared" si="36"/>
        <v>13359</v>
      </c>
      <c r="AZ57" s="1">
        <f t="shared" si="36"/>
        <v>18689</v>
      </c>
      <c r="BA57" s="1">
        <f t="shared" si="36"/>
        <v>21283</v>
      </c>
      <c r="BB57" s="1">
        <f t="shared" si="36"/>
        <v>21985</v>
      </c>
      <c r="BC57" s="1">
        <f t="shared" si="36"/>
        <v>23064</v>
      </c>
      <c r="BD57" s="1">
        <f t="shared" si="36"/>
        <v>24402</v>
      </c>
      <c r="BE57" s="1">
        <f t="shared" si="36"/>
        <v>18934</v>
      </c>
      <c r="BF57" s="1">
        <f t="shared" si="36"/>
        <v>19014</v>
      </c>
      <c r="BG57" s="1">
        <f t="shared" si="36"/>
        <v>16233</v>
      </c>
      <c r="BH57" s="1">
        <f t="shared" si="36"/>
        <v>17147</v>
      </c>
      <c r="BI57" s="1">
        <f t="shared" si="36"/>
        <v>18205</v>
      </c>
      <c r="BJ57" s="1">
        <f t="shared" si="36"/>
        <v>21903</v>
      </c>
      <c r="BK57" s="1">
        <f t="shared" si="36"/>
        <v>21197</v>
      </c>
      <c r="BL57" s="1">
        <f t="shared" si="36"/>
        <v>24412</v>
      </c>
      <c r="BM57" s="1">
        <f t="shared" si="36"/>
        <v>28315</v>
      </c>
      <c r="BN57" s="1">
        <f t="shared" si="36"/>
        <v>27551</v>
      </c>
      <c r="BO57" s="1">
        <f t="shared" si="36"/>
        <v>31706</v>
      </c>
      <c r="BP57" s="1">
        <f t="shared" ref="BP57" si="37">BP55+BP56</f>
        <v>32243</v>
      </c>
      <c r="BQ57" s="1">
        <f>BQ55+BQ56</f>
        <v>41789</v>
      </c>
    </row>
    <row r="58" spans="2:76">
      <c r="B58" s="1" t="s">
        <v>314</v>
      </c>
      <c r="C58" s="54">
        <v>388.5</v>
      </c>
      <c r="D58" s="54">
        <v>378.8</v>
      </c>
      <c r="E58" s="1">
        <v>467</v>
      </c>
      <c r="F58" s="1">
        <v>371</v>
      </c>
      <c r="G58" s="1">
        <v>428</v>
      </c>
      <c r="H58" s="1">
        <v>595</v>
      </c>
      <c r="I58" s="1">
        <v>551</v>
      </c>
      <c r="J58" s="1">
        <v>594</v>
      </c>
      <c r="K58" s="1">
        <v>547</v>
      </c>
      <c r="L58" s="1">
        <v>599</v>
      </c>
      <c r="M58" s="1">
        <v>594</v>
      </c>
      <c r="N58" s="1">
        <v>580</v>
      </c>
      <c r="O58" s="1">
        <v>631</v>
      </c>
      <c r="P58" s="1">
        <v>784</v>
      </c>
      <c r="Q58" s="1">
        <v>655</v>
      </c>
      <c r="R58" s="1">
        <v>657</v>
      </c>
      <c r="S58" s="1">
        <v>647</v>
      </c>
      <c r="T58" s="1">
        <v>957</v>
      </c>
      <c r="U58" s="1">
        <v>354</v>
      </c>
      <c r="V58" s="1">
        <v>927</v>
      </c>
      <c r="W58" s="1">
        <v>612</v>
      </c>
      <c r="X58" s="1">
        <v>846</v>
      </c>
      <c r="Y58" s="1">
        <v>822</v>
      </c>
      <c r="Z58" s="1">
        <v>984</v>
      </c>
      <c r="AA58" s="1">
        <v>933</v>
      </c>
      <c r="AB58" s="1">
        <v>900</v>
      </c>
      <c r="AC58" s="1">
        <v>1089</v>
      </c>
      <c r="AD58" s="1">
        <v>1025</v>
      </c>
      <c r="AE58" s="1">
        <v>912</v>
      </c>
      <c r="AF58" s="1">
        <v>277</v>
      </c>
      <c r="AG58" s="1">
        <v>922</v>
      </c>
      <c r="AH58" s="1">
        <v>1242</v>
      </c>
      <c r="AI58" s="1">
        <v>984</v>
      </c>
      <c r="AJ58" s="1">
        <v>1524</v>
      </c>
      <c r="AK58" s="1">
        <v>1393</v>
      </c>
      <c r="AL58" s="1">
        <v>853</v>
      </c>
      <c r="AM58" s="1">
        <v>1247</v>
      </c>
      <c r="AN58" s="1">
        <v>11038</v>
      </c>
      <c r="AO58" s="1">
        <v>1142</v>
      </c>
      <c r="AP58" s="1">
        <v>1020</v>
      </c>
      <c r="AQ58" s="1">
        <v>891</v>
      </c>
      <c r="AR58" s="1">
        <v>1124</v>
      </c>
      <c r="AS58" s="1">
        <v>1489</v>
      </c>
      <c r="AT58" s="1">
        <v>2200</v>
      </c>
      <c r="AU58" s="1">
        <v>1560</v>
      </c>
      <c r="AV58" s="1">
        <v>33</v>
      </c>
      <c r="AW58" s="1">
        <v>921</v>
      </c>
      <c r="AX58" s="1">
        <v>1318</v>
      </c>
      <c r="AY58" s="1">
        <v>2112</v>
      </c>
      <c r="AZ58" s="1">
        <f>7813-SUM(AW58:AY58)</f>
        <v>3462</v>
      </c>
      <c r="BA58" s="1">
        <v>3353</v>
      </c>
      <c r="BB58" s="1">
        <v>3460</v>
      </c>
      <c r="BC58" s="1">
        <v>4128</v>
      </c>
      <c r="BD58" s="1">
        <f>14701-SUM(BA58:BC58)</f>
        <v>3760</v>
      </c>
      <c r="BE58" s="1">
        <v>2498</v>
      </c>
      <c r="BF58" s="1">
        <v>3012</v>
      </c>
      <c r="BG58" s="1">
        <v>2323</v>
      </c>
      <c r="BH58" s="1">
        <f>11356-SUM(BE58:BG58)</f>
        <v>3523</v>
      </c>
      <c r="BI58" s="1">
        <v>3154</v>
      </c>
      <c r="BJ58" s="1">
        <v>3535</v>
      </c>
      <c r="BK58" s="1">
        <v>1508</v>
      </c>
      <c r="BL58" s="1">
        <f>11922-SUM(BI58:BK58)</f>
        <v>3725</v>
      </c>
      <c r="BM58" s="1">
        <v>4653</v>
      </c>
      <c r="BN58" s="1">
        <v>3932</v>
      </c>
      <c r="BO58" s="1">
        <v>5405</v>
      </c>
      <c r="BP58" s="1">
        <f>19697-SUM(BM58:BO58)</f>
        <v>5707</v>
      </c>
      <c r="BQ58" s="1">
        <v>7249</v>
      </c>
    </row>
    <row r="59" spans="2:76" s="2" customFormat="1" ht="15">
      <c r="B59" s="2" t="s">
        <v>315</v>
      </c>
      <c r="C59" s="55">
        <f>C57-C58</f>
        <v>1246.4000000000001</v>
      </c>
      <c r="D59" s="55">
        <f t="shared" ref="D59:BO59" si="38">D57-D58</f>
        <v>1290.4000000000001</v>
      </c>
      <c r="E59" s="2">
        <f t="shared" si="38"/>
        <v>1423</v>
      </c>
      <c r="F59" s="2">
        <f t="shared" si="38"/>
        <v>1485</v>
      </c>
      <c r="G59" s="2">
        <f t="shared" si="38"/>
        <v>1639</v>
      </c>
      <c r="H59" s="2">
        <f t="shared" si="38"/>
        <v>1973</v>
      </c>
      <c r="I59" s="2">
        <f t="shared" si="38"/>
        <v>1955</v>
      </c>
      <c r="J59" s="2">
        <f t="shared" si="38"/>
        <v>1840</v>
      </c>
      <c r="K59" s="2">
        <f t="shared" si="38"/>
        <v>2167</v>
      </c>
      <c r="L59" s="2">
        <f t="shared" si="38"/>
        <v>2543</v>
      </c>
      <c r="M59" s="2">
        <f t="shared" si="38"/>
        <v>1798</v>
      </c>
      <c r="N59" s="2">
        <f t="shared" si="38"/>
        <v>2505</v>
      </c>
      <c r="O59" s="2">
        <f t="shared" si="38"/>
        <v>2729</v>
      </c>
      <c r="P59" s="2">
        <f t="shared" si="38"/>
        <v>2705</v>
      </c>
      <c r="Q59" s="2">
        <f t="shared" si="38"/>
        <v>2890</v>
      </c>
      <c r="R59" s="2">
        <f t="shared" si="38"/>
        <v>2833</v>
      </c>
      <c r="S59" s="2">
        <f t="shared" si="38"/>
        <v>2158</v>
      </c>
      <c r="T59" s="2">
        <f t="shared" si="38"/>
        <v>3672</v>
      </c>
      <c r="U59" s="2">
        <f t="shared" si="38"/>
        <v>3528</v>
      </c>
      <c r="V59" s="2">
        <f t="shared" si="38"/>
        <v>2774</v>
      </c>
      <c r="W59" s="2">
        <f t="shared" si="38"/>
        <v>3163</v>
      </c>
      <c r="X59" s="2">
        <f t="shared" si="38"/>
        <v>3695</v>
      </c>
      <c r="Y59" s="2">
        <f t="shared" si="38"/>
        <v>3650</v>
      </c>
      <c r="Z59" s="2">
        <f t="shared" si="38"/>
        <v>3419</v>
      </c>
      <c r="AA59" s="2">
        <f t="shared" si="38"/>
        <v>2924</v>
      </c>
      <c r="AB59" s="2">
        <f t="shared" si="38"/>
        <v>3627</v>
      </c>
      <c r="AC59" s="2">
        <f t="shared" si="38"/>
        <v>3515</v>
      </c>
      <c r="AD59" s="2">
        <f t="shared" si="38"/>
        <v>3931</v>
      </c>
      <c r="AE59" s="2">
        <f t="shared" si="38"/>
        <v>3979</v>
      </c>
      <c r="AF59" s="2">
        <f t="shared" si="38"/>
        <v>4923</v>
      </c>
      <c r="AG59" s="2">
        <f t="shared" si="38"/>
        <v>4207</v>
      </c>
      <c r="AH59" s="2">
        <f t="shared" si="38"/>
        <v>4877</v>
      </c>
      <c r="AI59" s="2">
        <f t="shared" si="38"/>
        <v>5061</v>
      </c>
      <c r="AJ59" s="2">
        <f t="shared" si="38"/>
        <v>5333</v>
      </c>
      <c r="AK59" s="2">
        <f t="shared" si="38"/>
        <v>5426</v>
      </c>
      <c r="AL59" s="2">
        <f t="shared" si="38"/>
        <v>3524</v>
      </c>
      <c r="AM59" s="2">
        <f t="shared" si="38"/>
        <v>6732</v>
      </c>
      <c r="AN59" s="2">
        <f t="shared" si="38"/>
        <v>-3020</v>
      </c>
      <c r="AO59" s="2">
        <f t="shared" si="38"/>
        <v>9401</v>
      </c>
      <c r="AP59" s="2">
        <f t="shared" si="38"/>
        <v>3195</v>
      </c>
      <c r="AQ59" s="2">
        <f t="shared" si="38"/>
        <v>9192</v>
      </c>
      <c r="AR59" s="2">
        <f t="shared" si="38"/>
        <v>8948</v>
      </c>
      <c r="AS59" s="2">
        <f t="shared" si="38"/>
        <v>6657</v>
      </c>
      <c r="AT59" s="2">
        <f t="shared" si="38"/>
        <v>9947</v>
      </c>
      <c r="AU59" s="2">
        <f t="shared" si="38"/>
        <v>7068</v>
      </c>
      <c r="AV59" s="2">
        <f t="shared" si="38"/>
        <v>10671</v>
      </c>
      <c r="AW59" s="2">
        <f t="shared" si="38"/>
        <v>6836</v>
      </c>
      <c r="AX59" s="2">
        <f t="shared" si="38"/>
        <v>6959</v>
      </c>
      <c r="AY59" s="2">
        <f t="shared" si="38"/>
        <v>11247</v>
      </c>
      <c r="AZ59" s="2">
        <f t="shared" si="38"/>
        <v>15227</v>
      </c>
      <c r="BA59" s="2">
        <f t="shared" si="38"/>
        <v>17930</v>
      </c>
      <c r="BB59" s="2">
        <f t="shared" si="38"/>
        <v>18525</v>
      </c>
      <c r="BC59" s="2">
        <f t="shared" si="38"/>
        <v>18936</v>
      </c>
      <c r="BD59" s="2">
        <f t="shared" si="38"/>
        <v>20642</v>
      </c>
      <c r="BE59" s="2">
        <f t="shared" si="38"/>
        <v>16436</v>
      </c>
      <c r="BF59" s="2">
        <f t="shared" si="38"/>
        <v>16002</v>
      </c>
      <c r="BG59" s="2">
        <f t="shared" si="38"/>
        <v>13910</v>
      </c>
      <c r="BH59" s="2">
        <f t="shared" si="38"/>
        <v>13624</v>
      </c>
      <c r="BI59" s="2">
        <f t="shared" si="38"/>
        <v>15051</v>
      </c>
      <c r="BJ59" s="2">
        <f t="shared" si="38"/>
        <v>18368</v>
      </c>
      <c r="BK59" s="2">
        <f t="shared" si="38"/>
        <v>19689</v>
      </c>
      <c r="BL59" s="2">
        <f t="shared" si="38"/>
        <v>20687</v>
      </c>
      <c r="BM59" s="2">
        <f t="shared" si="38"/>
        <v>23662</v>
      </c>
      <c r="BN59" s="2">
        <f t="shared" si="38"/>
        <v>23619</v>
      </c>
      <c r="BO59" s="2">
        <f t="shared" si="38"/>
        <v>26301</v>
      </c>
      <c r="BP59" s="2">
        <f t="shared" ref="BP59" si="39">BP57-BP58</f>
        <v>26536</v>
      </c>
      <c r="BQ59" s="2">
        <f>BQ57-BQ58</f>
        <v>34540</v>
      </c>
      <c r="BR59" s="35"/>
      <c r="BS59" s="35"/>
      <c r="BT59" s="35"/>
      <c r="BU59" s="35"/>
      <c r="BV59" s="35"/>
      <c r="BW59" s="35"/>
      <c r="BX59" s="35"/>
    </row>
    <row r="60" spans="2:76">
      <c r="B60" s="1" t="s">
        <v>89</v>
      </c>
      <c r="E60" s="1">
        <v>12610</v>
      </c>
      <c r="F60" s="1">
        <v>12636</v>
      </c>
      <c r="G60" s="1">
        <v>12660</v>
      </c>
      <c r="H60" s="1">
        <v>12649</v>
      </c>
      <c r="I60" s="1">
        <v>12716</v>
      </c>
      <c r="J60" s="1">
        <v>12734</v>
      </c>
      <c r="K60" s="1">
        <v>12745</v>
      </c>
      <c r="L60" s="1">
        <v>12748</v>
      </c>
      <c r="M60" s="1">
        <v>12861</v>
      </c>
      <c r="N60" s="1">
        <v>12889</v>
      </c>
      <c r="O60" s="1">
        <v>12926</v>
      </c>
      <c r="P60" s="1">
        <v>12911</v>
      </c>
      <c r="Q60" s="1">
        <v>13012</v>
      </c>
      <c r="R60" s="1">
        <v>13051</v>
      </c>
      <c r="S60" s="1">
        <v>13111</v>
      </c>
      <c r="T60" s="1">
        <v>13089</v>
      </c>
      <c r="U60" s="1">
        <v>13218</v>
      </c>
      <c r="V60" s="1">
        <v>13299</v>
      </c>
      <c r="W60" s="1">
        <v>13345</v>
      </c>
      <c r="X60" s="1">
        <v>13314</v>
      </c>
      <c r="Y60" s="1">
        <v>13452</v>
      </c>
      <c r="Z60" s="1">
        <v>13502</v>
      </c>
      <c r="AA60" s="1">
        <v>13542</v>
      </c>
      <c r="AB60" s="1">
        <v>13519</v>
      </c>
      <c r="AC60" s="1">
        <v>13618</v>
      </c>
      <c r="AD60" s="1">
        <v>13672</v>
      </c>
      <c r="AE60" s="1">
        <v>13729</v>
      </c>
      <c r="AF60" s="1">
        <v>13693</v>
      </c>
      <c r="AG60" s="1">
        <v>13750</v>
      </c>
      <c r="AH60" s="1">
        <v>13724</v>
      </c>
      <c r="AI60" s="1">
        <v>13751</v>
      </c>
      <c r="AJ60" s="1">
        <v>13756</v>
      </c>
      <c r="AK60" s="1">
        <v>13831</v>
      </c>
      <c r="AL60" s="1">
        <v>13839</v>
      </c>
      <c r="AM60" s="1">
        <v>13870</v>
      </c>
      <c r="AN60" s="1">
        <v>13858</v>
      </c>
      <c r="AO60" s="1">
        <v>13895</v>
      </c>
      <c r="AP60" s="1">
        <v>13899</v>
      </c>
      <c r="AQ60" s="1">
        <v>13913</v>
      </c>
      <c r="AR60" s="1">
        <v>13903</v>
      </c>
      <c r="AS60" s="1">
        <v>13897</v>
      </c>
      <c r="AT60" s="1">
        <v>13879</v>
      </c>
      <c r="AU60" s="1">
        <v>13855</v>
      </c>
      <c r="AV60" s="1">
        <v>13852</v>
      </c>
      <c r="AW60" s="1">
        <v>13729</v>
      </c>
      <c r="AX60" s="1">
        <v>13635</v>
      </c>
      <c r="AY60" s="1">
        <v>13589</v>
      </c>
      <c r="AZ60" s="1">
        <v>13616</v>
      </c>
      <c r="BA60" s="1">
        <v>13464</v>
      </c>
      <c r="BB60" s="1">
        <v>13379</v>
      </c>
      <c r="BC60" s="1">
        <v>13315</v>
      </c>
      <c r="BD60" s="1">
        <v>13353</v>
      </c>
      <c r="BE60" s="1">
        <v>13203</v>
      </c>
      <c r="BF60" s="1">
        <v>13133</v>
      </c>
      <c r="BG60" s="1">
        <v>13018</v>
      </c>
      <c r="BH60" s="1">
        <v>13063</v>
      </c>
      <c r="BI60" s="1">
        <v>12781</v>
      </c>
      <c r="BJ60" s="1">
        <v>12668</v>
      </c>
      <c r="BK60" s="1">
        <v>12581</v>
      </c>
      <c r="BL60" s="1">
        <v>12630</v>
      </c>
      <c r="BM60" s="1">
        <v>12415</v>
      </c>
      <c r="BN60" s="1">
        <v>12343</v>
      </c>
      <c r="BO60" s="1">
        <v>12290</v>
      </c>
      <c r="BP60" s="1">
        <v>12319</v>
      </c>
      <c r="BQ60" s="1">
        <v>12183</v>
      </c>
    </row>
    <row r="61" spans="2:76">
      <c r="B61" s="1" t="s">
        <v>316</v>
      </c>
      <c r="C61" s="41" t="e">
        <f>C59/C60</f>
        <v>#DIV/0!</v>
      </c>
      <c r="D61" s="41" t="e">
        <f t="shared" ref="D61:AV61" si="40">D59/D60</f>
        <v>#DIV/0!</v>
      </c>
      <c r="E61" s="41">
        <f t="shared" si="40"/>
        <v>0.11284694686756543</v>
      </c>
      <c r="F61" s="41">
        <f t="shared" si="40"/>
        <v>0.11752136752136752</v>
      </c>
      <c r="G61" s="41">
        <f t="shared" si="40"/>
        <v>0.12946287519747235</v>
      </c>
      <c r="H61" s="41">
        <f t="shared" si="40"/>
        <v>0.15598070993754448</v>
      </c>
      <c r="I61" s="41">
        <f t="shared" si="40"/>
        <v>0.15374331550802139</v>
      </c>
      <c r="J61" s="41">
        <f t="shared" si="40"/>
        <v>0.14449505261504633</v>
      </c>
      <c r="K61" s="41">
        <f t="shared" si="40"/>
        <v>0.17002746174970576</v>
      </c>
      <c r="L61" s="41">
        <f t="shared" si="40"/>
        <v>0.19948227172889865</v>
      </c>
      <c r="M61" s="41">
        <f t="shared" si="40"/>
        <v>0.13980250369333644</v>
      </c>
      <c r="N61" s="41">
        <f t="shared" si="40"/>
        <v>0.19435177282954458</v>
      </c>
      <c r="O61" s="41">
        <f t="shared" si="40"/>
        <v>0.21112486461395635</v>
      </c>
      <c r="P61" s="41">
        <f t="shared" si="40"/>
        <v>0.20951126946015025</v>
      </c>
      <c r="Q61" s="41">
        <f t="shared" si="40"/>
        <v>0.22210267445434984</v>
      </c>
      <c r="R61" s="41">
        <f t="shared" si="40"/>
        <v>0.21707148877480653</v>
      </c>
      <c r="S61" s="41">
        <f t="shared" si="40"/>
        <v>0.16459461520860347</v>
      </c>
      <c r="T61" s="41">
        <f t="shared" si="40"/>
        <v>0.2805409122163649</v>
      </c>
      <c r="U61" s="41">
        <f t="shared" si="40"/>
        <v>0.26690876078075354</v>
      </c>
      <c r="V61" s="41">
        <f t="shared" si="40"/>
        <v>0.20858711181291825</v>
      </c>
      <c r="W61" s="41">
        <f t="shared" si="40"/>
        <v>0.23701760959160734</v>
      </c>
      <c r="X61" s="41">
        <f t="shared" si="40"/>
        <v>0.27752741475138953</v>
      </c>
      <c r="Y61" s="41">
        <f t="shared" si="40"/>
        <v>0.27133511745465361</v>
      </c>
      <c r="Z61" s="41">
        <f t="shared" si="40"/>
        <v>0.25322174492667754</v>
      </c>
      <c r="AA61" s="41">
        <f t="shared" si="40"/>
        <v>0.21592083887165855</v>
      </c>
      <c r="AB61" s="41">
        <f t="shared" si="40"/>
        <v>0.2682890746356979</v>
      </c>
      <c r="AC61" s="41">
        <f t="shared" si="40"/>
        <v>0.25811426053752384</v>
      </c>
      <c r="AD61" s="41">
        <f t="shared" si="40"/>
        <v>0.28752194265652431</v>
      </c>
      <c r="AE61" s="41">
        <f t="shared" si="40"/>
        <v>0.28982445917401123</v>
      </c>
      <c r="AF61" s="41">
        <f t="shared" si="40"/>
        <v>0.35952676550062074</v>
      </c>
      <c r="AG61" s="41">
        <f t="shared" si="40"/>
        <v>0.30596363636363638</v>
      </c>
      <c r="AH61" s="41">
        <f t="shared" si="40"/>
        <v>0.35536286796852229</v>
      </c>
      <c r="AI61" s="41">
        <f t="shared" si="40"/>
        <v>0.36804596029379683</v>
      </c>
      <c r="AJ61" s="41">
        <f t="shared" si="40"/>
        <v>0.38768537365513228</v>
      </c>
      <c r="AK61" s="41">
        <f t="shared" si="40"/>
        <v>0.39230713614344587</v>
      </c>
      <c r="AL61" s="41">
        <f t="shared" si="40"/>
        <v>0.25464267649396632</v>
      </c>
      <c r="AM61" s="41">
        <f t="shared" si="40"/>
        <v>0.48536409516943041</v>
      </c>
      <c r="AN61" s="41">
        <f t="shared" si="40"/>
        <v>-0.21792466445374514</v>
      </c>
      <c r="AO61" s="41">
        <f t="shared" si="40"/>
        <v>0.67657430730478585</v>
      </c>
      <c r="AP61" s="41">
        <f t="shared" si="40"/>
        <v>0.22987265270882798</v>
      </c>
      <c r="AQ61" s="41">
        <f t="shared" si="40"/>
        <v>0.66067706461582687</v>
      </c>
      <c r="AR61" s="41">
        <f t="shared" si="40"/>
        <v>0.64360210026612963</v>
      </c>
      <c r="AS61" s="41">
        <f t="shared" si="40"/>
        <v>0.47902424983809455</v>
      </c>
      <c r="AT61" s="41">
        <f t="shared" si="40"/>
        <v>0.71669428633186827</v>
      </c>
      <c r="AU61" s="41">
        <f t="shared" si="40"/>
        <v>0.51014074341393001</v>
      </c>
      <c r="AV61" s="41">
        <f t="shared" si="40"/>
        <v>0.77035807103667342</v>
      </c>
      <c r="AW61" s="41">
        <f t="shared" ref="AW61" si="41">AW59/AW60</f>
        <v>0.49792410226527789</v>
      </c>
      <c r="AX61" s="41">
        <f t="shared" ref="AX61" si="42">AX59/AX60</f>
        <v>0.51037770443711039</v>
      </c>
      <c r="AY61" s="41">
        <f t="shared" ref="AY61" si="43">AY59/AY60</f>
        <v>0.82765472073000224</v>
      </c>
      <c r="AZ61" s="41">
        <f t="shared" ref="AZ61" si="44">AZ59/AZ60</f>
        <v>1.1183166862514688</v>
      </c>
      <c r="BA61" s="41">
        <f t="shared" ref="BA61" si="45">BA59/BA60</f>
        <v>1.3316993464052287</v>
      </c>
      <c r="BB61" s="41">
        <f t="shared" ref="BB61" si="46">BB59/BB60</f>
        <v>1.3846326332311831</v>
      </c>
      <c r="BC61" s="41">
        <f t="shared" ref="BC61" si="47">BC59/BC60</f>
        <v>1.4221554637626737</v>
      </c>
      <c r="BD61" s="41">
        <f t="shared" ref="BD61" si="48">BD59/BD60</f>
        <v>1.545869841983075</v>
      </c>
      <c r="BE61" s="41">
        <f t="shared" ref="BE61" si="49">BE59/BE60</f>
        <v>1.2448685904718624</v>
      </c>
      <c r="BF61" s="41">
        <f t="shared" ref="BF61" si="50">BF59/BF60</f>
        <v>1.2184573212518084</v>
      </c>
      <c r="BG61" s="41">
        <f t="shared" ref="BG61" si="51">BG59/BG60</f>
        <v>1.0685205100629898</v>
      </c>
      <c r="BH61" s="41">
        <f t="shared" ref="BH61" si="52">BH59/BH60</f>
        <v>1.0429457245655669</v>
      </c>
      <c r="BI61" s="41">
        <f t="shared" ref="BI61" si="53">BI59/BI60</f>
        <v>1.1776073859635396</v>
      </c>
      <c r="BJ61" s="41">
        <f t="shared" ref="BJ61" si="54">BJ59/BJ60</f>
        <v>1.4499526365645721</v>
      </c>
      <c r="BK61" s="41">
        <f t="shared" ref="BK61" si="55">BK59/BK60</f>
        <v>1.5649789364915347</v>
      </c>
      <c r="BL61" s="41">
        <f t="shared" ref="BL61" si="56">BL59/BL60</f>
        <v>1.6379255740300871</v>
      </c>
      <c r="BM61" s="41">
        <f t="shared" ref="BM61" si="57">BM59/BM60</f>
        <v>1.9059202577527186</v>
      </c>
      <c r="BN61" s="41">
        <f t="shared" ref="BN61" si="58">BN59/BN60</f>
        <v>1.9135542412703557</v>
      </c>
      <c r="BO61" s="41">
        <f t="shared" ref="BO61" si="59">BO59/BO60</f>
        <v>2.1400325467860051</v>
      </c>
      <c r="BP61" s="41">
        <f t="shared" ref="BP61" si="60">BP59/BP60</f>
        <v>2.1540709473171522</v>
      </c>
      <c r="BQ61" s="41">
        <f t="shared" ref="BQ61" si="61">BQ59/BQ60</f>
        <v>2.8350980874989742</v>
      </c>
    </row>
    <row r="63" spans="2:76">
      <c r="B63" s="38" t="s">
        <v>71</v>
      </c>
      <c r="C63" s="52">
        <f t="shared" ref="C63:AV63" si="62">C50/C48</f>
        <v>0.59977641140301841</v>
      </c>
      <c r="D63" s="52">
        <f t="shared" si="62"/>
        <v>0.60783252120555853</v>
      </c>
      <c r="E63" s="52">
        <f t="shared" si="62"/>
        <v>0.61844254855690683</v>
      </c>
      <c r="F63" s="52">
        <f t="shared" si="62"/>
        <v>0.61832337497736733</v>
      </c>
      <c r="G63" s="52">
        <f t="shared" si="62"/>
        <v>0.62556770395290162</v>
      </c>
      <c r="H63" s="52">
        <f t="shared" si="62"/>
        <v>0.639196883428229</v>
      </c>
      <c r="I63" s="52">
        <f t="shared" si="62"/>
        <v>0.63808118081180809</v>
      </c>
      <c r="J63" s="52">
        <f t="shared" si="62"/>
        <v>0.63826979472140766</v>
      </c>
      <c r="K63" s="52">
        <f t="shared" si="62"/>
        <v>0.64973922591270927</v>
      </c>
      <c r="L63" s="52">
        <f t="shared" si="62"/>
        <v>0.65094786729857823</v>
      </c>
      <c r="M63" s="52">
        <f t="shared" si="62"/>
        <v>0.65760932944606409</v>
      </c>
      <c r="N63" s="52">
        <f t="shared" si="62"/>
        <v>0.64857079547972529</v>
      </c>
      <c r="O63" s="52">
        <f t="shared" si="62"/>
        <v>0.65246913580246912</v>
      </c>
      <c r="P63" s="52">
        <f t="shared" si="62"/>
        <v>0.65022675736961455</v>
      </c>
      <c r="Q63" s="52">
        <f t="shared" si="62"/>
        <v>0.64405824330671679</v>
      </c>
      <c r="R63" s="52">
        <f t="shared" si="62"/>
        <v>0.60387905479800119</v>
      </c>
      <c r="S63" s="52">
        <f t="shared" si="62"/>
        <v>0.55239025856885149</v>
      </c>
      <c r="T63" s="52">
        <f t="shared" si="62"/>
        <v>0.73208207721482055</v>
      </c>
      <c r="U63" s="52">
        <f t="shared" si="62"/>
        <v>0.60342830669446379</v>
      </c>
      <c r="V63" s="52">
        <f t="shared" si="62"/>
        <v>0.60364690623331041</v>
      </c>
      <c r="W63" s="52">
        <f t="shared" si="62"/>
        <v>0.60673258688381559</v>
      </c>
      <c r="X63" s="52">
        <f t="shared" si="62"/>
        <v>0.60189724326733307</v>
      </c>
      <c r="Y63" s="52">
        <f t="shared" si="62"/>
        <v>0.61342412451361872</v>
      </c>
      <c r="Z63" s="52">
        <f t="shared" si="62"/>
        <v>0.61679724224381072</v>
      </c>
      <c r="AA63" s="52">
        <f t="shared" si="62"/>
        <v>0.59480723839496463</v>
      </c>
      <c r="AB63" s="52">
        <f t="shared" si="62"/>
        <v>0.61768767607578856</v>
      </c>
      <c r="AC63" s="52">
        <f t="shared" si="62"/>
        <v>0.63170703441882026</v>
      </c>
      <c r="AD63" s="52">
        <f t="shared" si="62"/>
        <v>0.62864556890618828</v>
      </c>
      <c r="AE63" s="52">
        <f t="shared" si="62"/>
        <v>0.62318607764390899</v>
      </c>
      <c r="AF63" s="52">
        <f t="shared" si="62"/>
        <v>0.61610952224670634</v>
      </c>
      <c r="AG63" s="52">
        <f t="shared" si="62"/>
        <v>0.62245149824751933</v>
      </c>
      <c r="AH63" s="52">
        <f t="shared" si="62"/>
        <v>0.62186046511627902</v>
      </c>
      <c r="AI63" s="52">
        <f t="shared" si="62"/>
        <v>0.61253396285243422</v>
      </c>
      <c r="AJ63" s="52">
        <f t="shared" si="62"/>
        <v>0.59096838551258446</v>
      </c>
      <c r="AK63" s="52">
        <f t="shared" si="62"/>
        <v>0.60424242424242425</v>
      </c>
      <c r="AL63" s="52">
        <f t="shared" si="62"/>
        <v>0.60119184928873515</v>
      </c>
      <c r="AM63" s="52">
        <f t="shared" si="62"/>
        <v>0.59858850640933314</v>
      </c>
      <c r="AN63" s="52">
        <f t="shared" si="62"/>
        <v>0.55861151502026418</v>
      </c>
      <c r="AO63" s="52">
        <f t="shared" si="62"/>
        <v>0.56761702947408976</v>
      </c>
      <c r="AP63" s="52">
        <f t="shared" si="62"/>
        <v>0.57488440456869894</v>
      </c>
      <c r="AQ63" s="52">
        <f t="shared" si="62"/>
        <v>0.57673384706579722</v>
      </c>
      <c r="AR63" s="52">
        <f t="shared" si="62"/>
        <v>0.54379264690905382</v>
      </c>
      <c r="AS63" s="52">
        <f t="shared" si="62"/>
        <v>0.55937147417375277</v>
      </c>
      <c r="AT63" s="52">
        <f t="shared" si="62"/>
        <v>0.55587510271158591</v>
      </c>
      <c r="AU63" s="52">
        <f t="shared" si="62"/>
        <v>0.56621151139534309</v>
      </c>
      <c r="AV63" s="52">
        <f t="shared" si="62"/>
        <v>0.54378730330982095</v>
      </c>
      <c r="AW63" s="52">
        <f t="shared" ref="AW63:BP63" si="63">AW50/AW48</f>
        <v>0.53881289632887097</v>
      </c>
      <c r="AX63" s="52">
        <f t="shared" si="63"/>
        <v>0.51554952085019712</v>
      </c>
      <c r="AY63" s="52">
        <f t="shared" si="63"/>
        <v>0.54265479825872265</v>
      </c>
      <c r="AZ63" s="52">
        <f t="shared" si="63"/>
        <v>0.54163590987380927</v>
      </c>
      <c r="BA63" s="52">
        <f t="shared" si="63"/>
        <v>0.56425136493473627</v>
      </c>
      <c r="BB63" s="52">
        <f t="shared" si="63"/>
        <v>0.57616354234001288</v>
      </c>
      <c r="BC63" s="52">
        <f t="shared" si="63"/>
        <v>0.57583156730857832</v>
      </c>
      <c r="BD63" s="52">
        <f t="shared" si="63"/>
        <v>0.56205774975107869</v>
      </c>
      <c r="BE63" s="52">
        <f t="shared" si="63"/>
        <v>0.5647909896928438</v>
      </c>
      <c r="BF63" s="52">
        <f t="shared" si="63"/>
        <v>0.56799885197675248</v>
      </c>
      <c r="BG63" s="52">
        <f t="shared" si="63"/>
        <v>0.54903606785156023</v>
      </c>
      <c r="BH63" s="52">
        <f t="shared" si="63"/>
        <v>0.53526719966337055</v>
      </c>
      <c r="BI63" s="52">
        <f t="shared" si="63"/>
        <v>0.56135096794531936</v>
      </c>
      <c r="BJ63" s="52">
        <f t="shared" si="63"/>
        <v>0.5721945204010509</v>
      </c>
      <c r="BK63" s="52">
        <f t="shared" si="63"/>
        <v>0.56672708069836886</v>
      </c>
      <c r="BL63" s="52">
        <f t="shared" si="63"/>
        <v>0.56465067778936395</v>
      </c>
      <c r="BM63" s="52">
        <f t="shared" si="63"/>
        <v>0.58142018152696207</v>
      </c>
      <c r="BN63" s="52">
        <f t="shared" si="63"/>
        <v>0.58099879634655782</v>
      </c>
      <c r="BO63" s="52">
        <f t="shared" si="63"/>
        <v>0.58678116644763678</v>
      </c>
      <c r="BP63" s="52">
        <f t="shared" si="63"/>
        <v>0.5790046543449191</v>
      </c>
      <c r="BQ63" s="52">
        <f>BQ50/BQ48</f>
        <v>0.5970365937451515</v>
      </c>
    </row>
    <row r="64" spans="2:76">
      <c r="B64" s="38" t="s">
        <v>72</v>
      </c>
      <c r="C64" s="52">
        <f t="shared" ref="C64:AV64" si="64">C51/C48</f>
        <v>0.12688652878703185</v>
      </c>
      <c r="D64" s="52">
        <f t="shared" si="64"/>
        <v>0.12723335138061723</v>
      </c>
      <c r="E64" s="52">
        <f t="shared" si="64"/>
        <v>0.11653657651116354</v>
      </c>
      <c r="F64" s="52">
        <f t="shared" si="64"/>
        <v>0.12819120043454643</v>
      </c>
      <c r="G64" s="52">
        <f t="shared" si="64"/>
        <v>0.12750210260723296</v>
      </c>
      <c r="H64" s="52">
        <f t="shared" si="64"/>
        <v>0.11012885825591849</v>
      </c>
      <c r="I64" s="52">
        <f t="shared" si="64"/>
        <v>0.1207380073800738</v>
      </c>
      <c r="J64" s="52">
        <f t="shared" si="64"/>
        <v>0.13167155425219942</v>
      </c>
      <c r="K64" s="52">
        <f t="shared" si="64"/>
        <v>0.13642602250892122</v>
      </c>
      <c r="L64" s="52">
        <f t="shared" si="64"/>
        <v>0.12464454976303317</v>
      </c>
      <c r="M64" s="52">
        <f t="shared" si="64"/>
        <v>0.14297376093294462</v>
      </c>
      <c r="N64" s="52">
        <f t="shared" si="64"/>
        <v>0.13671615333481055</v>
      </c>
      <c r="O64" s="52">
        <f t="shared" si="64"/>
        <v>0.14444444444444443</v>
      </c>
      <c r="P64" s="52">
        <f t="shared" si="64"/>
        <v>0.1226379440665155</v>
      </c>
      <c r="Q64" s="52">
        <f t="shared" si="64"/>
        <v>0.13536871770784406</v>
      </c>
      <c r="R64" s="52">
        <f t="shared" si="64"/>
        <v>0.13026170915558566</v>
      </c>
      <c r="S64" s="52">
        <f t="shared" si="64"/>
        <v>0.14123571858087794</v>
      </c>
      <c r="T64" s="52">
        <f t="shared" si="64"/>
        <v>0.1191286589516678</v>
      </c>
      <c r="U64" s="52">
        <f t="shared" si="64"/>
        <v>0.12485522353486217</v>
      </c>
      <c r="V64" s="52">
        <f t="shared" si="64"/>
        <v>0.1347371633478294</v>
      </c>
      <c r="W64" s="52">
        <f t="shared" si="64"/>
        <v>0.13239784789879308</v>
      </c>
      <c r="X64" s="52">
        <f t="shared" si="64"/>
        <v>0.12306614885083084</v>
      </c>
      <c r="Y64" s="52">
        <f t="shared" si="64"/>
        <v>0.13787289234760053</v>
      </c>
      <c r="Z64" s="52">
        <f t="shared" si="64"/>
        <v>0.14026950799122531</v>
      </c>
      <c r="AA64" s="52">
        <f t="shared" si="64"/>
        <v>0.16068510561036131</v>
      </c>
      <c r="AB64" s="52">
        <f t="shared" si="64"/>
        <v>0.15538860962271447</v>
      </c>
      <c r="AC64" s="52">
        <f t="shared" si="64"/>
        <v>0.15952022250550468</v>
      </c>
      <c r="AD64" s="52">
        <f t="shared" si="64"/>
        <v>0.1573306255993682</v>
      </c>
      <c r="AE64" s="52">
        <f t="shared" si="64"/>
        <v>0.17295850066934404</v>
      </c>
      <c r="AF64" s="52">
        <f t="shared" si="64"/>
        <v>0.16456467720005627</v>
      </c>
      <c r="AG64" s="52">
        <f t="shared" si="64"/>
        <v>0.16621414819568545</v>
      </c>
      <c r="AH64" s="52">
        <f t="shared" si="64"/>
        <v>0.15641860465116278</v>
      </c>
      <c r="AI64" s="52">
        <f t="shared" si="64"/>
        <v>0.16017103915193087</v>
      </c>
      <c r="AJ64" s="52">
        <f t="shared" si="64"/>
        <v>0.13896562308164517</v>
      </c>
      <c r="AK64" s="52">
        <f t="shared" si="64"/>
        <v>0.15927272727272726</v>
      </c>
      <c r="AL64" s="52">
        <f t="shared" si="64"/>
        <v>0.160399846212995</v>
      </c>
      <c r="AM64" s="52">
        <f t="shared" si="64"/>
        <v>0.15141149359066686</v>
      </c>
      <c r="AN64" s="52">
        <f t="shared" si="64"/>
        <v>0.13321783250317112</v>
      </c>
      <c r="AO64" s="52">
        <f t="shared" si="64"/>
        <v>0.16178642522314263</v>
      </c>
      <c r="AP64" s="52">
        <f t="shared" si="64"/>
        <v>0.1565973604433965</v>
      </c>
      <c r="AQ64" s="52">
        <f t="shared" si="64"/>
        <v>0.15506816834617665</v>
      </c>
      <c r="AR64" s="52">
        <f t="shared" si="64"/>
        <v>0.15363071595885527</v>
      </c>
      <c r="AS64" s="52">
        <f t="shared" si="64"/>
        <v>0.16590990395993285</v>
      </c>
      <c r="AT64" s="52">
        <f t="shared" si="64"/>
        <v>0.15953677074774034</v>
      </c>
      <c r="AU64" s="52">
        <f t="shared" si="64"/>
        <v>0.16183115632484751</v>
      </c>
      <c r="AV64" s="52">
        <f t="shared" si="64"/>
        <v>0.15674443841562669</v>
      </c>
      <c r="AW64" s="52">
        <f t="shared" ref="AW64:BP64" si="65">AW51/AW48</f>
        <v>0.16569887509414707</v>
      </c>
      <c r="AX64" s="52">
        <f t="shared" si="65"/>
        <v>0.17951797790949683</v>
      </c>
      <c r="AY64" s="52">
        <f t="shared" si="65"/>
        <v>0.14848504537283694</v>
      </c>
      <c r="AZ64" s="52">
        <f t="shared" si="65"/>
        <v>0.12341382825406869</v>
      </c>
      <c r="BA64" s="52">
        <f t="shared" si="65"/>
        <v>0.13531836424774921</v>
      </c>
      <c r="BB64" s="52">
        <f t="shared" si="65"/>
        <v>0.12403038138332256</v>
      </c>
      <c r="BC64" s="52">
        <f t="shared" si="65"/>
        <v>0.11815473448201726</v>
      </c>
      <c r="BD64" s="52">
        <f t="shared" si="65"/>
        <v>0.11560570859608364</v>
      </c>
      <c r="BE64" s="52">
        <f t="shared" si="65"/>
        <v>0.13408125156224729</v>
      </c>
      <c r="BF64" s="52">
        <f t="shared" si="65"/>
        <v>0.14122120972949703</v>
      </c>
      <c r="BG64" s="52">
        <f t="shared" si="65"/>
        <v>0.14868581022404909</v>
      </c>
      <c r="BH64" s="52">
        <f t="shared" si="65"/>
        <v>0.13500683778666106</v>
      </c>
      <c r="BI64" s="52">
        <f t="shared" si="65"/>
        <v>0.16432859988249959</v>
      </c>
      <c r="BJ64" s="52">
        <f t="shared" si="65"/>
        <v>0.14192268511071793</v>
      </c>
      <c r="BK64" s="52">
        <f t="shared" si="65"/>
        <v>0.14679305803658743</v>
      </c>
      <c r="BL64" s="52">
        <f t="shared" si="65"/>
        <v>0.14034294983200093</v>
      </c>
      <c r="BM64" s="52">
        <f t="shared" si="65"/>
        <v>0.1477917530637331</v>
      </c>
      <c r="BN64" s="52">
        <f t="shared" si="65"/>
        <v>0.13995421396710014</v>
      </c>
      <c r="BO64" s="52">
        <f t="shared" si="65"/>
        <v>0.1410137309104092</v>
      </c>
      <c r="BP64" s="52">
        <f t="shared" si="65"/>
        <v>0.13596077496397807</v>
      </c>
      <c r="BQ64" s="52">
        <f>BQ51/BQ48</f>
        <v>0.15023162001019572</v>
      </c>
    </row>
    <row r="65" spans="2:69">
      <c r="B65" s="38" t="s">
        <v>73</v>
      </c>
      <c r="C65" s="52">
        <f t="shared" ref="C65:AV65" si="66">C54/C48</f>
        <v>0.1790572014160611</v>
      </c>
      <c r="D65" s="52">
        <f t="shared" si="66"/>
        <v>0.18317993142032124</v>
      </c>
      <c r="E65" s="52">
        <f t="shared" si="66"/>
        <v>0.15992013069522598</v>
      </c>
      <c r="F65" s="52">
        <f t="shared" si="66"/>
        <v>0.15082382762991128</v>
      </c>
      <c r="G65" s="52">
        <f t="shared" si="66"/>
        <v>0.14920100925147184</v>
      </c>
      <c r="H65" s="52">
        <f t="shared" si="66"/>
        <v>0.1574767755468984</v>
      </c>
      <c r="I65" s="52">
        <f t="shared" si="66"/>
        <v>0.15011070110701108</v>
      </c>
      <c r="J65" s="52">
        <f t="shared" si="66"/>
        <v>0.15982404692082111</v>
      </c>
      <c r="K65" s="52">
        <f t="shared" si="66"/>
        <v>0.16373867691463079</v>
      </c>
      <c r="L65" s="52">
        <f t="shared" si="66"/>
        <v>0.1731042654028436</v>
      </c>
      <c r="M65" s="52">
        <f t="shared" si="66"/>
        <v>0.24688046647230322</v>
      </c>
      <c r="N65" s="52">
        <f t="shared" si="66"/>
        <v>0.19266563261688455</v>
      </c>
      <c r="O65" s="52">
        <f t="shared" si="66"/>
        <v>0.19341563786008231</v>
      </c>
      <c r="P65" s="52">
        <f t="shared" si="66"/>
        <v>0.19623960695389267</v>
      </c>
      <c r="Q65" s="52">
        <f t="shared" si="66"/>
        <v>0.19032409581963364</v>
      </c>
      <c r="R65" s="52">
        <f t="shared" si="66"/>
        <v>0.19945794867451511</v>
      </c>
      <c r="S65" s="52">
        <f t="shared" si="66"/>
        <v>0.20520144317498495</v>
      </c>
      <c r="T65" s="52">
        <f t="shared" si="66"/>
        <v>0.17844986871535545</v>
      </c>
      <c r="U65" s="52">
        <f t="shared" si="66"/>
        <v>0.18917458111342753</v>
      </c>
      <c r="V65" s="52">
        <f t="shared" si="66"/>
        <v>0.20454718852521553</v>
      </c>
      <c r="W65" s="52">
        <f t="shared" si="66"/>
        <v>0.20088701468663661</v>
      </c>
      <c r="X65" s="52">
        <f t="shared" si="66"/>
        <v>0.19685490545616605</v>
      </c>
      <c r="Y65" s="52">
        <f t="shared" si="66"/>
        <v>0.20869001297016862</v>
      </c>
      <c r="Z65" s="52">
        <f t="shared" si="66"/>
        <v>0.20965214666248824</v>
      </c>
      <c r="AA65" s="52">
        <f t="shared" si="66"/>
        <v>0.20873933305089876</v>
      </c>
      <c r="AB65" s="52">
        <f t="shared" si="66"/>
        <v>0.21930066839750317</v>
      </c>
      <c r="AC65" s="52">
        <f t="shared" si="66"/>
        <v>0.21450921311855373</v>
      </c>
      <c r="AD65" s="52">
        <f t="shared" si="66"/>
        <v>0.19913126868618491</v>
      </c>
      <c r="AE65" s="52">
        <f t="shared" si="66"/>
        <v>0.19812583668005354</v>
      </c>
      <c r="AF65" s="52">
        <f t="shared" si="66"/>
        <v>0.19930610905340146</v>
      </c>
      <c r="AG65" s="52">
        <f t="shared" si="66"/>
        <v>0.19252604038110283</v>
      </c>
      <c r="AH65" s="52">
        <f t="shared" si="66"/>
        <v>0.18786046511627907</v>
      </c>
      <c r="AI65" s="52">
        <f t="shared" si="66"/>
        <v>0.1954924056834885</v>
      </c>
      <c r="AJ65" s="52">
        <f t="shared" si="66"/>
        <v>0.19728360957642727</v>
      </c>
      <c r="AK65" s="52">
        <f t="shared" si="66"/>
        <v>0.17959595959595959</v>
      </c>
      <c r="AL65" s="52">
        <f t="shared" si="66"/>
        <v>0.2819300269127259</v>
      </c>
      <c r="AM65" s="52">
        <f t="shared" si="66"/>
        <v>0.16696672907964857</v>
      </c>
      <c r="AN65" s="52">
        <f t="shared" si="66"/>
        <v>0.18729697119698047</v>
      </c>
      <c r="AO65" s="52">
        <f t="shared" si="66"/>
        <v>0.1607590059718744</v>
      </c>
      <c r="AP65" s="52">
        <f t="shared" si="66"/>
        <v>0.32504516642679976</v>
      </c>
      <c r="AQ65" s="52">
        <f t="shared" si="66"/>
        <v>0.16603438055720213</v>
      </c>
      <c r="AR65" s="52">
        <f t="shared" si="66"/>
        <v>0.18084835522965678</v>
      </c>
      <c r="AS65" s="52">
        <f t="shared" si="66"/>
        <v>0.2116183714466551</v>
      </c>
      <c r="AT65" s="52">
        <f t="shared" si="66"/>
        <v>0.16061524239934263</v>
      </c>
      <c r="AU65" s="52">
        <f t="shared" si="66"/>
        <v>0.17778216746092496</v>
      </c>
      <c r="AV65" s="52">
        <f t="shared" si="66"/>
        <v>0.18593597395550732</v>
      </c>
      <c r="AW65" s="52">
        <f t="shared" ref="AW65:BP65" si="67">AW54/AW48</f>
        <v>0.17930464782915037</v>
      </c>
      <c r="AX65" s="52">
        <f t="shared" si="67"/>
        <v>0.16936052432305401</v>
      </c>
      <c r="AY65" s="52">
        <f t="shared" si="67"/>
        <v>0.15132220128646612</v>
      </c>
      <c r="AZ65" s="52">
        <f t="shared" si="67"/>
        <v>0.14315090161341348</v>
      </c>
      <c r="BA65" s="52">
        <f t="shared" si="67"/>
        <v>0.13177495751527643</v>
      </c>
      <c r="BB65" s="52">
        <f t="shared" si="67"/>
        <v>0.13925339366515838</v>
      </c>
      <c r="BC65" s="52">
        <f t="shared" si="67"/>
        <v>0.13470929696858011</v>
      </c>
      <c r="BD65" s="52">
        <f t="shared" si="67"/>
        <v>0.15591105210753403</v>
      </c>
      <c r="BE65" s="52">
        <f t="shared" si="67"/>
        <v>0.13525753186984457</v>
      </c>
      <c r="BF65" s="52">
        <f t="shared" si="67"/>
        <v>0.14762143933414651</v>
      </c>
      <c r="BG65" s="52">
        <f t="shared" si="67"/>
        <v>0.1523475945116656</v>
      </c>
      <c r="BH65" s="52">
        <f t="shared" si="67"/>
        <v>0.16146381232905532</v>
      </c>
      <c r="BI65" s="52">
        <f t="shared" si="67"/>
        <v>0.14747732385687878</v>
      </c>
      <c r="BJ65" s="52">
        <f t="shared" si="67"/>
        <v>0.13755294622272266</v>
      </c>
      <c r="BK65" s="52">
        <f t="shared" si="67"/>
        <v>0.14164265317564836</v>
      </c>
      <c r="BL65" s="52">
        <f t="shared" si="67"/>
        <v>0.1497508979260804</v>
      </c>
      <c r="BM65" s="52">
        <f t="shared" si="67"/>
        <v>0.11735929177168825</v>
      </c>
      <c r="BN65" s="52">
        <f t="shared" si="67"/>
        <v>0.11741521323546765</v>
      </c>
      <c r="BO65" s="52">
        <f t="shared" si="67"/>
        <v>0.12264920469479312</v>
      </c>
      <c r="BP65" s="52">
        <f t="shared" si="67"/>
        <v>0.12198737418237983</v>
      </c>
      <c r="BQ65" s="52">
        <f>BQ54/BQ48</f>
        <v>0.10762018751246759</v>
      </c>
    </row>
    <row r="66" spans="2:69">
      <c r="B66" s="38" t="s">
        <v>74</v>
      </c>
      <c r="C66" s="52">
        <f t="shared" ref="C66:AV66" si="68">C55/C48</f>
        <v>0.29383268119992545</v>
      </c>
      <c r="D66" s="52">
        <f t="shared" si="68"/>
        <v>0.29741923840462009</v>
      </c>
      <c r="E66" s="52">
        <f t="shared" si="68"/>
        <v>0.34198584135051735</v>
      </c>
      <c r="F66" s="52">
        <f t="shared" si="68"/>
        <v>0.33930834691290968</v>
      </c>
      <c r="G66" s="52">
        <f t="shared" si="68"/>
        <v>0.34886459209419679</v>
      </c>
      <c r="H66" s="52">
        <f t="shared" si="68"/>
        <v>0.37159124962541207</v>
      </c>
      <c r="I66" s="52">
        <f t="shared" si="68"/>
        <v>0.36723247232472322</v>
      </c>
      <c r="J66" s="52">
        <f t="shared" si="68"/>
        <v>0.34677419354838712</v>
      </c>
      <c r="K66" s="52">
        <f t="shared" si="68"/>
        <v>0.34957452648915727</v>
      </c>
      <c r="L66" s="52">
        <f t="shared" si="68"/>
        <v>0.35319905213270142</v>
      </c>
      <c r="M66" s="52">
        <f t="shared" si="68"/>
        <v>0.26775510204081632</v>
      </c>
      <c r="N66" s="52">
        <f t="shared" si="68"/>
        <v>0.31918900952803014</v>
      </c>
      <c r="O66" s="52">
        <f t="shared" si="68"/>
        <v>0.31460905349794238</v>
      </c>
      <c r="P66" s="52">
        <f t="shared" si="68"/>
        <v>0.33134920634920634</v>
      </c>
      <c r="Q66" s="52">
        <f t="shared" si="68"/>
        <v>0.3183654297792391</v>
      </c>
      <c r="R66" s="52">
        <f t="shared" si="68"/>
        <v>0.27415939696790037</v>
      </c>
      <c r="S66" s="52">
        <f t="shared" si="68"/>
        <v>0.20595309681298857</v>
      </c>
      <c r="T66" s="52">
        <f t="shared" si="68"/>
        <v>0.43450354954779735</v>
      </c>
      <c r="U66" s="52">
        <f t="shared" si="68"/>
        <v>0.28939850204617407</v>
      </c>
      <c r="V66" s="52">
        <f t="shared" si="68"/>
        <v>0.26436255436026551</v>
      </c>
      <c r="W66" s="52">
        <f t="shared" si="68"/>
        <v>0.27344772429838593</v>
      </c>
      <c r="X66" s="52">
        <f t="shared" si="68"/>
        <v>0.28197618896033616</v>
      </c>
      <c r="Y66" s="52">
        <f t="shared" si="68"/>
        <v>0.26686121919584954</v>
      </c>
      <c r="Z66" s="52">
        <f t="shared" si="68"/>
        <v>0.26687558759009716</v>
      </c>
      <c r="AA66" s="52">
        <f t="shared" si="68"/>
        <v>0.22538279973370454</v>
      </c>
      <c r="AB66" s="52">
        <f t="shared" si="68"/>
        <v>0.24299839805557091</v>
      </c>
      <c r="AC66" s="52">
        <f t="shared" si="68"/>
        <v>0.25767759879476188</v>
      </c>
      <c r="AD66" s="52">
        <f t="shared" si="68"/>
        <v>0.2721836746206352</v>
      </c>
      <c r="AE66" s="52">
        <f t="shared" si="68"/>
        <v>0.25210174029451138</v>
      </c>
      <c r="AF66" s="52">
        <f t="shared" si="68"/>
        <v>0.25223873599324864</v>
      </c>
      <c r="AG66" s="52">
        <f t="shared" si="68"/>
        <v>0.26371130967073109</v>
      </c>
      <c r="AH66" s="52">
        <f t="shared" si="68"/>
        <v>0.27758139534883719</v>
      </c>
      <c r="AI66" s="52">
        <f t="shared" si="68"/>
        <v>0.25687051801701483</v>
      </c>
      <c r="AJ66" s="52">
        <f t="shared" si="68"/>
        <v>0.25471915285451197</v>
      </c>
      <c r="AK66" s="52">
        <f t="shared" si="68"/>
        <v>0.26537373737373737</v>
      </c>
      <c r="AL66" s="52">
        <f t="shared" si="68"/>
        <v>0.15886197616301423</v>
      </c>
      <c r="AM66" s="52">
        <f t="shared" si="68"/>
        <v>0.28021028373901774</v>
      </c>
      <c r="AN66" s="52">
        <f t="shared" si="68"/>
        <v>0.23809671132011262</v>
      </c>
      <c r="AO66" s="52">
        <f t="shared" si="68"/>
        <v>0.24507159827907277</v>
      </c>
      <c r="AP66" s="52">
        <f t="shared" si="68"/>
        <v>9.3241877698502618E-2</v>
      </c>
      <c r="AQ66" s="52">
        <f t="shared" si="68"/>
        <v>0.25563129816241847</v>
      </c>
      <c r="AR66" s="52">
        <f t="shared" si="68"/>
        <v>0.20931357572054179</v>
      </c>
      <c r="AS66" s="52">
        <f t="shared" si="68"/>
        <v>0.18184319876716476</v>
      </c>
      <c r="AT66" s="52">
        <f t="shared" si="68"/>
        <v>0.23572308956450289</v>
      </c>
      <c r="AU66" s="52">
        <f t="shared" si="68"/>
        <v>0.22659818760957059</v>
      </c>
      <c r="AV66" s="52">
        <f t="shared" si="68"/>
        <v>0.20110689093868692</v>
      </c>
      <c r="AW66" s="52">
        <f t="shared" ref="AW66:BP66" si="69">AW55/AW48</f>
        <v>0.1938093734055735</v>
      </c>
      <c r="AX66" s="52">
        <f t="shared" si="69"/>
        <v>0.1666710186176463</v>
      </c>
      <c r="AY66" s="52">
        <f t="shared" si="69"/>
        <v>0.24284755159941956</v>
      </c>
      <c r="AZ66" s="52">
        <f t="shared" si="69"/>
        <v>0.27507118000632713</v>
      </c>
      <c r="BA66" s="52">
        <f t="shared" si="69"/>
        <v>0.29715804317171057</v>
      </c>
      <c r="BB66" s="52">
        <f t="shared" si="69"/>
        <v>0.312879767291532</v>
      </c>
      <c r="BC66" s="52">
        <f t="shared" si="69"/>
        <v>0.32296753585798088</v>
      </c>
      <c r="BD66" s="52">
        <f t="shared" si="69"/>
        <v>0.29054098904746101</v>
      </c>
      <c r="BE66" s="52">
        <f t="shared" si="69"/>
        <v>0.29545220626075192</v>
      </c>
      <c r="BF66" s="52">
        <f t="shared" si="69"/>
        <v>0.279156202913109</v>
      </c>
      <c r="BG66" s="52">
        <f t="shared" si="69"/>
        <v>0.24800266311584554</v>
      </c>
      <c r="BH66" s="52">
        <f t="shared" si="69"/>
        <v>0.23879654954765411</v>
      </c>
      <c r="BI66" s="52">
        <f t="shared" si="69"/>
        <v>0.24954504420594092</v>
      </c>
      <c r="BJ66" s="52">
        <f t="shared" si="69"/>
        <v>0.29271888906761029</v>
      </c>
      <c r="BK66" s="52">
        <f t="shared" si="69"/>
        <v>0.27829136948613303</v>
      </c>
      <c r="BL66" s="52">
        <f t="shared" si="69"/>
        <v>0.27455683003128256</v>
      </c>
      <c r="BM66" s="52">
        <f t="shared" si="69"/>
        <v>0.31626913669154072</v>
      </c>
      <c r="BN66" s="52">
        <f t="shared" si="69"/>
        <v>0.32362936914398999</v>
      </c>
      <c r="BO66" s="52">
        <f t="shared" si="69"/>
        <v>0.32311823084243441</v>
      </c>
      <c r="BP66" s="52">
        <f t="shared" si="69"/>
        <v>0.32105650519856122</v>
      </c>
      <c r="BQ66" s="52">
        <f>BQ55/BQ48</f>
        <v>0.33918478622248821</v>
      </c>
    </row>
    <row r="67" spans="2:69">
      <c r="B67" s="38" t="s">
        <v>75</v>
      </c>
      <c r="C67" s="52">
        <f t="shared" ref="C67:AV67" si="70">C58/C57</f>
        <v>0.23762921279588964</v>
      </c>
      <c r="D67" s="52">
        <f t="shared" si="70"/>
        <v>0.22693505871075964</v>
      </c>
      <c r="E67" s="52">
        <f t="shared" si="70"/>
        <v>0.24708994708994708</v>
      </c>
      <c r="F67" s="52">
        <f t="shared" si="70"/>
        <v>0.19989224137931033</v>
      </c>
      <c r="G67" s="52">
        <f t="shared" si="70"/>
        <v>0.20706337687469764</v>
      </c>
      <c r="H67" s="52">
        <f t="shared" si="70"/>
        <v>0.23169781931464176</v>
      </c>
      <c r="I67" s="52">
        <f t="shared" si="70"/>
        <v>0.21987230646448525</v>
      </c>
      <c r="J67" s="52">
        <f t="shared" si="70"/>
        <v>0.24404272801972063</v>
      </c>
      <c r="K67" s="52">
        <f t="shared" si="70"/>
        <v>0.20154753131908623</v>
      </c>
      <c r="L67" s="52">
        <f t="shared" si="70"/>
        <v>0.19064290260980268</v>
      </c>
      <c r="M67" s="52">
        <f t="shared" si="70"/>
        <v>0.24832775919732442</v>
      </c>
      <c r="N67" s="52">
        <f t="shared" si="70"/>
        <v>0.18800648298217179</v>
      </c>
      <c r="O67" s="52">
        <f t="shared" si="70"/>
        <v>0.18779761904761905</v>
      </c>
      <c r="P67" s="52">
        <f t="shared" si="70"/>
        <v>0.22470621954714817</v>
      </c>
      <c r="Q67" s="52">
        <f t="shared" si="70"/>
        <v>0.18476727785613539</v>
      </c>
      <c r="R67" s="52">
        <f t="shared" si="70"/>
        <v>0.18825214899713466</v>
      </c>
      <c r="S67" s="52">
        <f t="shared" si="70"/>
        <v>0.23065953654188948</v>
      </c>
      <c r="T67" s="52">
        <f t="shared" si="70"/>
        <v>0.2067401166558652</v>
      </c>
      <c r="U67" s="52">
        <f t="shared" si="70"/>
        <v>9.1190108191653782E-2</v>
      </c>
      <c r="V67" s="52">
        <f t="shared" si="70"/>
        <v>0.25047284517697921</v>
      </c>
      <c r="W67" s="52">
        <f t="shared" si="70"/>
        <v>0.16211920529801324</v>
      </c>
      <c r="X67" s="52">
        <f t="shared" si="70"/>
        <v>0.18630257652499449</v>
      </c>
      <c r="Y67" s="52">
        <f t="shared" si="70"/>
        <v>0.1838103756708408</v>
      </c>
      <c r="Z67" s="52">
        <f t="shared" si="70"/>
        <v>0.22348398818987053</v>
      </c>
      <c r="AA67" s="52">
        <f t="shared" si="70"/>
        <v>0.24189784806844697</v>
      </c>
      <c r="AB67" s="52">
        <f t="shared" si="70"/>
        <v>0.19880715705765409</v>
      </c>
      <c r="AC67" s="52">
        <f t="shared" si="70"/>
        <v>0.23653344917463076</v>
      </c>
      <c r="AD67" s="52">
        <f t="shared" si="70"/>
        <v>0.20682001614205003</v>
      </c>
      <c r="AE67" s="52">
        <f t="shared" si="70"/>
        <v>0.18646493559599264</v>
      </c>
      <c r="AF67" s="52">
        <f t="shared" si="70"/>
        <v>5.326923076923077E-2</v>
      </c>
      <c r="AG67" s="52">
        <f t="shared" si="70"/>
        <v>0.17976213686878534</v>
      </c>
      <c r="AH67" s="52">
        <f t="shared" si="70"/>
        <v>0.20297434221277988</v>
      </c>
      <c r="AI67" s="52">
        <f t="shared" si="70"/>
        <v>0.16277915632754342</v>
      </c>
      <c r="AJ67" s="52">
        <f t="shared" si="70"/>
        <v>0.22225463030479803</v>
      </c>
      <c r="AK67" s="52">
        <f t="shared" si="70"/>
        <v>0.20428215280832968</v>
      </c>
      <c r="AL67" s="52">
        <f t="shared" si="70"/>
        <v>0.19488233950194198</v>
      </c>
      <c r="AM67" s="52">
        <f t="shared" si="70"/>
        <v>0.15628524877804237</v>
      </c>
      <c r="AN67" s="52">
        <f t="shared" si="70"/>
        <v>1.3766525318034422</v>
      </c>
      <c r="AO67" s="52">
        <f t="shared" si="70"/>
        <v>0.10831831546998008</v>
      </c>
      <c r="AP67" s="52">
        <f t="shared" si="70"/>
        <v>0.24199288256227758</v>
      </c>
      <c r="AQ67" s="52">
        <f t="shared" si="70"/>
        <v>8.8366557572151144E-2</v>
      </c>
      <c r="AR67" s="52">
        <f t="shared" si="70"/>
        <v>0.11159650516282764</v>
      </c>
      <c r="AS67" s="52">
        <f t="shared" si="70"/>
        <v>0.18278909894426712</v>
      </c>
      <c r="AT67" s="52">
        <f t="shared" si="70"/>
        <v>0.18111467852144564</v>
      </c>
      <c r="AU67" s="52">
        <f t="shared" si="70"/>
        <v>0.1808066759388039</v>
      </c>
      <c r="AV67" s="52">
        <f t="shared" si="70"/>
        <v>3.0829596412556052E-3</v>
      </c>
      <c r="AW67" s="52">
        <f t="shared" ref="AW67:BP67" si="71">AW58/AW57</f>
        <v>0.11873146835116669</v>
      </c>
      <c r="AX67" s="52">
        <f t="shared" si="71"/>
        <v>0.15923643832306392</v>
      </c>
      <c r="AY67" s="52">
        <f t="shared" si="71"/>
        <v>0.15809566584325174</v>
      </c>
      <c r="AZ67" s="52">
        <f t="shared" si="71"/>
        <v>0.18524265610787094</v>
      </c>
      <c r="BA67" s="52">
        <f t="shared" si="71"/>
        <v>0.15754357938260583</v>
      </c>
      <c r="BB67" s="52">
        <f t="shared" si="71"/>
        <v>0.15738003183989083</v>
      </c>
      <c r="BC67" s="52">
        <f t="shared" si="71"/>
        <v>0.17898022892819979</v>
      </c>
      <c r="BD67" s="52">
        <f t="shared" si="71"/>
        <v>0.15408573067781328</v>
      </c>
      <c r="BE67" s="52">
        <f t="shared" si="71"/>
        <v>0.13193197422625963</v>
      </c>
      <c r="BF67" s="52">
        <f t="shared" si="71"/>
        <v>0.15840959293152415</v>
      </c>
      <c r="BG67" s="52">
        <f t="shared" si="71"/>
        <v>0.14310355448777182</v>
      </c>
      <c r="BH67" s="52">
        <f t="shared" si="71"/>
        <v>0.20545868081880211</v>
      </c>
      <c r="BI67" s="52">
        <f t="shared" si="71"/>
        <v>0.17324910738808019</v>
      </c>
      <c r="BJ67" s="52">
        <f t="shared" si="71"/>
        <v>0.16139341642697347</v>
      </c>
      <c r="BK67" s="52">
        <f t="shared" si="71"/>
        <v>7.1142142756050381E-2</v>
      </c>
      <c r="BL67" s="52">
        <f t="shared" si="71"/>
        <v>0.15258889070948714</v>
      </c>
      <c r="BM67" s="52">
        <f t="shared" si="71"/>
        <v>0.16432986049796927</v>
      </c>
      <c r="BN67" s="52">
        <f t="shared" si="71"/>
        <v>0.14271714275343908</v>
      </c>
      <c r="BO67" s="52">
        <f t="shared" si="71"/>
        <v>0.17047246577934777</v>
      </c>
      <c r="BP67" s="52">
        <f t="shared" si="71"/>
        <v>0.17699965884067859</v>
      </c>
      <c r="BQ67" s="52">
        <f>BQ58/BQ57</f>
        <v>0.173466701763622</v>
      </c>
    </row>
    <row r="68" spans="2:69">
      <c r="B68" s="38" t="s">
        <v>76</v>
      </c>
      <c r="C68" s="52">
        <f t="shared" ref="C68:AV68" si="72">C59/C48</f>
        <v>0.23223402273150737</v>
      </c>
      <c r="D68" s="52">
        <f t="shared" si="72"/>
        <v>0.23288215123623895</v>
      </c>
      <c r="E68" s="52">
        <f t="shared" si="72"/>
        <v>0.25830459248502452</v>
      </c>
      <c r="F68" s="52">
        <f t="shared" si="72"/>
        <v>0.26887561108093427</v>
      </c>
      <c r="G68" s="52">
        <f t="shared" si="72"/>
        <v>0.27569386038687971</v>
      </c>
      <c r="H68" s="52">
        <f t="shared" si="72"/>
        <v>0.29562481270602337</v>
      </c>
      <c r="I68" s="52">
        <f t="shared" si="72"/>
        <v>0.28856088560885607</v>
      </c>
      <c r="J68" s="52">
        <f t="shared" si="72"/>
        <v>0.26979472140762462</v>
      </c>
      <c r="K68" s="52">
        <f t="shared" si="72"/>
        <v>0.29741970903101839</v>
      </c>
      <c r="L68" s="52">
        <f t="shared" si="72"/>
        <v>0.30130331753554501</v>
      </c>
      <c r="M68" s="52">
        <f t="shared" si="72"/>
        <v>0.20967930029154519</v>
      </c>
      <c r="N68" s="52">
        <f t="shared" si="72"/>
        <v>0.27753157544870377</v>
      </c>
      <c r="O68" s="52">
        <f t="shared" si="72"/>
        <v>0.280761316872428</v>
      </c>
      <c r="P68" s="52">
        <f t="shared" si="72"/>
        <v>0.25557445200302342</v>
      </c>
      <c r="Q68" s="52">
        <f t="shared" si="72"/>
        <v>0.27148896195396899</v>
      </c>
      <c r="R68" s="52">
        <f t="shared" si="72"/>
        <v>0.23994240704666722</v>
      </c>
      <c r="S68" s="52">
        <f t="shared" si="72"/>
        <v>0.1622068550811786</v>
      </c>
      <c r="T68" s="52">
        <f t="shared" si="72"/>
        <v>0.35709423320042788</v>
      </c>
      <c r="U68" s="52">
        <f t="shared" si="72"/>
        <v>0.27241139680333565</v>
      </c>
      <c r="V68" s="52">
        <f t="shared" si="72"/>
        <v>0.21164263370717937</v>
      </c>
      <c r="W68" s="52">
        <f t="shared" si="72"/>
        <v>0.22996946342882071</v>
      </c>
      <c r="X68" s="52">
        <f t="shared" si="72"/>
        <v>0.23524543197300565</v>
      </c>
      <c r="Y68" s="52">
        <f t="shared" si="72"/>
        <v>0.23670557717250323</v>
      </c>
      <c r="Z68" s="52">
        <f t="shared" si="72"/>
        <v>0.21429019116264494</v>
      </c>
      <c r="AA68" s="52">
        <f t="shared" si="72"/>
        <v>0.1769654421109968</v>
      </c>
      <c r="AB68" s="52">
        <f t="shared" si="72"/>
        <v>0.20035353256366348</v>
      </c>
      <c r="AC68" s="52">
        <f t="shared" si="72"/>
        <v>0.20367365859311623</v>
      </c>
      <c r="AD68" s="52">
        <f t="shared" si="72"/>
        <v>0.22175212951994133</v>
      </c>
      <c r="AE68" s="52">
        <f t="shared" si="72"/>
        <v>0.21306559571619813</v>
      </c>
      <c r="AF68" s="52">
        <f t="shared" si="72"/>
        <v>0.23081250879084814</v>
      </c>
      <c r="AG68" s="52">
        <f t="shared" si="72"/>
        <v>0.20768129535469221</v>
      </c>
      <c r="AH68" s="52">
        <f t="shared" si="72"/>
        <v>0.22683720930232559</v>
      </c>
      <c r="AI68" s="52">
        <f t="shared" si="72"/>
        <v>0.22542425727139104</v>
      </c>
      <c r="AJ68" s="52">
        <f t="shared" si="72"/>
        <v>0.20461172498465316</v>
      </c>
      <c r="AK68" s="52">
        <f t="shared" si="72"/>
        <v>0.21923232323232322</v>
      </c>
      <c r="AL68" s="52">
        <f t="shared" si="72"/>
        <v>0.13548635140330642</v>
      </c>
      <c r="AM68" s="52">
        <f t="shared" si="72"/>
        <v>0.24240241970329829</v>
      </c>
      <c r="AN68" s="52">
        <f t="shared" si="72"/>
        <v>-9.343192154193608E-2</v>
      </c>
      <c r="AO68" s="52">
        <f t="shared" si="72"/>
        <v>0.30183651191164196</v>
      </c>
      <c r="AP68" s="52">
        <f t="shared" si="72"/>
        <v>9.7835073644241669E-2</v>
      </c>
      <c r="AQ68" s="52">
        <f t="shared" si="72"/>
        <v>0.2724362774155305</v>
      </c>
      <c r="AR68" s="52">
        <f t="shared" si="72"/>
        <v>0.22782360729198492</v>
      </c>
      <c r="AS68" s="52">
        <f t="shared" si="72"/>
        <v>0.18319161231734502</v>
      </c>
      <c r="AT68" s="52">
        <f t="shared" si="72"/>
        <v>0.25541803615447822</v>
      </c>
      <c r="AU68" s="52">
        <f t="shared" si="72"/>
        <v>0.17452282772414135</v>
      </c>
      <c r="AV68" s="52">
        <f t="shared" si="72"/>
        <v>0.23160065111231687</v>
      </c>
      <c r="AW68" s="52">
        <f t="shared" ref="AW68:BP68" si="73">AW59/AW48</f>
        <v>0.16608761145800433</v>
      </c>
      <c r="AX68" s="52">
        <f t="shared" si="73"/>
        <v>0.1817113612032274</v>
      </c>
      <c r="AY68" s="52">
        <f t="shared" si="73"/>
        <v>0.24358391267623936</v>
      </c>
      <c r="AZ68" s="52">
        <f t="shared" si="73"/>
        <v>0.26761924847973567</v>
      </c>
      <c r="BA68" s="52">
        <f t="shared" si="73"/>
        <v>0.32414940159814876</v>
      </c>
      <c r="BB68" s="52">
        <f t="shared" si="73"/>
        <v>0.29936974789915966</v>
      </c>
      <c r="BC68" s="52">
        <f t="shared" si="73"/>
        <v>0.29079517184188702</v>
      </c>
      <c r="BD68" s="52">
        <f t="shared" si="73"/>
        <v>0.2740391636242947</v>
      </c>
      <c r="BE68" s="52">
        <f t="shared" si="73"/>
        <v>0.24166678919586537</v>
      </c>
      <c r="BF68" s="52">
        <f t="shared" si="73"/>
        <v>0.22963335007533903</v>
      </c>
      <c r="BG68" s="52">
        <f t="shared" si="73"/>
        <v>0.20132576854049672</v>
      </c>
      <c r="BH68" s="52">
        <f t="shared" si="73"/>
        <v>0.17915001051967178</v>
      </c>
      <c r="BI68" s="52">
        <f t="shared" si="73"/>
        <v>0.21567054035851949</v>
      </c>
      <c r="BJ68" s="52">
        <f t="shared" si="73"/>
        <v>0.2462066377137955</v>
      </c>
      <c r="BK68" s="52">
        <f t="shared" si="73"/>
        <v>0.25672486406842865</v>
      </c>
      <c r="BL68" s="52">
        <f t="shared" si="73"/>
        <v>0.23968253968253969</v>
      </c>
      <c r="BM68" s="52">
        <f t="shared" si="73"/>
        <v>0.29379555246526529</v>
      </c>
      <c r="BN68" s="52">
        <f t="shared" si="73"/>
        <v>0.27871657501593072</v>
      </c>
      <c r="BO68" s="52">
        <f t="shared" si="73"/>
        <v>0.29796755336022113</v>
      </c>
      <c r="BP68" s="52">
        <f t="shared" si="73"/>
        <v>0.27507282132083882</v>
      </c>
      <c r="BQ68" s="52">
        <f>BQ59/BQ48</f>
        <v>0.38278254316554733</v>
      </c>
    </row>
    <row r="69" spans="2:69">
      <c r="B69" s="38" t="s">
        <v>109</v>
      </c>
    </row>
    <row r="70" spans="2:69">
      <c r="B70" s="38"/>
    </row>
    <row r="71" spans="2:69">
      <c r="B71" s="1" t="s">
        <v>77</v>
      </c>
      <c r="AZ71" s="1">
        <v>26465</v>
      </c>
      <c r="BA71" s="1">
        <v>26622</v>
      </c>
      <c r="BB71" s="1">
        <v>23630</v>
      </c>
      <c r="BC71" s="1">
        <v>23719</v>
      </c>
      <c r="BD71" s="1">
        <v>20945</v>
      </c>
      <c r="BE71" s="1">
        <v>20886</v>
      </c>
      <c r="BF71" s="1">
        <v>17936</v>
      </c>
      <c r="BG71" s="1">
        <v>21984</v>
      </c>
      <c r="BH71" s="1">
        <v>21879</v>
      </c>
      <c r="BI71" s="1">
        <v>25924</v>
      </c>
      <c r="BJ71" s="1">
        <v>25929</v>
      </c>
      <c r="BK71" s="1">
        <v>30702</v>
      </c>
      <c r="BL71" s="1">
        <v>24048</v>
      </c>
      <c r="BM71" s="1">
        <v>24493</v>
      </c>
      <c r="BN71" s="1">
        <v>27225</v>
      </c>
      <c r="BO71" s="1">
        <v>19959</v>
      </c>
      <c r="BP71" s="1">
        <v>23466</v>
      </c>
      <c r="BQ71" s="1">
        <v>23264</v>
      </c>
    </row>
    <row r="72" spans="2:69">
      <c r="B72" s="1" t="s">
        <v>78</v>
      </c>
      <c r="AZ72" s="1">
        <v>110229</v>
      </c>
      <c r="BA72" s="1">
        <v>108482</v>
      </c>
      <c r="BB72" s="1">
        <v>112233</v>
      </c>
      <c r="BC72" s="1">
        <v>118284</v>
      </c>
      <c r="BD72" s="1">
        <v>118704</v>
      </c>
      <c r="BE72" s="1">
        <v>113084</v>
      </c>
      <c r="BF72" s="1">
        <v>107061</v>
      </c>
      <c r="BG72" s="1">
        <v>94275</v>
      </c>
      <c r="BH72" s="1">
        <v>91883</v>
      </c>
      <c r="BI72" s="1">
        <v>89178</v>
      </c>
      <c r="BJ72" s="1">
        <v>92403</v>
      </c>
      <c r="BK72" s="1">
        <v>89233</v>
      </c>
      <c r="BL72" s="1">
        <v>86868</v>
      </c>
      <c r="BM72" s="1">
        <v>83597</v>
      </c>
      <c r="BN72" s="1">
        <v>73500</v>
      </c>
      <c r="BO72" s="1">
        <v>73271</v>
      </c>
      <c r="BP72" s="1">
        <v>72191</v>
      </c>
      <c r="BQ72" s="1">
        <v>72064</v>
      </c>
    </row>
    <row r="73" spans="2:69">
      <c r="B73" s="38" t="s">
        <v>320</v>
      </c>
      <c r="AZ73" s="1">
        <v>30930</v>
      </c>
      <c r="BA73" s="1">
        <v>28006</v>
      </c>
      <c r="BB73" s="1">
        <v>31967</v>
      </c>
      <c r="BC73" s="1">
        <v>34047</v>
      </c>
      <c r="BD73" s="1">
        <v>39304</v>
      </c>
      <c r="BE73" s="1">
        <v>34703</v>
      </c>
      <c r="BF73" s="1">
        <v>35707</v>
      </c>
      <c r="BG73" s="1">
        <v>34697</v>
      </c>
      <c r="BH73" s="1">
        <v>40258</v>
      </c>
      <c r="BI73" s="1">
        <v>36036</v>
      </c>
      <c r="BJ73" s="1">
        <v>38804</v>
      </c>
      <c r="BK73" s="1">
        <v>41020</v>
      </c>
      <c r="BL73" s="1">
        <v>47964</v>
      </c>
      <c r="BM73" s="1">
        <v>44552</v>
      </c>
      <c r="BN73" s="1">
        <v>47087</v>
      </c>
      <c r="BO73" s="1">
        <v>49104</v>
      </c>
      <c r="BP73" s="1">
        <v>52340</v>
      </c>
      <c r="BQ73" s="1">
        <v>51000</v>
      </c>
    </row>
    <row r="74" spans="2:69">
      <c r="B74" s="38" t="s">
        <v>415</v>
      </c>
      <c r="AZ74" s="1">
        <v>454</v>
      </c>
      <c r="BA74" s="1">
        <v>493</v>
      </c>
      <c r="BB74" s="1">
        <v>884</v>
      </c>
      <c r="BC74" s="1">
        <v>753</v>
      </c>
      <c r="BD74" s="1">
        <v>966</v>
      </c>
      <c r="BE74" s="1">
        <v>919</v>
      </c>
      <c r="BF74" s="1">
        <v>1366</v>
      </c>
      <c r="BG74" s="1">
        <v>1479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</row>
    <row r="75" spans="2:69">
      <c r="B75" s="38" t="s">
        <v>413</v>
      </c>
      <c r="AZ75" s="1">
        <v>728</v>
      </c>
      <c r="BA75" s="1">
        <v>888</v>
      </c>
      <c r="BB75" s="1">
        <v>907</v>
      </c>
      <c r="BC75" s="1">
        <v>1278</v>
      </c>
      <c r="BD75" s="1">
        <v>1170</v>
      </c>
      <c r="BE75" s="1">
        <v>1369</v>
      </c>
      <c r="BF75" s="1">
        <v>1980</v>
      </c>
      <c r="BG75" s="1">
        <v>3156</v>
      </c>
      <c r="BH75" s="1">
        <v>2670</v>
      </c>
      <c r="BI75" s="1">
        <v>2315</v>
      </c>
      <c r="BJ75" s="1">
        <v>2231</v>
      </c>
      <c r="BK75" s="1">
        <v>2957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</row>
    <row r="76" spans="2:69">
      <c r="B76" s="38" t="s">
        <v>321</v>
      </c>
      <c r="AZ76" s="1">
        <v>5490</v>
      </c>
      <c r="BA76" s="1">
        <v>7646</v>
      </c>
      <c r="BB76" s="1">
        <v>6076</v>
      </c>
      <c r="BC76" s="1">
        <v>6029</v>
      </c>
      <c r="BD76" s="1">
        <v>4054</v>
      </c>
      <c r="BE76" s="1">
        <v>6892</v>
      </c>
      <c r="BF76" s="1">
        <v>8321</v>
      </c>
      <c r="BG76" s="1">
        <v>10518</v>
      </c>
      <c r="BH76" s="1">
        <v>8105</v>
      </c>
      <c r="BI76" s="1">
        <v>8532</v>
      </c>
      <c r="BJ76" s="1">
        <v>9421</v>
      </c>
      <c r="BK76" s="1">
        <v>12398</v>
      </c>
      <c r="BL76" s="1">
        <v>12650</v>
      </c>
      <c r="BM76" s="1">
        <v>12829</v>
      </c>
      <c r="BN76" s="1">
        <v>14183</v>
      </c>
      <c r="BO76" s="1">
        <v>15207</v>
      </c>
      <c r="BP76" s="1">
        <v>15714</v>
      </c>
      <c r="BQ76" s="1">
        <v>15724</v>
      </c>
    </row>
    <row r="77" spans="2:69">
      <c r="B77" s="1" t="s">
        <v>322</v>
      </c>
      <c r="AZ77" s="1">
        <v>20703</v>
      </c>
      <c r="BA77" s="1">
        <v>25294</v>
      </c>
      <c r="BB77" s="1">
        <v>25532</v>
      </c>
      <c r="BC77" s="1">
        <v>26101</v>
      </c>
      <c r="BD77" s="1">
        <v>29549</v>
      </c>
      <c r="BE77" s="1">
        <v>30544</v>
      </c>
      <c r="BF77" s="1">
        <v>30665</v>
      </c>
      <c r="BG77" s="1">
        <v>30419</v>
      </c>
      <c r="BH77" s="1">
        <v>30492</v>
      </c>
      <c r="BI77" s="1">
        <v>31213</v>
      </c>
      <c r="BJ77" s="1">
        <v>31224</v>
      </c>
      <c r="BK77" s="1">
        <v>30907</v>
      </c>
      <c r="BL77" s="1">
        <v>31008</v>
      </c>
      <c r="BM77" s="1">
        <v>33994</v>
      </c>
      <c r="BN77" s="1">
        <v>34172</v>
      </c>
      <c r="BO77" s="1">
        <v>36177</v>
      </c>
      <c r="BP77" s="1">
        <v>37982</v>
      </c>
      <c r="BQ77" s="1">
        <v>51029</v>
      </c>
    </row>
    <row r="78" spans="2:69">
      <c r="B78" s="1" t="s">
        <v>323</v>
      </c>
      <c r="AZ78" s="1">
        <v>1084</v>
      </c>
      <c r="BA78" s="1">
        <v>1129</v>
      </c>
      <c r="BB78" s="1">
        <v>1153</v>
      </c>
      <c r="BC78" s="1">
        <v>1195</v>
      </c>
      <c r="BD78" s="1">
        <v>1284</v>
      </c>
      <c r="BE78" s="1">
        <v>1388</v>
      </c>
      <c r="BF78" s="1">
        <v>1490</v>
      </c>
      <c r="BG78" s="1">
        <v>2991</v>
      </c>
      <c r="BH78" s="1">
        <v>5261</v>
      </c>
      <c r="BI78" s="1">
        <v>6885</v>
      </c>
      <c r="BJ78" s="1">
        <v>9357</v>
      </c>
      <c r="BK78" s="1">
        <v>10983</v>
      </c>
      <c r="BL78" s="1">
        <v>12169</v>
      </c>
      <c r="BM78" s="1">
        <v>11687</v>
      </c>
      <c r="BN78" s="1">
        <v>14958</v>
      </c>
      <c r="BO78" s="1">
        <v>15915</v>
      </c>
      <c r="BP78" s="1">
        <v>17180</v>
      </c>
      <c r="BQ78" s="1">
        <v>18386</v>
      </c>
    </row>
    <row r="79" spans="2:69">
      <c r="B79" s="1" t="s">
        <v>324</v>
      </c>
      <c r="AZ79" s="1">
        <v>84749</v>
      </c>
      <c r="BA79" s="1">
        <v>87606</v>
      </c>
      <c r="BB79" s="1">
        <v>91697</v>
      </c>
      <c r="BC79" s="1">
        <v>94631</v>
      </c>
      <c r="BD79" s="1">
        <v>97599</v>
      </c>
      <c r="BE79" s="1">
        <v>104218</v>
      </c>
      <c r="BF79" s="1">
        <v>106223</v>
      </c>
      <c r="BG79" s="1">
        <v>108363</v>
      </c>
      <c r="BH79" s="1">
        <v>112668</v>
      </c>
      <c r="BI79" s="1">
        <v>117560</v>
      </c>
      <c r="BJ79" s="1">
        <v>121208</v>
      </c>
      <c r="BK79" s="1">
        <v>125705</v>
      </c>
      <c r="BL79" s="1">
        <v>134345</v>
      </c>
      <c r="BM79" s="1">
        <v>143182</v>
      </c>
      <c r="BN79" s="1">
        <v>151155</v>
      </c>
      <c r="BO79" s="1">
        <v>161270</v>
      </c>
      <c r="BP79" s="1">
        <v>171036</v>
      </c>
      <c r="BQ79" s="1">
        <v>185062</v>
      </c>
    </row>
    <row r="80" spans="2:69">
      <c r="B80" s="1" t="s">
        <v>325</v>
      </c>
      <c r="AZ80" s="1">
        <v>12211</v>
      </c>
      <c r="BA80" s="1">
        <v>12598</v>
      </c>
      <c r="BB80" s="1">
        <v>12978</v>
      </c>
      <c r="BC80" s="1">
        <v>12918</v>
      </c>
      <c r="BD80" s="1">
        <v>12959</v>
      </c>
      <c r="BE80" s="1">
        <v>12992</v>
      </c>
      <c r="BF80" s="1">
        <v>13398</v>
      </c>
      <c r="BG80" s="1">
        <v>13677</v>
      </c>
      <c r="BH80" s="1">
        <v>14381</v>
      </c>
      <c r="BI80" s="1">
        <v>14447</v>
      </c>
      <c r="BJ80" s="1">
        <v>14469</v>
      </c>
      <c r="BK80" s="1">
        <v>14199</v>
      </c>
      <c r="BL80" s="1">
        <v>14091</v>
      </c>
      <c r="BM80" s="1">
        <v>13768</v>
      </c>
      <c r="BN80" s="1">
        <v>13606</v>
      </c>
      <c r="BO80" s="1">
        <v>13561</v>
      </c>
      <c r="BP80" s="1">
        <v>13588</v>
      </c>
      <c r="BQ80" s="1">
        <v>13722</v>
      </c>
    </row>
    <row r="81" spans="2:69">
      <c r="B81" s="1" t="s">
        <v>414</v>
      </c>
      <c r="AZ81" s="1">
        <v>1445</v>
      </c>
      <c r="BA81" s="1">
        <v>1823</v>
      </c>
      <c r="BB81" s="1">
        <v>1626</v>
      </c>
      <c r="BC81" s="1">
        <v>1549</v>
      </c>
      <c r="BD81" s="1">
        <v>1417</v>
      </c>
      <c r="BE81" s="1">
        <v>1313</v>
      </c>
      <c r="BF81" s="1">
        <v>1377</v>
      </c>
      <c r="BG81" s="1">
        <v>2192</v>
      </c>
      <c r="BH81" s="1">
        <v>2084</v>
      </c>
      <c r="BI81" s="1">
        <v>1968</v>
      </c>
      <c r="BJ81" s="1">
        <v>1966</v>
      </c>
      <c r="BK81" s="1">
        <v>1833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</row>
    <row r="82" spans="2:69">
      <c r="B82" s="1" t="s">
        <v>326</v>
      </c>
      <c r="AZ82" s="1">
        <v>21175</v>
      </c>
      <c r="BA82" s="1">
        <v>22341</v>
      </c>
      <c r="BB82" s="1">
        <v>22406</v>
      </c>
      <c r="BC82" s="1">
        <v>22623</v>
      </c>
      <c r="BD82" s="1">
        <v>22956</v>
      </c>
      <c r="BE82" s="1">
        <v>23010</v>
      </c>
      <c r="BF82" s="1">
        <v>23949</v>
      </c>
      <c r="BG82" s="1">
        <v>28834</v>
      </c>
      <c r="BH82" s="1">
        <v>28960</v>
      </c>
      <c r="BI82" s="1">
        <v>28994</v>
      </c>
      <c r="BJ82" s="1">
        <v>29210</v>
      </c>
      <c r="BK82" s="1">
        <v>29146</v>
      </c>
      <c r="BL82" s="1">
        <v>29198</v>
      </c>
      <c r="BM82" s="1">
        <v>29183</v>
      </c>
      <c r="BN82" s="1">
        <v>29185</v>
      </c>
      <c r="BO82" s="1">
        <v>31935</v>
      </c>
      <c r="BP82" s="1">
        <v>31885</v>
      </c>
      <c r="BQ82" s="1">
        <v>32173</v>
      </c>
    </row>
    <row r="83" spans="2:69">
      <c r="B83" s="1" t="s">
        <v>327</v>
      </c>
      <c r="AZ83" s="1">
        <v>3953</v>
      </c>
      <c r="BA83" s="1">
        <v>4167</v>
      </c>
      <c r="BB83" s="1">
        <v>4298</v>
      </c>
      <c r="BC83" s="1">
        <v>4276</v>
      </c>
      <c r="BD83" s="1">
        <v>5361</v>
      </c>
      <c r="BE83" s="1">
        <v>5778</v>
      </c>
      <c r="BF83" s="1">
        <v>5712</v>
      </c>
      <c r="BG83" s="1">
        <v>5670</v>
      </c>
      <c r="BH83" s="1">
        <v>6623</v>
      </c>
      <c r="BI83" s="1">
        <v>6439</v>
      </c>
      <c r="BJ83" s="1">
        <v>6822</v>
      </c>
      <c r="BK83" s="1">
        <v>7628</v>
      </c>
      <c r="BL83" s="1">
        <v>10051</v>
      </c>
      <c r="BM83" s="1">
        <v>10065</v>
      </c>
      <c r="BN83" s="1">
        <v>9699</v>
      </c>
      <c r="BO83" s="1">
        <v>13867</v>
      </c>
      <c r="BP83" s="1">
        <v>14874</v>
      </c>
      <c r="BQ83" s="1">
        <v>12950</v>
      </c>
    </row>
    <row r="84" spans="2:69">
      <c r="B84" s="1" t="s">
        <v>328</v>
      </c>
      <c r="AW84" s="1">
        <f>SUM(AW71:AW83)</f>
        <v>0</v>
      </c>
      <c r="AX84" s="1">
        <f>SUM(AX71:AX83)</f>
        <v>0</v>
      </c>
      <c r="AY84" s="1">
        <f>SUM(AY71:AY83)</f>
        <v>0</v>
      </c>
      <c r="AZ84" s="1">
        <f>SUM(AZ71:AZ83)</f>
        <v>319616</v>
      </c>
      <c r="BA84" s="1">
        <f>SUM(BA71:BA83)</f>
        <v>327095</v>
      </c>
      <c r="BB84" s="1">
        <f>SUM(BB71:BB83)</f>
        <v>335387</v>
      </c>
      <c r="BC84" s="1">
        <f>SUM(BC71:BC83)</f>
        <v>347403</v>
      </c>
      <c r="BD84" s="1">
        <f>SUM(BD71:BD83)</f>
        <v>356268</v>
      </c>
      <c r="BE84" s="1">
        <f>SUM(BE71:BE83)</f>
        <v>357096</v>
      </c>
      <c r="BF84" s="1">
        <f>SUM(BF71:BF83)</f>
        <v>355185</v>
      </c>
      <c r="BG84" s="1">
        <f>SUM(BG71:BG83)</f>
        <v>358255</v>
      </c>
      <c r="BH84" s="1">
        <f>SUM(BH71:BH83)</f>
        <v>365264</v>
      </c>
      <c r="BI84" s="1">
        <f>SUM(BI71:BI83)</f>
        <v>369491</v>
      </c>
      <c r="BJ84" s="1">
        <f>SUM(BJ71:BJ83)</f>
        <v>383044</v>
      </c>
      <c r="BK84" s="1">
        <f>SUM(BK71:BK83)</f>
        <v>396711</v>
      </c>
      <c r="BL84" s="1">
        <f>SUM(BL71:BL83)</f>
        <v>402392</v>
      </c>
      <c r="BM84" s="1">
        <f>SUM(BM71:BM83)</f>
        <v>407350</v>
      </c>
      <c r="BN84" s="1">
        <f>SUM(BN71:BN83)</f>
        <v>414770</v>
      </c>
      <c r="BO84" s="1">
        <f>SUM(BO71:BO83)</f>
        <v>430266</v>
      </c>
      <c r="BP84" s="1">
        <f>SUM(BP71:BP83)</f>
        <v>450256</v>
      </c>
      <c r="BQ84" s="1">
        <f>SUM(BQ71:BQ83)</f>
        <v>475374</v>
      </c>
    </row>
    <row r="86" spans="2:69">
      <c r="B86" s="1" t="s">
        <v>329</v>
      </c>
      <c r="AZ86" s="1">
        <v>5589</v>
      </c>
      <c r="BA86" s="1">
        <v>4801</v>
      </c>
      <c r="BB86" s="1">
        <v>4708</v>
      </c>
      <c r="BC86" s="1">
        <v>4616</v>
      </c>
      <c r="BD86" s="1">
        <v>6037</v>
      </c>
      <c r="BE86" s="1">
        <v>3436</v>
      </c>
      <c r="BF86" s="1">
        <v>4409</v>
      </c>
      <c r="BG86" s="1">
        <v>6303</v>
      </c>
      <c r="BH86" s="1">
        <v>5128</v>
      </c>
      <c r="BI86" s="1">
        <v>4184</v>
      </c>
      <c r="BJ86" s="1">
        <v>5313</v>
      </c>
      <c r="BK86" s="1">
        <v>5803</v>
      </c>
      <c r="BL86" s="1">
        <v>7493</v>
      </c>
      <c r="BM86" s="1">
        <v>6198</v>
      </c>
      <c r="BN86" s="1">
        <v>6092</v>
      </c>
      <c r="BO86" s="1">
        <v>7049</v>
      </c>
      <c r="BP86" s="1">
        <v>7987</v>
      </c>
      <c r="BQ86" s="1">
        <v>8497</v>
      </c>
    </row>
    <row r="87" spans="2:69">
      <c r="B87" s="1" t="s">
        <v>330</v>
      </c>
      <c r="AZ87" s="1">
        <v>11086</v>
      </c>
      <c r="BA87" s="1">
        <v>8375</v>
      </c>
      <c r="BB87" s="1">
        <v>10088</v>
      </c>
      <c r="BC87" s="1">
        <v>12170</v>
      </c>
      <c r="BD87" s="1">
        <v>13889</v>
      </c>
      <c r="BE87" s="1">
        <v>9803</v>
      </c>
      <c r="BF87" s="1">
        <v>10852</v>
      </c>
      <c r="BG87" s="1">
        <v>12366</v>
      </c>
      <c r="BH87" s="1">
        <v>14028</v>
      </c>
      <c r="BI87" s="1">
        <v>9954</v>
      </c>
      <c r="BJ87" s="1">
        <v>11260</v>
      </c>
      <c r="BK87" s="1">
        <v>12562</v>
      </c>
      <c r="BL87" s="1">
        <v>15140</v>
      </c>
      <c r="BM87" s="1">
        <v>9703</v>
      </c>
      <c r="BN87" s="1">
        <v>11373</v>
      </c>
      <c r="BO87" s="1">
        <v>12908</v>
      </c>
      <c r="BP87" s="1">
        <v>15069</v>
      </c>
      <c r="BQ87" s="1">
        <v>9984</v>
      </c>
    </row>
    <row r="88" spans="2:69">
      <c r="B88" s="1" t="s">
        <v>331</v>
      </c>
      <c r="AZ88" s="1">
        <v>28631</v>
      </c>
      <c r="BA88" s="1">
        <v>30732</v>
      </c>
      <c r="BB88" s="1">
        <v>28981</v>
      </c>
      <c r="BC88" s="1">
        <v>30113</v>
      </c>
      <c r="BD88" s="1">
        <v>31236</v>
      </c>
      <c r="BE88" s="1">
        <v>33051</v>
      </c>
      <c r="BF88" s="1">
        <v>32976</v>
      </c>
      <c r="BG88" s="1">
        <v>35038</v>
      </c>
      <c r="BH88" s="1">
        <v>37866</v>
      </c>
      <c r="BI88" s="1">
        <v>43185</v>
      </c>
      <c r="BJ88" s="1">
        <v>29300</v>
      </c>
      <c r="BK88" s="1">
        <v>55602</v>
      </c>
      <c r="BL88" s="1">
        <v>46168</v>
      </c>
      <c r="BM88" s="1">
        <v>48603</v>
      </c>
      <c r="BN88" s="1">
        <v>47298</v>
      </c>
      <c r="BO88" s="1">
        <v>46585</v>
      </c>
      <c r="BP88" s="1">
        <v>51228</v>
      </c>
      <c r="BQ88" s="1">
        <v>58300</v>
      </c>
    </row>
    <row r="89" spans="2:69">
      <c r="B89" s="1" t="s">
        <v>334</v>
      </c>
      <c r="AZ89" s="1">
        <v>7500</v>
      </c>
      <c r="BA89" s="1">
        <v>6962</v>
      </c>
      <c r="BB89" s="1">
        <v>7438</v>
      </c>
      <c r="BC89" s="1">
        <v>7745</v>
      </c>
      <c r="BD89" s="1">
        <v>8996</v>
      </c>
      <c r="BE89" s="1">
        <v>8116</v>
      </c>
      <c r="BF89" s="1">
        <v>7889</v>
      </c>
      <c r="BG89" s="1">
        <v>7662</v>
      </c>
      <c r="BH89" s="1">
        <v>8370</v>
      </c>
      <c r="BI89" s="1">
        <v>7816</v>
      </c>
      <c r="BJ89" s="1">
        <v>7990</v>
      </c>
      <c r="BK89" s="1">
        <v>8025</v>
      </c>
      <c r="BL89" s="1">
        <v>8876</v>
      </c>
      <c r="BM89" s="1">
        <v>8520</v>
      </c>
      <c r="BN89" s="1">
        <v>8899</v>
      </c>
      <c r="BO89" s="1">
        <v>9365</v>
      </c>
      <c r="BP89" s="1">
        <v>9802</v>
      </c>
      <c r="BQ89" s="1">
        <v>9965</v>
      </c>
    </row>
    <row r="90" spans="2:69">
      <c r="B90" s="1" t="s">
        <v>332</v>
      </c>
      <c r="AZ90" s="1">
        <v>2543</v>
      </c>
      <c r="BA90" s="1">
        <v>2690</v>
      </c>
      <c r="BB90" s="1">
        <v>2715</v>
      </c>
      <c r="BC90" s="1">
        <v>2968</v>
      </c>
      <c r="BD90" s="1">
        <v>3288</v>
      </c>
      <c r="BE90" s="1">
        <v>3198</v>
      </c>
      <c r="BF90" s="1">
        <v>3272</v>
      </c>
      <c r="BG90" s="1">
        <v>3585</v>
      </c>
      <c r="BH90" s="1">
        <v>3908</v>
      </c>
      <c r="BI90" s="1">
        <v>3715</v>
      </c>
      <c r="BJ90" s="1">
        <v>3846</v>
      </c>
      <c r="BK90" s="1">
        <v>4303</v>
      </c>
      <c r="BL90" s="1">
        <v>4137</v>
      </c>
      <c r="BM90" s="1">
        <v>3973</v>
      </c>
      <c r="BN90" s="1">
        <v>4251</v>
      </c>
      <c r="BO90" s="1">
        <v>4896</v>
      </c>
      <c r="BP90" s="1">
        <v>5036</v>
      </c>
      <c r="BQ90" s="1">
        <v>4908</v>
      </c>
    </row>
    <row r="91" spans="2:69">
      <c r="B91" s="1" t="s">
        <v>416</v>
      </c>
      <c r="AZ91" s="1">
        <v>1485</v>
      </c>
      <c r="BA91" s="1">
        <v>1893</v>
      </c>
      <c r="BB91" s="1">
        <v>1811</v>
      </c>
      <c r="BC91" s="1">
        <v>4170</v>
      </c>
      <c r="BD91" s="1">
        <v>808</v>
      </c>
      <c r="BE91" s="1">
        <v>4344</v>
      </c>
      <c r="BF91" s="1">
        <v>1956</v>
      </c>
      <c r="BG91" s="1">
        <v>1025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</row>
    <row r="92" spans="2:69">
      <c r="B92" s="1" t="s">
        <v>333</v>
      </c>
      <c r="AZ92" s="1">
        <v>13932</v>
      </c>
      <c r="BA92" s="1">
        <v>13887</v>
      </c>
      <c r="BB92" s="1">
        <v>14328</v>
      </c>
      <c r="BC92" s="1">
        <v>14288</v>
      </c>
      <c r="BD92" s="1">
        <v>14817</v>
      </c>
      <c r="BE92" s="1">
        <v>14791</v>
      </c>
      <c r="BF92" s="1">
        <v>14734</v>
      </c>
      <c r="BG92" s="1">
        <v>14653</v>
      </c>
      <c r="BH92" s="1">
        <v>14701</v>
      </c>
      <c r="BI92" s="1">
        <v>13697</v>
      </c>
      <c r="BJ92" s="1">
        <v>13705</v>
      </c>
      <c r="BK92" s="1">
        <v>13781</v>
      </c>
      <c r="BL92" s="1">
        <v>13253</v>
      </c>
      <c r="BM92" s="1">
        <v>13228</v>
      </c>
      <c r="BN92" s="1">
        <v>13238</v>
      </c>
      <c r="BO92" s="1">
        <v>12297</v>
      </c>
      <c r="BP92" s="1">
        <v>10883</v>
      </c>
      <c r="BQ92" s="1">
        <v>10886</v>
      </c>
    </row>
    <row r="93" spans="2:69">
      <c r="B93" s="1" t="s">
        <v>410</v>
      </c>
      <c r="AZ93" s="1">
        <v>481</v>
      </c>
      <c r="BA93" s="1">
        <v>530</v>
      </c>
      <c r="BB93" s="1">
        <v>510</v>
      </c>
      <c r="BC93" s="1">
        <v>510</v>
      </c>
      <c r="BD93" s="1">
        <v>535</v>
      </c>
      <c r="BE93" s="1">
        <v>499</v>
      </c>
      <c r="BF93" s="1">
        <v>472</v>
      </c>
      <c r="BG93" s="1">
        <v>594</v>
      </c>
      <c r="BH93" s="1">
        <v>599</v>
      </c>
      <c r="BI93" s="1">
        <v>610</v>
      </c>
      <c r="BJ93" s="1">
        <v>667</v>
      </c>
      <c r="BK93" s="1">
        <v>884</v>
      </c>
      <c r="BL93" s="1">
        <v>911</v>
      </c>
      <c r="BM93" s="1">
        <v>921</v>
      </c>
      <c r="BN93" s="1">
        <v>985</v>
      </c>
      <c r="BO93" s="1">
        <v>1015</v>
      </c>
      <c r="BP93" s="1">
        <v>0</v>
      </c>
      <c r="BQ93" s="1">
        <v>0</v>
      </c>
    </row>
    <row r="94" spans="2:69">
      <c r="B94" s="1" t="s">
        <v>411</v>
      </c>
      <c r="AZ94" s="1">
        <v>8849</v>
      </c>
      <c r="BA94" s="1">
        <v>9278</v>
      </c>
      <c r="BB94" s="1">
        <v>8651</v>
      </c>
      <c r="BC94" s="1">
        <v>8984</v>
      </c>
      <c r="BD94" s="1">
        <v>9176</v>
      </c>
      <c r="BE94" s="1">
        <v>9406</v>
      </c>
      <c r="BF94" s="1">
        <v>8163</v>
      </c>
      <c r="BG94" s="1">
        <v>8572</v>
      </c>
      <c r="BH94" s="1">
        <v>9258</v>
      </c>
      <c r="BI94" s="1">
        <v>9722</v>
      </c>
      <c r="BJ94" s="1">
        <v>8753</v>
      </c>
      <c r="BK94" s="1">
        <v>8038</v>
      </c>
      <c r="BL94" s="1">
        <v>8474</v>
      </c>
      <c r="BM94" s="1">
        <v>9234</v>
      </c>
      <c r="BN94" s="1">
        <v>7703</v>
      </c>
      <c r="BO94" s="1">
        <v>8219</v>
      </c>
      <c r="BP94" s="1">
        <v>0</v>
      </c>
      <c r="BQ94" s="1">
        <v>0</v>
      </c>
    </row>
    <row r="95" spans="2:69">
      <c r="B95" s="1" t="s">
        <v>412</v>
      </c>
      <c r="AZ95" s="1">
        <v>3561</v>
      </c>
      <c r="BA95" s="1">
        <v>4406</v>
      </c>
      <c r="BB95" s="1">
        <v>4703</v>
      </c>
      <c r="BC95" s="1">
        <v>3551</v>
      </c>
      <c r="BD95" s="1">
        <v>5257</v>
      </c>
      <c r="BE95" s="1">
        <v>2843</v>
      </c>
      <c r="BF95" s="1">
        <v>924</v>
      </c>
      <c r="BG95" s="1">
        <v>476</v>
      </c>
      <c r="BH95" s="1">
        <v>514</v>
      </c>
      <c r="BI95" s="1">
        <v>542</v>
      </c>
      <c r="BJ95" s="1">
        <v>558</v>
      </c>
      <c r="BK95" s="1">
        <v>528</v>
      </c>
      <c r="BL95" s="1">
        <v>485</v>
      </c>
      <c r="BM95" s="1">
        <v>486</v>
      </c>
      <c r="BN95" s="1">
        <v>717</v>
      </c>
      <c r="BO95" s="1">
        <v>706</v>
      </c>
      <c r="BP95" s="1">
        <v>8782</v>
      </c>
      <c r="BQ95" s="1">
        <v>9773</v>
      </c>
    </row>
    <row r="96" spans="2:69">
      <c r="B96" s="1" t="s">
        <v>335</v>
      </c>
      <c r="AZ96" s="1">
        <v>11146</v>
      </c>
      <c r="BA96" s="1">
        <v>11382</v>
      </c>
      <c r="BB96" s="1">
        <v>11619</v>
      </c>
      <c r="BC96" s="1">
        <v>11471</v>
      </c>
      <c r="BD96" s="1">
        <v>11389</v>
      </c>
      <c r="BE96" s="1">
        <v>11363</v>
      </c>
      <c r="BF96" s="1">
        <v>11697</v>
      </c>
      <c r="BG96" s="1">
        <v>11984</v>
      </c>
      <c r="BH96" s="1">
        <v>12501</v>
      </c>
      <c r="BI96" s="1">
        <v>12799</v>
      </c>
      <c r="BJ96" s="1">
        <v>12746</v>
      </c>
      <c r="BK96" s="1">
        <v>12550</v>
      </c>
      <c r="BL96" s="1">
        <v>12460</v>
      </c>
      <c r="BM96" s="1">
        <v>11957</v>
      </c>
      <c r="BN96" s="1">
        <v>11708</v>
      </c>
      <c r="BO96" s="1">
        <v>11654</v>
      </c>
      <c r="BP96" s="1">
        <v>11691</v>
      </c>
      <c r="BQ96" s="1">
        <v>11678</v>
      </c>
    </row>
    <row r="97" spans="2:69">
      <c r="B97" s="1" t="s">
        <v>336</v>
      </c>
      <c r="AZ97" s="1">
        <v>2269</v>
      </c>
      <c r="BA97" s="1">
        <v>2146</v>
      </c>
      <c r="BB97" s="1">
        <v>2270</v>
      </c>
      <c r="BC97" s="1">
        <v>2250</v>
      </c>
      <c r="BD97" s="1">
        <v>2205</v>
      </c>
      <c r="BE97" s="1">
        <v>2242</v>
      </c>
      <c r="BF97" s="1">
        <v>2422</v>
      </c>
      <c r="BG97" s="1">
        <v>2371</v>
      </c>
      <c r="BH97" s="1">
        <v>2247</v>
      </c>
      <c r="BI97" s="1">
        <v>2373</v>
      </c>
      <c r="BJ97" s="1">
        <v>1765</v>
      </c>
      <c r="BK97" s="1">
        <v>1433</v>
      </c>
      <c r="BL97" s="1">
        <v>1616</v>
      </c>
      <c r="BM97" s="1">
        <v>1683</v>
      </c>
      <c r="BN97" s="1">
        <v>1753</v>
      </c>
      <c r="BO97" s="1">
        <v>1453</v>
      </c>
      <c r="BP97" s="1">
        <v>4694</v>
      </c>
      <c r="BQ97" s="1">
        <v>6116</v>
      </c>
    </row>
    <row r="98" spans="2:69">
      <c r="B98" s="1" t="s">
        <v>337</v>
      </c>
      <c r="AW98" s="1">
        <f>SUM(AW86:AW97)</f>
        <v>0</v>
      </c>
      <c r="AX98" s="1">
        <f t="shared" ref="AX98:BQ98" si="74">SUM(AX86:AX97)</f>
        <v>0</v>
      </c>
      <c r="AY98" s="1">
        <f t="shared" si="74"/>
        <v>0</v>
      </c>
      <c r="AZ98" s="1">
        <f t="shared" si="74"/>
        <v>97072</v>
      </c>
      <c r="BA98" s="1">
        <f t="shared" si="74"/>
        <v>97082</v>
      </c>
      <c r="BB98" s="1">
        <f t="shared" si="74"/>
        <v>97822</v>
      </c>
      <c r="BC98" s="1">
        <f t="shared" si="74"/>
        <v>102836</v>
      </c>
      <c r="BD98" s="1">
        <f t="shared" si="74"/>
        <v>107633</v>
      </c>
      <c r="BE98" s="1">
        <f t="shared" si="74"/>
        <v>103092</v>
      </c>
      <c r="BF98" s="1">
        <f t="shared" si="74"/>
        <v>99766</v>
      </c>
      <c r="BG98" s="1">
        <f t="shared" si="74"/>
        <v>104629</v>
      </c>
      <c r="BH98" s="1">
        <f t="shared" si="74"/>
        <v>109120</v>
      </c>
      <c r="BI98" s="1">
        <f t="shared" si="74"/>
        <v>108597</v>
      </c>
      <c r="BJ98" s="1">
        <f t="shared" si="74"/>
        <v>95903</v>
      </c>
      <c r="BK98" s="1">
        <f t="shared" si="74"/>
        <v>123509</v>
      </c>
      <c r="BL98" s="1">
        <f t="shared" si="74"/>
        <v>119013</v>
      </c>
      <c r="BM98" s="1">
        <f t="shared" si="74"/>
        <v>114506</v>
      </c>
      <c r="BN98" s="1">
        <f t="shared" si="74"/>
        <v>114017</v>
      </c>
      <c r="BO98" s="1">
        <f t="shared" si="74"/>
        <v>116147</v>
      </c>
      <c r="BP98" s="1">
        <f t="shared" si="74"/>
        <v>125172</v>
      </c>
      <c r="BQ98" s="1">
        <f t="shared" si="74"/>
        <v>130107</v>
      </c>
    </row>
    <row r="99" spans="2:69">
      <c r="B99" s="1" t="s">
        <v>338</v>
      </c>
      <c r="AZ99" s="1">
        <v>222544</v>
      </c>
      <c r="BA99" s="1">
        <v>230013</v>
      </c>
      <c r="BB99" s="1">
        <v>237565</v>
      </c>
      <c r="BC99" s="1">
        <v>244567</v>
      </c>
      <c r="BD99" s="1">
        <v>251635</v>
      </c>
      <c r="BE99" s="1">
        <v>254004</v>
      </c>
      <c r="BF99" s="1">
        <v>255419</v>
      </c>
      <c r="BG99" s="1">
        <v>253626</v>
      </c>
      <c r="BH99" s="1">
        <v>256144</v>
      </c>
      <c r="BI99" s="1">
        <v>260894</v>
      </c>
      <c r="BJ99" s="1">
        <v>267141</v>
      </c>
      <c r="BK99" s="1">
        <v>273202</v>
      </c>
      <c r="BL99" s="1">
        <v>283379</v>
      </c>
      <c r="BM99" s="1">
        <v>292844</v>
      </c>
      <c r="BN99" s="1">
        <v>300753</v>
      </c>
      <c r="BO99" s="1">
        <v>314119</v>
      </c>
      <c r="BP99" s="1">
        <v>325084</v>
      </c>
      <c r="BQ99" s="1">
        <v>345267</v>
      </c>
    </row>
    <row r="100" spans="2:69">
      <c r="B100" s="1" t="s">
        <v>339</v>
      </c>
      <c r="AW100" s="1">
        <f>AW98+AW99</f>
        <v>0</v>
      </c>
      <c r="AX100" s="1">
        <f t="shared" ref="AX100:BQ100" si="75">AX98+AX99</f>
        <v>0</v>
      </c>
      <c r="AY100" s="1">
        <f t="shared" si="75"/>
        <v>0</v>
      </c>
      <c r="AZ100" s="1">
        <f t="shared" si="75"/>
        <v>319616</v>
      </c>
      <c r="BA100" s="1">
        <f t="shared" si="75"/>
        <v>327095</v>
      </c>
      <c r="BB100" s="1">
        <f t="shared" si="75"/>
        <v>335387</v>
      </c>
      <c r="BC100" s="1">
        <f t="shared" si="75"/>
        <v>347403</v>
      </c>
      <c r="BD100" s="1">
        <f t="shared" si="75"/>
        <v>359268</v>
      </c>
      <c r="BE100" s="1">
        <f t="shared" si="75"/>
        <v>357096</v>
      </c>
      <c r="BF100" s="1">
        <f t="shared" si="75"/>
        <v>355185</v>
      </c>
      <c r="BG100" s="1">
        <f t="shared" si="75"/>
        <v>358255</v>
      </c>
      <c r="BH100" s="1">
        <f t="shared" si="75"/>
        <v>365264</v>
      </c>
      <c r="BI100" s="1">
        <f t="shared" si="75"/>
        <v>369491</v>
      </c>
      <c r="BJ100" s="1">
        <f t="shared" si="75"/>
        <v>363044</v>
      </c>
      <c r="BK100" s="1">
        <f t="shared" si="75"/>
        <v>396711</v>
      </c>
      <c r="BL100" s="1">
        <f t="shared" si="75"/>
        <v>402392</v>
      </c>
      <c r="BM100" s="1">
        <f t="shared" si="75"/>
        <v>407350</v>
      </c>
      <c r="BN100" s="1">
        <f t="shared" si="75"/>
        <v>414770</v>
      </c>
      <c r="BO100" s="1">
        <f t="shared" si="75"/>
        <v>430266</v>
      </c>
      <c r="BP100" s="1">
        <f t="shared" si="75"/>
        <v>450256</v>
      </c>
      <c r="BQ100" s="1">
        <f t="shared" si="75"/>
        <v>475374</v>
      </c>
    </row>
    <row r="102" spans="2:69">
      <c r="B102" s="1" t="s">
        <v>79</v>
      </c>
    </row>
    <row r="103" spans="2:69">
      <c r="B103" s="1" t="s">
        <v>80</v>
      </c>
    </row>
    <row r="104" spans="2:69">
      <c r="B104" s="1" t="s">
        <v>81</v>
      </c>
    </row>
    <row r="105" spans="2:69">
      <c r="B105" s="1" t="s">
        <v>82</v>
      </c>
    </row>
    <row r="106" spans="2:69">
      <c r="B106" s="1" t="s">
        <v>83</v>
      </c>
    </row>
    <row r="107" spans="2:69">
      <c r="B107" s="1" t="s">
        <v>84</v>
      </c>
    </row>
    <row r="108" spans="2:69">
      <c r="B108" s="1" t="s">
        <v>85</v>
      </c>
    </row>
    <row r="110" spans="2:69">
      <c r="B110" s="1" t="s">
        <v>86</v>
      </c>
      <c r="C110" s="54">
        <f t="shared" ref="C110:AV110" si="76">C59</f>
        <v>1246.4000000000001</v>
      </c>
      <c r="D110" s="54">
        <f t="shared" si="76"/>
        <v>1290.4000000000001</v>
      </c>
      <c r="E110" s="54">
        <f t="shared" si="76"/>
        <v>1423</v>
      </c>
      <c r="F110" s="54">
        <f t="shared" si="76"/>
        <v>1485</v>
      </c>
      <c r="G110" s="54">
        <f t="shared" si="76"/>
        <v>1639</v>
      </c>
      <c r="H110" s="54">
        <f t="shared" si="76"/>
        <v>1973</v>
      </c>
      <c r="I110" s="54">
        <f t="shared" si="76"/>
        <v>1955</v>
      </c>
      <c r="J110" s="54">
        <f t="shared" si="76"/>
        <v>1840</v>
      </c>
      <c r="K110" s="54">
        <f t="shared" si="76"/>
        <v>2167</v>
      </c>
      <c r="L110" s="54">
        <f t="shared" si="76"/>
        <v>2543</v>
      </c>
      <c r="M110" s="54">
        <f t="shared" si="76"/>
        <v>1798</v>
      </c>
      <c r="N110" s="54">
        <f t="shared" si="76"/>
        <v>2505</v>
      </c>
      <c r="O110" s="54">
        <f t="shared" si="76"/>
        <v>2729</v>
      </c>
      <c r="P110" s="54">
        <f t="shared" si="76"/>
        <v>2705</v>
      </c>
      <c r="Q110" s="54">
        <f t="shared" si="76"/>
        <v>2890</v>
      </c>
      <c r="R110" s="54">
        <f t="shared" si="76"/>
        <v>2833</v>
      </c>
      <c r="S110" s="54">
        <f t="shared" si="76"/>
        <v>2158</v>
      </c>
      <c r="T110" s="54">
        <f t="shared" si="76"/>
        <v>3672</v>
      </c>
      <c r="U110" s="54">
        <f t="shared" si="76"/>
        <v>3528</v>
      </c>
      <c r="V110" s="54">
        <f t="shared" si="76"/>
        <v>2774</v>
      </c>
      <c r="W110" s="54">
        <f t="shared" si="76"/>
        <v>3163</v>
      </c>
      <c r="X110" s="54">
        <f t="shared" si="76"/>
        <v>3695</v>
      </c>
      <c r="Y110" s="54">
        <f t="shared" si="76"/>
        <v>3650</v>
      </c>
      <c r="Z110" s="54">
        <f t="shared" si="76"/>
        <v>3419</v>
      </c>
      <c r="AA110" s="54">
        <f t="shared" si="76"/>
        <v>2924</v>
      </c>
      <c r="AB110" s="54">
        <f t="shared" si="76"/>
        <v>3627</v>
      </c>
      <c r="AC110" s="54">
        <f t="shared" si="76"/>
        <v>3515</v>
      </c>
      <c r="AD110" s="54">
        <f t="shared" si="76"/>
        <v>3931</v>
      </c>
      <c r="AE110" s="54">
        <f t="shared" si="76"/>
        <v>3979</v>
      </c>
      <c r="AF110" s="54">
        <f t="shared" si="76"/>
        <v>4923</v>
      </c>
      <c r="AG110" s="54">
        <f t="shared" si="76"/>
        <v>4207</v>
      </c>
      <c r="AH110" s="54">
        <f t="shared" si="76"/>
        <v>4877</v>
      </c>
      <c r="AI110" s="54">
        <f t="shared" si="76"/>
        <v>5061</v>
      </c>
      <c r="AJ110" s="54">
        <f t="shared" si="76"/>
        <v>5333</v>
      </c>
      <c r="AK110" s="54">
        <f t="shared" si="76"/>
        <v>5426</v>
      </c>
      <c r="AL110" s="54">
        <f t="shared" si="76"/>
        <v>3524</v>
      </c>
      <c r="AM110" s="54">
        <f t="shared" si="76"/>
        <v>6732</v>
      </c>
      <c r="AN110" s="54">
        <f t="shared" si="76"/>
        <v>-3020</v>
      </c>
      <c r="AO110" s="54">
        <f t="shared" si="76"/>
        <v>9401</v>
      </c>
      <c r="AP110" s="54">
        <f t="shared" si="76"/>
        <v>3195</v>
      </c>
      <c r="AQ110" s="54">
        <f t="shared" si="76"/>
        <v>9192</v>
      </c>
      <c r="AR110" s="54">
        <f t="shared" si="76"/>
        <v>8948</v>
      </c>
      <c r="AS110" s="54">
        <f t="shared" si="76"/>
        <v>6657</v>
      </c>
      <c r="AT110" s="54">
        <f t="shared" si="76"/>
        <v>9947</v>
      </c>
      <c r="AU110" s="54">
        <f t="shared" si="76"/>
        <v>7068</v>
      </c>
      <c r="AV110" s="54">
        <f t="shared" si="76"/>
        <v>10671</v>
      </c>
      <c r="AW110" s="54">
        <f>AW59</f>
        <v>6836</v>
      </c>
      <c r="AX110" s="1">
        <f>AX59</f>
        <v>6959</v>
      </c>
      <c r="AY110" s="1">
        <f>AY59</f>
        <v>11247</v>
      </c>
      <c r="AZ110" s="1">
        <f>AZ59</f>
        <v>15227</v>
      </c>
      <c r="BA110" s="1">
        <f>BA59</f>
        <v>17930</v>
      </c>
      <c r="BB110" s="1">
        <f>BB59</f>
        <v>18525</v>
      </c>
      <c r="BC110" s="1">
        <f>BC59</f>
        <v>18936</v>
      </c>
      <c r="BD110" s="1">
        <f>BD59</f>
        <v>20642</v>
      </c>
      <c r="BE110" s="1">
        <f>BE59</f>
        <v>16436</v>
      </c>
      <c r="BF110" s="1">
        <f>BF59</f>
        <v>16002</v>
      </c>
      <c r="BG110" s="1">
        <f>BG59</f>
        <v>13910</v>
      </c>
      <c r="BH110" s="1">
        <f>BH59</f>
        <v>13624</v>
      </c>
      <c r="BI110" s="1">
        <f>BI59</f>
        <v>15051</v>
      </c>
      <c r="BJ110" s="1">
        <f>BJ59</f>
        <v>18368</v>
      </c>
      <c r="BK110" s="1">
        <f>BK59</f>
        <v>19689</v>
      </c>
      <c r="BL110" s="1">
        <f>BL59</f>
        <v>20687</v>
      </c>
      <c r="BM110" s="1">
        <f>BM59</f>
        <v>23662</v>
      </c>
      <c r="BN110" s="1">
        <f>BN59</f>
        <v>23619</v>
      </c>
      <c r="BO110" s="1">
        <f>BO59</f>
        <v>26301</v>
      </c>
      <c r="BP110" s="1">
        <f>BP59</f>
        <v>26536</v>
      </c>
      <c r="BQ110" s="1">
        <f>BQ59</f>
        <v>34540</v>
      </c>
    </row>
    <row r="111" spans="2:69">
      <c r="B111" s="1" t="s">
        <v>87</v>
      </c>
      <c r="C111" s="54">
        <v>2185</v>
      </c>
      <c r="D111" s="54">
        <v>2122.4</v>
      </c>
      <c r="E111" s="54">
        <v>2250</v>
      </c>
      <c r="F111" s="54">
        <v>1609</v>
      </c>
      <c r="G111" s="54">
        <v>2726</v>
      </c>
      <c r="H111" s="54">
        <v>2731</v>
      </c>
      <c r="I111" s="54">
        <v>2584</v>
      </c>
      <c r="J111" s="54">
        <v>2085</v>
      </c>
      <c r="K111" s="54">
        <v>2886</v>
      </c>
      <c r="L111" s="54">
        <v>3526</v>
      </c>
      <c r="M111" s="54">
        <v>3172</v>
      </c>
      <c r="N111" s="54">
        <v>3519</v>
      </c>
      <c r="O111" s="54">
        <v>3950</v>
      </c>
      <c r="P111" s="54">
        <v>3924</v>
      </c>
      <c r="Q111" s="54">
        <v>3694</v>
      </c>
      <c r="R111" s="54">
        <v>4252</v>
      </c>
      <c r="S111" s="54">
        <v>4004</v>
      </c>
      <c r="T111" s="54">
        <v>4669</v>
      </c>
      <c r="U111" s="54">
        <v>3633</v>
      </c>
      <c r="V111" s="54">
        <v>4705</v>
      </c>
      <c r="W111" s="54">
        <v>5083</v>
      </c>
      <c r="X111" s="54">
        <v>5238</v>
      </c>
      <c r="Y111" s="54">
        <v>4391</v>
      </c>
      <c r="Z111" s="54">
        <v>5627</v>
      </c>
      <c r="AA111" s="54">
        <v>5994</v>
      </c>
      <c r="AB111" s="54">
        <v>7012</v>
      </c>
      <c r="AC111" s="54">
        <v>6722</v>
      </c>
      <c r="AD111" s="54">
        <v>7096</v>
      </c>
      <c r="AE111" s="54">
        <v>6145</v>
      </c>
      <c r="AF111" s="54">
        <v>6609</v>
      </c>
      <c r="AG111" s="54">
        <v>7658</v>
      </c>
      <c r="AH111" s="54">
        <v>9120</v>
      </c>
      <c r="AI111" s="54">
        <v>9845</v>
      </c>
      <c r="AJ111" s="54">
        <v>9413</v>
      </c>
      <c r="AK111" s="54">
        <v>9548</v>
      </c>
      <c r="AL111" s="54">
        <v>7403</v>
      </c>
      <c r="AM111" s="54">
        <v>9872</v>
      </c>
      <c r="AN111" s="54">
        <v>10268</v>
      </c>
      <c r="AO111" s="54">
        <v>11642</v>
      </c>
      <c r="AP111" s="54">
        <v>10132</v>
      </c>
      <c r="AQ111" s="54">
        <v>13210</v>
      </c>
      <c r="AR111" s="54">
        <v>12987</v>
      </c>
      <c r="AS111" s="54">
        <v>12000</v>
      </c>
      <c r="AT111" s="54">
        <v>12627</v>
      </c>
      <c r="AU111" s="54">
        <v>15466</v>
      </c>
      <c r="AV111" s="54">
        <v>14427</v>
      </c>
      <c r="AW111" s="54">
        <v>11451</v>
      </c>
      <c r="AX111" s="54">
        <v>13993</v>
      </c>
      <c r="AY111" s="54">
        <v>17003</v>
      </c>
      <c r="AZ111" s="54">
        <v>22677</v>
      </c>
      <c r="BA111" s="54">
        <v>19289</v>
      </c>
      <c r="BB111" s="54">
        <v>21890</v>
      </c>
      <c r="BC111" s="54">
        <v>25539</v>
      </c>
      <c r="BD111" s="54">
        <v>24934</v>
      </c>
      <c r="BE111" s="54">
        <v>25106</v>
      </c>
      <c r="BF111" s="54">
        <v>19422</v>
      </c>
      <c r="BG111" s="54">
        <v>23353</v>
      </c>
      <c r="BH111" s="54">
        <v>23614</v>
      </c>
      <c r="BI111" s="54">
        <v>23509</v>
      </c>
      <c r="BJ111" s="54">
        <v>28666</v>
      </c>
      <c r="BK111" s="54">
        <v>30656</v>
      </c>
      <c r="BL111" s="54">
        <v>18915</v>
      </c>
      <c r="BM111" s="54">
        <v>28848</v>
      </c>
      <c r="BN111" s="54">
        <v>26640</v>
      </c>
      <c r="BO111" s="54">
        <v>30698</v>
      </c>
      <c r="BP111" s="54">
        <v>39113</v>
      </c>
      <c r="BQ111" s="54">
        <v>36150</v>
      </c>
    </row>
    <row r="112" spans="2:69">
      <c r="B112" s="1" t="s">
        <v>340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>
        <v>-2345</v>
      </c>
      <c r="Z112" s="54">
        <v>-2646</v>
      </c>
      <c r="AA112" s="54">
        <v>-2417</v>
      </c>
      <c r="AB112" s="54">
        <v>-3606</v>
      </c>
      <c r="AC112" s="54">
        <v>-2927</v>
      </c>
      <c r="AD112" s="54">
        <v>-2515</v>
      </c>
      <c r="AE112" s="54">
        <v>-2406</v>
      </c>
      <c r="AF112" s="54">
        <v>-2102</v>
      </c>
      <c r="AG112" s="54">
        <v>-2444</v>
      </c>
      <c r="AH112" s="54">
        <v>-2136</v>
      </c>
      <c r="AI112" s="54">
        <v>-2554</v>
      </c>
      <c r="AJ112" s="54">
        <v>-3078</v>
      </c>
      <c r="AK112" s="54">
        <v>-2508</v>
      </c>
      <c r="AL112" s="54">
        <v>-2831</v>
      </c>
      <c r="AM112" s="54">
        <v>-3538</v>
      </c>
      <c r="AN112" s="54">
        <v>-4307</v>
      </c>
      <c r="AO112" s="54">
        <v>-7299</v>
      </c>
      <c r="AP112" s="54">
        <v>-5477</v>
      </c>
      <c r="AQ112" s="54">
        <v>-5282</v>
      </c>
      <c r="AR112" s="54">
        <v>-7081</v>
      </c>
      <c r="AS112" s="54">
        <v>-4638</v>
      </c>
      <c r="AT112" s="54">
        <v>-6126</v>
      </c>
      <c r="AU112" s="54">
        <v>-6732</v>
      </c>
      <c r="AV112" s="54">
        <v>-6052</v>
      </c>
      <c r="AW112" s="54">
        <v>-6005</v>
      </c>
      <c r="AX112" s="54">
        <v>-5391</v>
      </c>
      <c r="AY112" s="54">
        <v>-5406</v>
      </c>
      <c r="AZ112" s="54">
        <v>-5479</v>
      </c>
      <c r="BA112" s="54">
        <v>-5942</v>
      </c>
      <c r="BB112" s="54">
        <v>-5496</v>
      </c>
      <c r="BC112" s="54">
        <v>-6819</v>
      </c>
      <c r="BD112" s="54">
        <v>-6383</v>
      </c>
      <c r="BE112" s="54">
        <v>-9786</v>
      </c>
      <c r="BF112" s="54">
        <v>-6828</v>
      </c>
      <c r="BG112" s="54">
        <v>-7276</v>
      </c>
      <c r="BH112" s="54">
        <v>-7595</v>
      </c>
      <c r="BI112" s="54">
        <v>-6289</v>
      </c>
      <c r="BJ112" s="54">
        <v>-6888</v>
      </c>
      <c r="BK112" s="54">
        <v>-8055</v>
      </c>
      <c r="BL112" s="54">
        <v>-11019</v>
      </c>
      <c r="BM112" s="54">
        <v>-12012</v>
      </c>
      <c r="BN112" s="54">
        <v>-13186</v>
      </c>
      <c r="BO112" s="54">
        <v>-13061</v>
      </c>
      <c r="BP112" s="54">
        <v>-14276</v>
      </c>
      <c r="BQ112" s="54">
        <v>-17197</v>
      </c>
    </row>
    <row r="113" spans="2:69">
      <c r="B113" s="1" t="s">
        <v>88</v>
      </c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>
        <f>Y111+Y112</f>
        <v>2046</v>
      </c>
      <c r="Z113" s="54">
        <f t="shared" ref="Z113:BQ113" si="77">Z111+Z112</f>
        <v>2981</v>
      </c>
      <c r="AA113" s="54">
        <f t="shared" si="77"/>
        <v>3577</v>
      </c>
      <c r="AB113" s="54">
        <f t="shared" si="77"/>
        <v>3406</v>
      </c>
      <c r="AC113" s="54">
        <f t="shared" si="77"/>
        <v>3795</v>
      </c>
      <c r="AD113" s="54">
        <f t="shared" si="77"/>
        <v>4581</v>
      </c>
      <c r="AE113" s="54">
        <f t="shared" si="77"/>
        <v>3739</v>
      </c>
      <c r="AF113" s="54">
        <f t="shared" si="77"/>
        <v>4507</v>
      </c>
      <c r="AG113" s="54">
        <f t="shared" si="77"/>
        <v>5214</v>
      </c>
      <c r="AH113" s="54">
        <f t="shared" si="77"/>
        <v>6984</v>
      </c>
      <c r="AI113" s="54">
        <f t="shared" si="77"/>
        <v>7291</v>
      </c>
      <c r="AJ113" s="54">
        <f t="shared" si="77"/>
        <v>6335</v>
      </c>
      <c r="AK113" s="54">
        <f t="shared" si="77"/>
        <v>7040</v>
      </c>
      <c r="AL113" s="54">
        <f t="shared" si="77"/>
        <v>4572</v>
      </c>
      <c r="AM113" s="54">
        <f t="shared" si="77"/>
        <v>6334</v>
      </c>
      <c r="AN113" s="54">
        <f t="shared" si="77"/>
        <v>5961</v>
      </c>
      <c r="AO113" s="54">
        <f t="shared" si="77"/>
        <v>4343</v>
      </c>
      <c r="AP113" s="54">
        <f t="shared" si="77"/>
        <v>4655</v>
      </c>
      <c r="AQ113" s="54">
        <f t="shared" si="77"/>
        <v>7928</v>
      </c>
      <c r="AR113" s="54">
        <f t="shared" si="77"/>
        <v>5906</v>
      </c>
      <c r="AS113" s="54">
        <f t="shared" si="77"/>
        <v>7362</v>
      </c>
      <c r="AT113" s="54">
        <f t="shared" si="77"/>
        <v>6501</v>
      </c>
      <c r="AU113" s="54">
        <f t="shared" si="77"/>
        <v>8734</v>
      </c>
      <c r="AV113" s="54">
        <f t="shared" si="77"/>
        <v>8375</v>
      </c>
      <c r="AW113" s="54">
        <f t="shared" si="77"/>
        <v>5446</v>
      </c>
      <c r="AX113" s="54">
        <f t="shared" si="77"/>
        <v>8602</v>
      </c>
      <c r="AY113" s="54">
        <f t="shared" si="77"/>
        <v>11597</v>
      </c>
      <c r="AZ113" s="54">
        <f t="shared" si="77"/>
        <v>17198</v>
      </c>
      <c r="BA113" s="54">
        <f t="shared" si="77"/>
        <v>13347</v>
      </c>
      <c r="BB113" s="54">
        <f t="shared" si="77"/>
        <v>16394</v>
      </c>
      <c r="BC113" s="54">
        <f t="shared" si="77"/>
        <v>18720</v>
      </c>
      <c r="BD113" s="54">
        <f t="shared" si="77"/>
        <v>18551</v>
      </c>
      <c r="BE113" s="54">
        <f t="shared" si="77"/>
        <v>15320</v>
      </c>
      <c r="BF113" s="54">
        <f t="shared" si="77"/>
        <v>12594</v>
      </c>
      <c r="BG113" s="54">
        <f t="shared" si="77"/>
        <v>16077</v>
      </c>
      <c r="BH113" s="54">
        <f t="shared" si="77"/>
        <v>16019</v>
      </c>
      <c r="BI113" s="54">
        <f t="shared" si="77"/>
        <v>17220</v>
      </c>
      <c r="BJ113" s="54">
        <f t="shared" si="77"/>
        <v>21778</v>
      </c>
      <c r="BK113" s="54">
        <f t="shared" si="77"/>
        <v>22601</v>
      </c>
      <c r="BL113" s="54">
        <f t="shared" si="77"/>
        <v>7896</v>
      </c>
      <c r="BM113" s="54">
        <f t="shared" si="77"/>
        <v>16836</v>
      </c>
      <c r="BN113" s="54">
        <f t="shared" si="77"/>
        <v>13454</v>
      </c>
      <c r="BO113" s="54">
        <f t="shared" si="77"/>
        <v>17637</v>
      </c>
      <c r="BP113" s="54">
        <f t="shared" si="77"/>
        <v>24837</v>
      </c>
      <c r="BQ113" s="54">
        <f t="shared" si="77"/>
        <v>18953</v>
      </c>
    </row>
    <row r="114" spans="2:69">
      <c r="B114" s="1" t="s">
        <v>341</v>
      </c>
      <c r="AW114" s="1">
        <f>AW60</f>
        <v>13729</v>
      </c>
      <c r="AX114" s="1">
        <f>AX60</f>
        <v>13635</v>
      </c>
      <c r="AY114" s="1">
        <f>AY60</f>
        <v>13589</v>
      </c>
      <c r="AZ114" s="1">
        <f>AZ60</f>
        <v>13616</v>
      </c>
      <c r="BA114" s="1">
        <f>BA60</f>
        <v>13464</v>
      </c>
      <c r="BB114" s="1">
        <f>BB60</f>
        <v>13379</v>
      </c>
      <c r="BC114" s="1">
        <f>BC60</f>
        <v>13315</v>
      </c>
      <c r="BD114" s="1">
        <f>BD60</f>
        <v>13353</v>
      </c>
      <c r="BE114" s="1">
        <f>BE60</f>
        <v>13203</v>
      </c>
      <c r="BF114" s="1">
        <f>BF60</f>
        <v>13133</v>
      </c>
      <c r="BG114" s="1">
        <f>BG60</f>
        <v>13018</v>
      </c>
      <c r="BH114" s="1">
        <f>BH60</f>
        <v>13063</v>
      </c>
      <c r="BI114" s="1">
        <f>BI60</f>
        <v>12781</v>
      </c>
      <c r="BJ114" s="1">
        <f>BJ60</f>
        <v>12668</v>
      </c>
      <c r="BK114" s="1">
        <f>BK60</f>
        <v>12581</v>
      </c>
      <c r="BL114" s="1">
        <f>BL60</f>
        <v>12630</v>
      </c>
      <c r="BM114" s="1">
        <f>BM60</f>
        <v>12415</v>
      </c>
      <c r="BN114" s="1">
        <f>BN60</f>
        <v>12343</v>
      </c>
      <c r="BO114" s="1">
        <f>BO60</f>
        <v>12290</v>
      </c>
      <c r="BP114" s="1">
        <f>BP60</f>
        <v>12319</v>
      </c>
      <c r="BQ114" s="1">
        <f>BQ60</f>
        <v>12183</v>
      </c>
    </row>
    <row r="115" spans="2:69">
      <c r="B115" s="1" t="s">
        <v>90</v>
      </c>
      <c r="AW115" s="41">
        <f>AW113/AW114</f>
        <v>0.39667856362444459</v>
      </c>
      <c r="AX115" s="41">
        <f t="shared" ref="AX115:BQ115" si="78">AX113/AX114</f>
        <v>0.63087642097543084</v>
      </c>
      <c r="AY115" s="41">
        <f t="shared" si="78"/>
        <v>0.85341084700860992</v>
      </c>
      <c r="AZ115" s="41">
        <f t="shared" si="78"/>
        <v>1.2630728554641597</v>
      </c>
      <c r="BA115" s="41">
        <f t="shared" si="78"/>
        <v>0.99131016042780751</v>
      </c>
      <c r="BB115" s="41">
        <f t="shared" si="78"/>
        <v>1.2253531654084759</v>
      </c>
      <c r="BC115" s="41">
        <f t="shared" si="78"/>
        <v>1.4059331580923771</v>
      </c>
      <c r="BD115" s="41">
        <f t="shared" si="78"/>
        <v>1.3892758181682019</v>
      </c>
      <c r="BE115" s="41">
        <f t="shared" si="78"/>
        <v>1.160342346436416</v>
      </c>
      <c r="BF115" s="41">
        <f t="shared" si="78"/>
        <v>0.9589583491966801</v>
      </c>
      <c r="BG115" s="41">
        <f t="shared" si="78"/>
        <v>1.2349823321554769</v>
      </c>
      <c r="BH115" s="41">
        <f t="shared" si="78"/>
        <v>1.2262879889764986</v>
      </c>
      <c r="BI115" s="41">
        <f t="shared" si="78"/>
        <v>1.3473124168687896</v>
      </c>
      <c r="BJ115" s="41">
        <f t="shared" si="78"/>
        <v>1.7191348279128513</v>
      </c>
      <c r="BK115" s="41">
        <f t="shared" si="78"/>
        <v>1.7964390747953263</v>
      </c>
      <c r="BL115" s="41">
        <f t="shared" si="78"/>
        <v>0.62517814726840859</v>
      </c>
      <c r="BM115" s="41">
        <f t="shared" si="78"/>
        <v>1.3561014901329038</v>
      </c>
      <c r="BN115" s="41">
        <f t="shared" si="78"/>
        <v>1.090010532285506</v>
      </c>
      <c r="BO115" s="41">
        <f t="shared" si="78"/>
        <v>1.4350691619202605</v>
      </c>
      <c r="BP115" s="41">
        <f t="shared" si="78"/>
        <v>2.0161539085964768</v>
      </c>
      <c r="BQ115" s="41">
        <f t="shared" si="78"/>
        <v>1.5556923582040549</v>
      </c>
    </row>
  </sheetData>
  <pageMargins left="0.7" right="0.7" top="0.75" bottom="0.75" header="0.3" footer="0.3"/>
  <ignoredErrors>
    <ignoredError sqref="AW54 AZ49:AZ6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3"/>
  <sheetViews>
    <sheetView topLeftCell="A120" workbookViewId="0">
      <selection activeCell="A33" sqref="A32:XFD33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297</v>
      </c>
      <c r="AD2" s="2" t="s">
        <v>91</v>
      </c>
    </row>
    <row r="33" spans="8:30" ht="15">
      <c r="H33" s="2" t="s">
        <v>14</v>
      </c>
    </row>
    <row r="35" spans="8:30" ht="15">
      <c r="AD35" s="2" t="s">
        <v>92</v>
      </c>
    </row>
    <row r="36" spans="8:30" ht="15">
      <c r="AD36" s="2" t="s">
        <v>93</v>
      </c>
    </row>
    <row r="37" spans="8:30">
      <c r="AD37" s="1" t="s">
        <v>94</v>
      </c>
    </row>
    <row r="63" spans="8:9" ht="15">
      <c r="H63" s="2" t="s">
        <v>15</v>
      </c>
    </row>
    <row r="64" spans="8:9">
      <c r="I64" s="1" t="s">
        <v>16</v>
      </c>
    </row>
    <row r="70" spans="9:9">
      <c r="I70" s="1" t="s">
        <v>17</v>
      </c>
    </row>
    <row r="86" spans="9:9">
      <c r="I86" s="1" t="s">
        <v>18</v>
      </c>
    </row>
    <row r="103" spans="9:9">
      <c r="I103" s="1" t="s">
        <v>19</v>
      </c>
    </row>
    <row r="124" spans="8:8" ht="15">
      <c r="H124" s="2" t="s">
        <v>20</v>
      </c>
    </row>
    <row r="132" spans="30:30" ht="15">
      <c r="AD132" s="2" t="s">
        <v>95</v>
      </c>
    </row>
    <row r="133" spans="30:30">
      <c r="AD133" s="1" t="s">
        <v>96</v>
      </c>
    </row>
    <row r="156" spans="8:10">
      <c r="I156" s="1" t="s">
        <v>21</v>
      </c>
      <c r="J156" s="1" t="s">
        <v>22</v>
      </c>
    </row>
    <row r="157" spans="8:10">
      <c r="J157" s="1" t="s">
        <v>23</v>
      </c>
    </row>
    <row r="158" spans="8:10">
      <c r="J158" s="1" t="s">
        <v>24</v>
      </c>
    </row>
    <row r="160" spans="8:10" ht="15">
      <c r="H160" s="2" t="s">
        <v>25</v>
      </c>
    </row>
    <row r="178" spans="1:10">
      <c r="A178" s="1" t="s">
        <v>33</v>
      </c>
    </row>
    <row r="179" spans="1:10">
      <c r="A179" s="24" t="s">
        <v>26</v>
      </c>
      <c r="B179" s="24" t="s">
        <v>27</v>
      </c>
      <c r="C179" s="24" t="s">
        <v>28</v>
      </c>
      <c r="D179" s="24" t="s">
        <v>29</v>
      </c>
      <c r="E179" s="24" t="s">
        <v>30</v>
      </c>
      <c r="F179" s="24" t="s">
        <v>31</v>
      </c>
      <c r="G179" s="24" t="s">
        <v>32</v>
      </c>
    </row>
    <row r="180" spans="1:10">
      <c r="G180" s="25" t="e">
        <f>A180/D180-1</f>
        <v>#DIV/0!</v>
      </c>
    </row>
    <row r="181" spans="1:10">
      <c r="G181" s="25"/>
    </row>
    <row r="182" spans="1:10">
      <c r="G182" s="25"/>
    </row>
    <row r="183" spans="1:10">
      <c r="G183" s="25"/>
    </row>
    <row r="184" spans="1:10">
      <c r="G184" s="25"/>
    </row>
    <row r="185" spans="1:10">
      <c r="G185" s="25"/>
    </row>
    <row r="186" spans="1:10">
      <c r="G186" s="25"/>
    </row>
    <row r="187" spans="1:10">
      <c r="G187" s="25"/>
    </row>
    <row r="188" spans="1:10">
      <c r="G188" s="25"/>
    </row>
    <row r="189" spans="1:10">
      <c r="G189" s="25"/>
      <c r="I189" s="1" t="s">
        <v>21</v>
      </c>
      <c r="J189" s="1" t="s">
        <v>22</v>
      </c>
    </row>
    <row r="190" spans="1:10">
      <c r="G190" s="25"/>
      <c r="J190" s="1" t="s">
        <v>23</v>
      </c>
    </row>
    <row r="191" spans="1:10">
      <c r="G191" s="25"/>
      <c r="J191" s="1" t="s">
        <v>24</v>
      </c>
    </row>
    <row r="192" spans="1:10">
      <c r="G192" s="25"/>
    </row>
    <row r="193" spans="7:8" ht="15">
      <c r="G193" s="25"/>
      <c r="H193" s="2" t="s">
        <v>34</v>
      </c>
    </row>
    <row r="194" spans="7:8">
      <c r="G194" s="25"/>
    </row>
    <row r="195" spans="7:8">
      <c r="G195" s="25"/>
    </row>
    <row r="196" spans="7:8">
      <c r="G196" s="25"/>
    </row>
    <row r="197" spans="7:8">
      <c r="G197" s="25"/>
    </row>
    <row r="198" spans="7:8">
      <c r="G198" s="25"/>
    </row>
    <row r="199" spans="7:8">
      <c r="G199" s="25"/>
    </row>
    <row r="200" spans="7:8">
      <c r="G200" s="25"/>
    </row>
    <row r="201" spans="7:8">
      <c r="G201" s="25"/>
    </row>
    <row r="202" spans="7:8">
      <c r="G202" s="25"/>
    </row>
    <row r="203" spans="7:8">
      <c r="G203" s="25"/>
    </row>
    <row r="204" spans="7:8">
      <c r="G204" s="25"/>
    </row>
    <row r="205" spans="7:8">
      <c r="G205" s="25"/>
    </row>
    <row r="206" spans="7:8">
      <c r="G206" s="25"/>
    </row>
    <row r="207" spans="7:8">
      <c r="G207" s="25"/>
    </row>
    <row r="208" spans="7:8">
      <c r="G208" s="25"/>
    </row>
    <row r="209" spans="7:7">
      <c r="G209" s="25"/>
    </row>
    <row r="210" spans="7:7" ht="15" customHeight="1">
      <c r="G210" s="25"/>
    </row>
    <row r="211" spans="7:7">
      <c r="G211" s="25"/>
    </row>
    <row r="212" spans="7:7">
      <c r="G212" s="25"/>
    </row>
    <row r="213" spans="7:7">
      <c r="G213" s="25"/>
    </row>
    <row r="214" spans="7:7">
      <c r="G214" s="25"/>
    </row>
    <row r="215" spans="7:7">
      <c r="G215" s="25"/>
    </row>
    <row r="216" spans="7:7">
      <c r="G216" s="25"/>
    </row>
    <row r="217" spans="7:7">
      <c r="G217" s="25"/>
    </row>
    <row r="218" spans="7:7">
      <c r="G218" s="25"/>
    </row>
    <row r="219" spans="7:7">
      <c r="G219" s="25"/>
    </row>
    <row r="220" spans="7:7">
      <c r="G220" s="25"/>
    </row>
    <row r="221" spans="7:7">
      <c r="G221" s="25"/>
    </row>
    <row r="222" spans="7:7">
      <c r="G222" s="25"/>
    </row>
    <row r="223" spans="7:7">
      <c r="G223" s="25"/>
    </row>
    <row r="224" spans="7:7">
      <c r="G224" s="25"/>
    </row>
    <row r="225" spans="7:30">
      <c r="G225" s="25"/>
    </row>
    <row r="226" spans="7:30">
      <c r="G226" s="25"/>
    </row>
    <row r="227" spans="7:30" ht="15">
      <c r="G227" s="25"/>
      <c r="AD227" s="2" t="s">
        <v>97</v>
      </c>
    </row>
    <row r="228" spans="7:30">
      <c r="G228" s="25"/>
      <c r="AD228" s="1" t="s">
        <v>98</v>
      </c>
    </row>
    <row r="229" spans="7:30">
      <c r="G229" s="25"/>
    </row>
    <row r="230" spans="7:30">
      <c r="G230" s="25"/>
    </row>
    <row r="231" spans="7:30">
      <c r="G231" s="25"/>
    </row>
    <row r="232" spans="7:30">
      <c r="G232" s="25"/>
      <c r="I232" s="26"/>
      <c r="J232" s="26" t="s">
        <v>35</v>
      </c>
      <c r="K232" s="27" t="e">
        <f>MIN(G174:G1199)</f>
        <v>#DIV/0!</v>
      </c>
    </row>
    <row r="233" spans="7:30">
      <c r="G233" s="25"/>
      <c r="I233" s="26"/>
      <c r="J233" s="26" t="s">
        <v>36</v>
      </c>
      <c r="K233" s="27" t="e">
        <f>MAX(G174:G1199)</f>
        <v>#DIV/0!</v>
      </c>
    </row>
    <row r="234" spans="7:30">
      <c r="G234" s="25"/>
      <c r="I234" s="26"/>
      <c r="J234" s="26" t="s">
        <v>37</v>
      </c>
      <c r="K234" s="27" t="e">
        <f>AVERAGE(G174:G1199)</f>
        <v>#DIV/0!</v>
      </c>
    </row>
    <row r="235" spans="7:30">
      <c r="G235" s="25"/>
      <c r="I235" s="26"/>
      <c r="J235" s="26" t="s">
        <v>38</v>
      </c>
      <c r="K235" s="27" t="e">
        <f>MEDIAN(G174:G1199)</f>
        <v>#DIV/0!</v>
      </c>
    </row>
    <row r="236" spans="7:30" ht="15">
      <c r="G236" s="25"/>
      <c r="I236" s="26"/>
      <c r="J236" s="26" t="s">
        <v>39</v>
      </c>
      <c r="K236" s="27" t="e">
        <f>_xlfn.STDEV.P(G174:G1199)</f>
        <v>#DIV/0!</v>
      </c>
      <c r="M236" s="2"/>
    </row>
    <row r="237" spans="7:30" ht="15">
      <c r="G237" s="25"/>
      <c r="I237" s="26"/>
      <c r="J237" s="28" t="s">
        <v>40</v>
      </c>
      <c r="K237" s="27" t="e">
        <f>3*K236</f>
        <v>#DIV/0!</v>
      </c>
      <c r="L237" s="26"/>
      <c r="M237" s="2" t="s">
        <v>110</v>
      </c>
    </row>
    <row r="238" spans="7:30" ht="15">
      <c r="G238" s="25"/>
      <c r="I238" s="26"/>
      <c r="J238" s="28" t="s">
        <v>41</v>
      </c>
      <c r="K238" s="26" t="s">
        <v>43</v>
      </c>
      <c r="L238" s="26"/>
      <c r="M238" s="2" t="s">
        <v>42</v>
      </c>
    </row>
    <row r="239" spans="7:30">
      <c r="G239" s="25"/>
    </row>
    <row r="240" spans="7:30">
      <c r="G240" s="25"/>
    </row>
    <row r="241" spans="7:20">
      <c r="G241" s="25"/>
      <c r="L241" s="29" t="s">
        <v>44</v>
      </c>
      <c r="M241" s="30">
        <v>1014</v>
      </c>
    </row>
    <row r="242" spans="7:20" ht="15" thickBot="1">
      <c r="G242" s="25"/>
      <c r="L242" s="1" t="s">
        <v>45</v>
      </c>
      <c r="O242" s="1" t="s">
        <v>46</v>
      </c>
      <c r="S242" s="1" t="s">
        <v>47</v>
      </c>
    </row>
    <row r="243" spans="7:20" ht="30">
      <c r="G243" s="25"/>
      <c r="L243" s="31" t="s">
        <v>48</v>
      </c>
      <c r="M243" s="31" t="s">
        <v>49</v>
      </c>
      <c r="O243" s="32" t="s">
        <v>50</v>
      </c>
      <c r="P243" s="33" t="s">
        <v>51</v>
      </c>
      <c r="S243" s="32" t="s">
        <v>52</v>
      </c>
      <c r="T243" s="33" t="s">
        <v>53</v>
      </c>
    </row>
    <row r="244" spans="7:20">
      <c r="G244" s="25"/>
      <c r="R244" s="1" t="s">
        <v>101</v>
      </c>
    </row>
    <row r="245" spans="7:20">
      <c r="G245" s="25"/>
    </row>
    <row r="246" spans="7:20">
      <c r="G246" s="25"/>
      <c r="R246" s="40" t="s">
        <v>102</v>
      </c>
    </row>
    <row r="247" spans="7:20">
      <c r="G247" s="25"/>
      <c r="R247" s="41"/>
    </row>
    <row r="248" spans="7:20">
      <c r="G248" s="25"/>
      <c r="R248" s="40" t="s">
        <v>103</v>
      </c>
    </row>
    <row r="249" spans="7:20">
      <c r="G249" s="25"/>
      <c r="R249" s="41"/>
    </row>
    <row r="250" spans="7:20">
      <c r="G250" s="25"/>
      <c r="R250" s="42" t="s">
        <v>104</v>
      </c>
    </row>
    <row r="251" spans="7:20">
      <c r="G251" s="25"/>
    </row>
    <row r="252" spans="7:20">
      <c r="G252" s="25"/>
      <c r="R252" s="1" t="s">
        <v>105</v>
      </c>
    </row>
    <row r="253" spans="7:20">
      <c r="G253" s="25"/>
    </row>
    <row r="254" spans="7:20">
      <c r="G254" s="25"/>
      <c r="R254" s="43" t="s">
        <v>106</v>
      </c>
    </row>
    <row r="255" spans="7:20">
      <c r="G255" s="25"/>
    </row>
    <row r="256" spans="7:20">
      <c r="G256" s="25"/>
      <c r="R256" s="43" t="s">
        <v>107</v>
      </c>
    </row>
    <row r="257" spans="7:18">
      <c r="G257" s="25"/>
      <c r="R257" s="43"/>
    </row>
    <row r="258" spans="7:18">
      <c r="G258" s="25"/>
    </row>
    <row r="259" spans="7:18">
      <c r="G259" s="25"/>
    </row>
    <row r="260" spans="7:18">
      <c r="G260" s="25"/>
    </row>
    <row r="261" spans="7:18">
      <c r="G261" s="25"/>
    </row>
    <row r="262" spans="7:18">
      <c r="G262" s="25"/>
    </row>
    <row r="263" spans="7:18">
      <c r="G263" s="25"/>
    </row>
    <row r="264" spans="7:18">
      <c r="G264" s="25"/>
    </row>
    <row r="265" spans="7:18">
      <c r="G265" s="25"/>
    </row>
    <row r="266" spans="7:18">
      <c r="G266" s="25"/>
    </row>
    <row r="267" spans="7:18">
      <c r="G267" s="25"/>
    </row>
    <row r="268" spans="7:18">
      <c r="G268" s="25"/>
    </row>
    <row r="269" spans="7:18">
      <c r="G269" s="25"/>
    </row>
    <row r="270" spans="7:18">
      <c r="G270" s="25"/>
    </row>
    <row r="271" spans="7:18">
      <c r="G271" s="25"/>
    </row>
    <row r="272" spans="7:18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30">
      <c r="G305" s="25"/>
    </row>
    <row r="306" spans="7:30">
      <c r="G306" s="25"/>
    </row>
    <row r="307" spans="7:30">
      <c r="G307" s="25"/>
    </row>
    <row r="308" spans="7:30">
      <c r="G308" s="25"/>
    </row>
    <row r="309" spans="7:30">
      <c r="G309" s="25"/>
    </row>
    <row r="310" spans="7:30">
      <c r="G310" s="25"/>
    </row>
    <row r="311" spans="7:30">
      <c r="G311" s="25"/>
    </row>
    <row r="312" spans="7:30">
      <c r="G312" s="25"/>
    </row>
    <row r="313" spans="7:30" ht="15">
      <c r="G313" s="25"/>
      <c r="AD313" s="2" t="s">
        <v>99</v>
      </c>
    </row>
    <row r="314" spans="7:30">
      <c r="G314" s="25"/>
      <c r="AD314" s="1" t="s">
        <v>100</v>
      </c>
    </row>
    <row r="315" spans="7:30">
      <c r="G315" s="25"/>
    </row>
    <row r="316" spans="7:30">
      <c r="G316" s="25"/>
    </row>
    <row r="317" spans="7:30">
      <c r="G317" s="25"/>
    </row>
    <row r="318" spans="7:30">
      <c r="G318" s="25"/>
    </row>
    <row r="319" spans="7:30">
      <c r="G319" s="25"/>
    </row>
    <row r="320" spans="7:30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  <row r="1001" spans="7:7">
      <c r="G1001" s="25"/>
    </row>
    <row r="1002" spans="7:7">
      <c r="G1002" s="25"/>
    </row>
    <row r="1003" spans="7:7">
      <c r="G1003" s="25"/>
    </row>
    <row r="1004" spans="7:7">
      <c r="G1004" s="25"/>
    </row>
    <row r="1005" spans="7:7">
      <c r="G1005" s="25"/>
    </row>
    <row r="1006" spans="7:7">
      <c r="G1006" s="25"/>
    </row>
    <row r="1007" spans="7:7">
      <c r="G1007" s="25"/>
    </row>
    <row r="1008" spans="7:7">
      <c r="G1008" s="25"/>
    </row>
    <row r="1009" spans="7:7">
      <c r="G1009" s="25"/>
    </row>
    <row r="1010" spans="7:7">
      <c r="G1010" s="25"/>
    </row>
    <row r="1011" spans="7:7">
      <c r="G1011" s="25"/>
    </row>
    <row r="1012" spans="7:7">
      <c r="G1012" s="25"/>
    </row>
    <row r="1013" spans="7:7">
      <c r="G1013" s="25"/>
    </row>
    <row r="1014" spans="7:7">
      <c r="G1014" s="25"/>
    </row>
    <row r="1015" spans="7:7">
      <c r="G1015" s="25"/>
    </row>
    <row r="1016" spans="7:7">
      <c r="G1016" s="25"/>
    </row>
    <row r="1017" spans="7:7">
      <c r="G1017" s="25"/>
    </row>
    <row r="1018" spans="7:7">
      <c r="G1018" s="25"/>
    </row>
    <row r="1019" spans="7:7">
      <c r="G1019" s="25"/>
    </row>
    <row r="1020" spans="7:7">
      <c r="G1020" s="25"/>
    </row>
    <row r="1021" spans="7:7">
      <c r="G1021" s="25"/>
    </row>
    <row r="1022" spans="7:7">
      <c r="G1022" s="25"/>
    </row>
    <row r="1023" spans="7:7">
      <c r="G1023" s="25"/>
    </row>
    <row r="1024" spans="7:7">
      <c r="G1024" s="25"/>
    </row>
    <row r="1025" spans="7:7">
      <c r="G1025" s="25"/>
    </row>
    <row r="1026" spans="7:7">
      <c r="G1026" s="25"/>
    </row>
    <row r="1027" spans="7:7">
      <c r="G1027" s="25"/>
    </row>
    <row r="1028" spans="7:7">
      <c r="G1028" s="25"/>
    </row>
    <row r="1029" spans="7:7">
      <c r="G1029" s="25"/>
    </row>
    <row r="1030" spans="7:7">
      <c r="G1030" s="25"/>
    </row>
    <row r="1031" spans="7:7">
      <c r="G1031" s="25"/>
    </row>
    <row r="1032" spans="7:7">
      <c r="G1032" s="25"/>
    </row>
    <row r="1033" spans="7:7">
      <c r="G1033" s="25"/>
    </row>
    <row r="1034" spans="7:7">
      <c r="G1034" s="25"/>
    </row>
    <row r="1035" spans="7:7">
      <c r="G1035" s="25"/>
    </row>
    <row r="1036" spans="7:7">
      <c r="G1036" s="25"/>
    </row>
    <row r="1037" spans="7:7">
      <c r="G1037" s="25"/>
    </row>
    <row r="1038" spans="7:7">
      <c r="G1038" s="25"/>
    </row>
    <row r="1039" spans="7:7">
      <c r="G1039" s="25"/>
    </row>
    <row r="1040" spans="7:7">
      <c r="G1040" s="25"/>
    </row>
    <row r="1041" spans="7:7">
      <c r="G1041" s="25"/>
    </row>
    <row r="1042" spans="7:7">
      <c r="G1042" s="25"/>
    </row>
    <row r="1043" spans="7:7">
      <c r="G1043" s="25"/>
    </row>
    <row r="1044" spans="7:7">
      <c r="G1044" s="25"/>
    </row>
    <row r="1045" spans="7:7">
      <c r="G1045" s="25"/>
    </row>
    <row r="1046" spans="7:7">
      <c r="G1046" s="25"/>
    </row>
    <row r="1047" spans="7:7">
      <c r="G1047" s="25"/>
    </row>
    <row r="1048" spans="7:7">
      <c r="G1048" s="25"/>
    </row>
    <row r="1049" spans="7:7">
      <c r="G1049" s="25"/>
    </row>
    <row r="1050" spans="7:7">
      <c r="G1050" s="25"/>
    </row>
    <row r="1051" spans="7:7">
      <c r="G1051" s="25"/>
    </row>
    <row r="1052" spans="7:7">
      <c r="G1052" s="25"/>
    </row>
    <row r="1053" spans="7:7">
      <c r="G1053" s="25"/>
    </row>
    <row r="1054" spans="7:7">
      <c r="G1054" s="25"/>
    </row>
    <row r="1055" spans="7:7">
      <c r="G1055" s="25"/>
    </row>
    <row r="1056" spans="7:7">
      <c r="G1056" s="25"/>
    </row>
    <row r="1057" spans="7:7">
      <c r="G1057" s="25"/>
    </row>
    <row r="1058" spans="7:7">
      <c r="G1058" s="25"/>
    </row>
    <row r="1059" spans="7:7">
      <c r="G1059" s="25"/>
    </row>
    <row r="1060" spans="7:7">
      <c r="G1060" s="25"/>
    </row>
    <row r="1061" spans="7:7">
      <c r="G1061" s="25"/>
    </row>
    <row r="1062" spans="7:7">
      <c r="G1062" s="25"/>
    </row>
    <row r="1063" spans="7:7">
      <c r="G1063" s="25"/>
    </row>
    <row r="1064" spans="7:7">
      <c r="G1064" s="25"/>
    </row>
    <row r="1065" spans="7:7">
      <c r="G1065" s="25"/>
    </row>
    <row r="1066" spans="7:7">
      <c r="G1066" s="25"/>
    </row>
    <row r="1067" spans="7:7">
      <c r="G1067" s="25"/>
    </row>
    <row r="1068" spans="7:7">
      <c r="G1068" s="25"/>
    </row>
    <row r="1069" spans="7:7">
      <c r="G1069" s="25"/>
    </row>
    <row r="1070" spans="7:7">
      <c r="G1070" s="25"/>
    </row>
    <row r="1071" spans="7:7">
      <c r="G1071" s="25"/>
    </row>
    <row r="1072" spans="7:7">
      <c r="G1072" s="25"/>
    </row>
    <row r="1073" spans="7:7">
      <c r="G1073" s="25"/>
    </row>
    <row r="1074" spans="7:7">
      <c r="G1074" s="25"/>
    </row>
    <row r="1075" spans="7:7">
      <c r="G1075" s="25"/>
    </row>
    <row r="1076" spans="7:7">
      <c r="G1076" s="25"/>
    </row>
    <row r="1077" spans="7:7">
      <c r="G1077" s="25"/>
    </row>
    <row r="1078" spans="7:7">
      <c r="G1078" s="25"/>
    </row>
    <row r="1079" spans="7:7">
      <c r="G1079" s="25"/>
    </row>
    <row r="1080" spans="7:7">
      <c r="G1080" s="25"/>
    </row>
    <row r="1081" spans="7:7">
      <c r="G1081" s="25"/>
    </row>
    <row r="1082" spans="7:7">
      <c r="G1082" s="25"/>
    </row>
    <row r="1083" spans="7:7">
      <c r="G1083" s="25"/>
    </row>
    <row r="1084" spans="7:7">
      <c r="G1084" s="25"/>
    </row>
    <row r="1085" spans="7:7">
      <c r="G1085" s="25"/>
    </row>
    <row r="1086" spans="7:7">
      <c r="G1086" s="25"/>
    </row>
    <row r="1087" spans="7:7">
      <c r="G1087" s="25"/>
    </row>
    <row r="1088" spans="7:7">
      <c r="G1088" s="25"/>
    </row>
    <row r="1089" spans="7:7">
      <c r="G1089" s="25"/>
    </row>
    <row r="1090" spans="7:7">
      <c r="G1090" s="25"/>
    </row>
    <row r="1091" spans="7:7">
      <c r="G1091" s="25"/>
    </row>
    <row r="1092" spans="7:7">
      <c r="G1092" s="25"/>
    </row>
    <row r="1093" spans="7:7">
      <c r="G1093" s="25"/>
    </row>
    <row r="1094" spans="7:7">
      <c r="G1094" s="25"/>
    </row>
    <row r="1095" spans="7:7">
      <c r="G1095" s="25"/>
    </row>
    <row r="1096" spans="7:7">
      <c r="G1096" s="25"/>
    </row>
    <row r="1097" spans="7:7">
      <c r="G1097" s="25"/>
    </row>
    <row r="1098" spans="7:7">
      <c r="G1098" s="25"/>
    </row>
    <row r="1099" spans="7:7">
      <c r="G1099" s="25"/>
    </row>
    <row r="1100" spans="7:7">
      <c r="G1100" s="25"/>
    </row>
    <row r="1101" spans="7:7">
      <c r="G1101" s="25"/>
    </row>
    <row r="1102" spans="7:7">
      <c r="G1102" s="25"/>
    </row>
    <row r="1103" spans="7:7">
      <c r="G1103" s="25"/>
    </row>
    <row r="1104" spans="7:7">
      <c r="G1104" s="25"/>
    </row>
    <row r="1105" spans="7:7">
      <c r="G1105" s="25"/>
    </row>
    <row r="1106" spans="7:7">
      <c r="G1106" s="25"/>
    </row>
    <row r="1107" spans="7:7">
      <c r="G1107" s="25"/>
    </row>
    <row r="1108" spans="7:7">
      <c r="G1108" s="25"/>
    </row>
    <row r="1109" spans="7:7">
      <c r="G1109" s="25"/>
    </row>
    <row r="1110" spans="7:7">
      <c r="G1110" s="25"/>
    </row>
    <row r="1111" spans="7:7">
      <c r="G1111" s="25"/>
    </row>
    <row r="1112" spans="7:7">
      <c r="G1112" s="25"/>
    </row>
    <row r="1113" spans="7:7">
      <c r="G1113" s="25"/>
    </row>
    <row r="1114" spans="7:7">
      <c r="G1114" s="25"/>
    </row>
    <row r="1115" spans="7:7">
      <c r="G1115" s="25"/>
    </row>
    <row r="1116" spans="7:7">
      <c r="G1116" s="25"/>
    </row>
    <row r="1117" spans="7:7">
      <c r="G1117" s="25"/>
    </row>
    <row r="1118" spans="7:7">
      <c r="G1118" s="25"/>
    </row>
    <row r="1119" spans="7:7">
      <c r="G1119" s="25"/>
    </row>
    <row r="1120" spans="7:7">
      <c r="G1120" s="25"/>
    </row>
    <row r="1121" spans="7:7">
      <c r="G1121" s="25"/>
    </row>
    <row r="1122" spans="7:7">
      <c r="G1122" s="25"/>
    </row>
    <row r="1123" spans="7:7">
      <c r="G1123" s="25"/>
    </row>
    <row r="1124" spans="7:7">
      <c r="G1124" s="25"/>
    </row>
    <row r="1125" spans="7:7">
      <c r="G1125" s="25"/>
    </row>
    <row r="1126" spans="7:7">
      <c r="G1126" s="25"/>
    </row>
    <row r="1127" spans="7:7">
      <c r="G1127" s="25"/>
    </row>
    <row r="1128" spans="7:7">
      <c r="G1128" s="25"/>
    </row>
    <row r="1129" spans="7:7">
      <c r="G1129" s="25"/>
    </row>
    <row r="1130" spans="7:7">
      <c r="G1130" s="25"/>
    </row>
    <row r="1131" spans="7:7">
      <c r="G1131" s="25"/>
    </row>
    <row r="1132" spans="7:7">
      <c r="G1132" s="25"/>
    </row>
    <row r="1133" spans="7:7">
      <c r="G1133" s="25"/>
    </row>
    <row r="1134" spans="7:7">
      <c r="G1134" s="25"/>
    </row>
    <row r="1135" spans="7:7">
      <c r="G1135" s="25"/>
    </row>
    <row r="1136" spans="7:7">
      <c r="G1136" s="25"/>
    </row>
    <row r="1137" spans="7:7">
      <c r="G1137" s="25"/>
    </row>
    <row r="1138" spans="7:7">
      <c r="G1138" s="25"/>
    </row>
    <row r="1139" spans="7:7">
      <c r="G1139" s="25"/>
    </row>
    <row r="1140" spans="7:7">
      <c r="G1140" s="25"/>
    </row>
    <row r="1141" spans="7:7">
      <c r="G1141" s="25"/>
    </row>
    <row r="1142" spans="7:7">
      <c r="G1142" s="25"/>
    </row>
    <row r="1143" spans="7:7">
      <c r="G1143" s="25"/>
    </row>
    <row r="1144" spans="7:7">
      <c r="G1144" s="25"/>
    </row>
    <row r="1145" spans="7:7">
      <c r="G1145" s="25"/>
    </row>
    <row r="1146" spans="7:7">
      <c r="G1146" s="25"/>
    </row>
    <row r="1147" spans="7:7">
      <c r="G1147" s="25"/>
    </row>
    <row r="1148" spans="7:7">
      <c r="G1148" s="25"/>
    </row>
    <row r="1149" spans="7:7">
      <c r="G1149" s="25"/>
    </row>
    <row r="1150" spans="7:7">
      <c r="G1150" s="25"/>
    </row>
    <row r="1151" spans="7:7">
      <c r="G1151" s="25"/>
    </row>
    <row r="1152" spans="7:7">
      <c r="G1152" s="25"/>
    </row>
    <row r="1153" spans="7:7">
      <c r="G1153" s="25"/>
    </row>
    <row r="1154" spans="7:7">
      <c r="G1154" s="25"/>
    </row>
    <row r="1155" spans="7:7">
      <c r="G1155" s="25"/>
    </row>
    <row r="1156" spans="7:7">
      <c r="G1156" s="25"/>
    </row>
    <row r="1157" spans="7:7">
      <c r="G1157" s="25"/>
    </row>
    <row r="1158" spans="7:7">
      <c r="G1158" s="25"/>
    </row>
    <row r="1159" spans="7:7">
      <c r="G1159" s="25"/>
    </row>
    <row r="1160" spans="7:7">
      <c r="G1160" s="25"/>
    </row>
    <row r="1161" spans="7:7">
      <c r="G1161" s="25"/>
    </row>
    <row r="1162" spans="7:7">
      <c r="G1162" s="25"/>
    </row>
    <row r="1163" spans="7:7">
      <c r="G1163" s="25"/>
    </row>
    <row r="1164" spans="7:7">
      <c r="G1164" s="25"/>
    </row>
    <row r="1165" spans="7:7">
      <c r="G1165" s="25"/>
    </row>
    <row r="1166" spans="7:7">
      <c r="G1166" s="25"/>
    </row>
    <row r="1167" spans="7:7">
      <c r="G1167" s="25"/>
    </row>
    <row r="1168" spans="7:7">
      <c r="G1168" s="25"/>
    </row>
    <row r="1169" spans="7:7">
      <c r="G1169" s="25"/>
    </row>
    <row r="1170" spans="7:7">
      <c r="G1170" s="25"/>
    </row>
    <row r="1171" spans="7:7">
      <c r="G1171" s="25"/>
    </row>
    <row r="1172" spans="7:7">
      <c r="G1172" s="25"/>
    </row>
    <row r="1173" spans="7:7">
      <c r="G1173" s="25"/>
    </row>
    <row r="1174" spans="7:7">
      <c r="G1174" s="25"/>
    </row>
    <row r="1175" spans="7:7">
      <c r="G1175" s="25"/>
    </row>
    <row r="1176" spans="7:7">
      <c r="G1176" s="25"/>
    </row>
    <row r="1177" spans="7:7">
      <c r="G1177" s="25"/>
    </row>
    <row r="1178" spans="7:7">
      <c r="G1178" s="25"/>
    </row>
    <row r="1179" spans="7:7">
      <c r="G1179" s="25"/>
    </row>
    <row r="1180" spans="7:7">
      <c r="G1180" s="25"/>
    </row>
    <row r="1181" spans="7:7">
      <c r="G1181" s="25"/>
    </row>
    <row r="1182" spans="7:7">
      <c r="G1182" s="25"/>
    </row>
    <row r="1183" spans="7:7">
      <c r="G1183" s="25"/>
    </row>
    <row r="1184" spans="7:7">
      <c r="G1184" s="25"/>
    </row>
    <row r="1185" spans="7:7">
      <c r="G1185" s="25"/>
    </row>
    <row r="1186" spans="7:7">
      <c r="G1186" s="25"/>
    </row>
    <row r="1187" spans="7:7">
      <c r="G1187" s="25"/>
    </row>
    <row r="1188" spans="7:7">
      <c r="G1188" s="25"/>
    </row>
    <row r="1189" spans="7:7">
      <c r="G1189" s="25"/>
    </row>
    <row r="1190" spans="7:7">
      <c r="G1190" s="25"/>
    </row>
    <row r="1191" spans="7:7">
      <c r="G1191" s="25"/>
    </row>
    <row r="1192" spans="7:7">
      <c r="G1192" s="25"/>
    </row>
    <row r="1193" spans="7:7">
      <c r="G1193" s="25"/>
    </row>
    <row r="1194" spans="7:7">
      <c r="G1194" s="25"/>
    </row>
    <row r="1195" spans="7:7">
      <c r="G1195" s="25"/>
    </row>
    <row r="1196" spans="7:7">
      <c r="G1196" s="25"/>
    </row>
    <row r="1197" spans="7:7">
      <c r="G1197" s="25"/>
    </row>
    <row r="1198" spans="7:7">
      <c r="G1198" s="25"/>
    </row>
    <row r="1199" spans="7:7">
      <c r="G1199" s="25"/>
    </row>
    <row r="1200" spans="7:7">
      <c r="G1200" s="25"/>
    </row>
    <row r="1201" spans="7:7">
      <c r="G1201" s="25"/>
    </row>
    <row r="1202" spans="7:7">
      <c r="G1202" s="25"/>
    </row>
    <row r="1203" spans="7:7">
      <c r="G1203" s="25"/>
    </row>
    <row r="1204" spans="7:7">
      <c r="G1204" s="25"/>
    </row>
    <row r="1205" spans="7:7">
      <c r="G1205" s="25"/>
    </row>
    <row r="1206" spans="7:7">
      <c r="G1206" s="25"/>
    </row>
    <row r="1207" spans="7:7">
      <c r="G1207" s="25"/>
    </row>
    <row r="1208" spans="7:7">
      <c r="G1208" s="25"/>
    </row>
    <row r="1209" spans="7:7">
      <c r="G1209" s="25"/>
    </row>
    <row r="1210" spans="7:7">
      <c r="G1210" s="25"/>
    </row>
    <row r="1211" spans="7:7">
      <c r="G1211" s="25"/>
    </row>
    <row r="1212" spans="7:7">
      <c r="G1212" s="25"/>
    </row>
    <row r="1213" spans="7:7">
      <c r="G1213" s="25"/>
    </row>
    <row r="1214" spans="7:7">
      <c r="G1214" s="25"/>
    </row>
    <row r="1215" spans="7:7">
      <c r="G1215" s="25"/>
    </row>
    <row r="1216" spans="7:7">
      <c r="G1216" s="25"/>
    </row>
    <row r="1217" spans="7:7">
      <c r="G1217" s="25"/>
    </row>
    <row r="1218" spans="7:7">
      <c r="G1218" s="25"/>
    </row>
    <row r="1219" spans="7:7">
      <c r="G1219" s="25"/>
    </row>
    <row r="1220" spans="7:7">
      <c r="G1220" s="25"/>
    </row>
    <row r="1221" spans="7:7">
      <c r="G1221" s="25"/>
    </row>
    <row r="1222" spans="7:7">
      <c r="G1222" s="25"/>
    </row>
    <row r="1223" spans="7:7">
      <c r="G1223" s="25"/>
    </row>
    <row r="1224" spans="7:7">
      <c r="G1224" s="25"/>
    </row>
    <row r="1225" spans="7:7">
      <c r="G1225" s="25"/>
    </row>
    <row r="1226" spans="7:7">
      <c r="G1226" s="25"/>
    </row>
    <row r="1227" spans="7:7">
      <c r="G1227" s="25"/>
    </row>
    <row r="1228" spans="7:7">
      <c r="G1228" s="25"/>
    </row>
    <row r="1229" spans="7:7">
      <c r="G1229" s="25"/>
    </row>
    <row r="1230" spans="7:7">
      <c r="G1230" s="25"/>
    </row>
    <row r="1231" spans="7:7">
      <c r="G1231" s="25"/>
    </row>
    <row r="1232" spans="7:7">
      <c r="G1232" s="25"/>
    </row>
    <row r="1233" spans="7:7">
      <c r="G1233" s="25"/>
    </row>
    <row r="1234" spans="7:7">
      <c r="G1234" s="25"/>
    </row>
    <row r="1235" spans="7:7">
      <c r="G1235" s="25"/>
    </row>
    <row r="1236" spans="7:7">
      <c r="G1236" s="25"/>
    </row>
    <row r="1237" spans="7:7">
      <c r="G1237" s="25"/>
    </row>
    <row r="1238" spans="7:7">
      <c r="G1238" s="25"/>
    </row>
    <row r="1239" spans="7:7">
      <c r="G1239" s="25"/>
    </row>
    <row r="1240" spans="7:7">
      <c r="G1240" s="25"/>
    </row>
    <row r="1241" spans="7:7">
      <c r="G1241" s="25"/>
    </row>
    <row r="1242" spans="7:7">
      <c r="G1242" s="25"/>
    </row>
    <row r="1243" spans="7:7">
      <c r="G1243" s="25"/>
    </row>
    <row r="1244" spans="7:7">
      <c r="G1244" s="25"/>
    </row>
    <row r="1245" spans="7:7">
      <c r="G1245" s="25"/>
    </row>
    <row r="1246" spans="7:7">
      <c r="G1246" s="25"/>
    </row>
    <row r="1247" spans="7:7">
      <c r="G1247" s="25"/>
    </row>
    <row r="1248" spans="7:7">
      <c r="G1248" s="25"/>
    </row>
    <row r="1249" spans="7:7">
      <c r="G1249" s="25"/>
    </row>
    <row r="1250" spans="7:7">
      <c r="G1250" s="25"/>
    </row>
    <row r="1251" spans="7:7">
      <c r="G1251" s="25"/>
    </row>
    <row r="1252" spans="7:7">
      <c r="G1252" s="25"/>
    </row>
    <row r="1253" spans="7:7">
      <c r="G1253" s="25"/>
    </row>
    <row r="1254" spans="7:7">
      <c r="G1254" s="25"/>
    </row>
    <row r="1255" spans="7:7">
      <c r="G1255" s="25"/>
    </row>
    <row r="1256" spans="7:7">
      <c r="G1256" s="25"/>
    </row>
    <row r="1257" spans="7:7">
      <c r="G1257" s="25"/>
    </row>
    <row r="1258" spans="7:7">
      <c r="G1258" s="25"/>
    </row>
    <row r="1259" spans="7:7">
      <c r="G1259" s="25"/>
    </row>
    <row r="1260" spans="7:7">
      <c r="G1260" s="25"/>
    </row>
    <row r="1261" spans="7:7">
      <c r="G1261" s="25"/>
    </row>
    <row r="1262" spans="7:7">
      <c r="G1262" s="25"/>
    </row>
    <row r="1263" spans="7:7">
      <c r="G1263" s="25"/>
    </row>
    <row r="1264" spans="7:7">
      <c r="G1264" s="25"/>
    </row>
    <row r="1265" spans="7:7">
      <c r="G1265" s="25"/>
    </row>
    <row r="1266" spans="7:7">
      <c r="G1266" s="25"/>
    </row>
    <row r="1267" spans="7:7">
      <c r="G1267" s="25"/>
    </row>
    <row r="1268" spans="7:7">
      <c r="G1268" s="25"/>
    </row>
    <row r="1269" spans="7:7">
      <c r="G1269" s="25"/>
    </row>
    <row r="1270" spans="7:7">
      <c r="G1270" s="25"/>
    </row>
    <row r="1271" spans="7:7">
      <c r="G1271" s="25"/>
    </row>
    <row r="1272" spans="7:7">
      <c r="G1272" s="25"/>
    </row>
    <row r="1273" spans="7:7">
      <c r="G1273" s="25"/>
    </row>
    <row r="1274" spans="7:7">
      <c r="G1274" s="25"/>
    </row>
    <row r="1275" spans="7:7">
      <c r="G1275" s="25"/>
    </row>
    <row r="1276" spans="7:7">
      <c r="G1276" s="25"/>
    </row>
    <row r="1277" spans="7:7">
      <c r="G1277" s="25"/>
    </row>
    <row r="1278" spans="7:7">
      <c r="G1278" s="25"/>
    </row>
    <row r="1279" spans="7:7">
      <c r="G1279" s="25"/>
    </row>
    <row r="1280" spans="7:7">
      <c r="G1280" s="25"/>
    </row>
    <row r="1281" spans="7:7">
      <c r="G1281" s="25"/>
    </row>
    <row r="1282" spans="7:7">
      <c r="G1282" s="25"/>
    </row>
    <row r="1283" spans="7:7">
      <c r="G1283" s="25"/>
    </row>
    <row r="1284" spans="7:7">
      <c r="G1284" s="25"/>
    </row>
    <row r="1285" spans="7:7">
      <c r="G1285" s="25"/>
    </row>
    <row r="1286" spans="7:7">
      <c r="G1286" s="25"/>
    </row>
    <row r="1287" spans="7:7">
      <c r="G1287" s="25"/>
    </row>
    <row r="1288" spans="7:7">
      <c r="G1288" s="25"/>
    </row>
    <row r="1289" spans="7:7">
      <c r="G1289" s="25"/>
    </row>
    <row r="1290" spans="7:7">
      <c r="G1290" s="25"/>
    </row>
    <row r="1291" spans="7:7">
      <c r="G1291" s="25"/>
    </row>
    <row r="1292" spans="7:7">
      <c r="G1292" s="25"/>
    </row>
    <row r="1293" spans="7:7">
      <c r="G1293" s="25"/>
    </row>
    <row r="1294" spans="7:7">
      <c r="G1294" s="25"/>
    </row>
    <row r="1295" spans="7:7">
      <c r="G1295" s="25"/>
    </row>
    <row r="1296" spans="7:7">
      <c r="G1296" s="25"/>
    </row>
    <row r="1297" spans="7:7">
      <c r="G1297" s="25"/>
    </row>
    <row r="1298" spans="7:7">
      <c r="G1298" s="25"/>
    </row>
    <row r="1299" spans="7:7">
      <c r="G1299" s="25"/>
    </row>
    <row r="1300" spans="7:7">
      <c r="G1300" s="25"/>
    </row>
    <row r="1301" spans="7:7">
      <c r="G1301" s="25"/>
    </row>
    <row r="1302" spans="7:7">
      <c r="G1302" s="25"/>
    </row>
    <row r="1303" spans="7:7">
      <c r="G1303" s="25"/>
    </row>
    <row r="1304" spans="7:7">
      <c r="G1304" s="25"/>
    </row>
    <row r="1305" spans="7:7">
      <c r="G1305" s="25"/>
    </row>
    <row r="1306" spans="7:7">
      <c r="G1306" s="25"/>
    </row>
    <row r="1307" spans="7:7">
      <c r="G1307" s="25"/>
    </row>
    <row r="1308" spans="7:7">
      <c r="G1308" s="25"/>
    </row>
    <row r="1309" spans="7:7">
      <c r="G1309" s="25"/>
    </row>
    <row r="1310" spans="7:7">
      <c r="G1310" s="25"/>
    </row>
    <row r="1311" spans="7:7">
      <c r="G1311" s="25"/>
    </row>
    <row r="1312" spans="7:7">
      <c r="G1312" s="25"/>
    </row>
    <row r="1313" spans="7:7">
      <c r="G1313" s="25"/>
    </row>
    <row r="1314" spans="7:7">
      <c r="G1314" s="25"/>
    </row>
    <row r="1315" spans="7:7">
      <c r="G1315" s="25"/>
    </row>
    <row r="1316" spans="7:7">
      <c r="G1316" s="25"/>
    </row>
    <row r="1317" spans="7:7">
      <c r="G1317" s="25"/>
    </row>
    <row r="1318" spans="7:7">
      <c r="G1318" s="25"/>
    </row>
    <row r="1319" spans="7:7">
      <c r="G1319" s="25"/>
    </row>
    <row r="1320" spans="7:7">
      <c r="G1320" s="25"/>
    </row>
    <row r="1321" spans="7:7">
      <c r="G1321" s="25"/>
    </row>
    <row r="1322" spans="7:7">
      <c r="G1322" s="25"/>
    </row>
    <row r="1323" spans="7:7">
      <c r="G1323" s="25"/>
    </row>
    <row r="1324" spans="7:7">
      <c r="G1324" s="25"/>
    </row>
    <row r="1325" spans="7:7">
      <c r="G1325" s="25"/>
    </row>
    <row r="1326" spans="7:7">
      <c r="G1326" s="25"/>
    </row>
    <row r="1327" spans="7:7">
      <c r="G1327" s="25"/>
    </row>
    <row r="1328" spans="7:7">
      <c r="G1328" s="25"/>
    </row>
    <row r="1329" spans="7:7">
      <c r="G1329" s="25"/>
    </row>
    <row r="1330" spans="7:7">
      <c r="G1330" s="25"/>
    </row>
    <row r="1331" spans="7:7">
      <c r="G1331" s="25"/>
    </row>
    <row r="1332" spans="7:7">
      <c r="G1332" s="25"/>
    </row>
    <row r="1333" spans="7:7">
      <c r="G1333" s="25"/>
    </row>
    <row r="1334" spans="7:7">
      <c r="G1334" s="25"/>
    </row>
    <row r="1335" spans="7:7">
      <c r="G1335" s="25"/>
    </row>
    <row r="1336" spans="7:7">
      <c r="G1336" s="25"/>
    </row>
    <row r="1337" spans="7:7">
      <c r="G1337" s="25"/>
    </row>
    <row r="1338" spans="7:7">
      <c r="G1338" s="25"/>
    </row>
    <row r="1339" spans="7:7">
      <c r="G1339" s="25"/>
    </row>
    <row r="1340" spans="7:7">
      <c r="G1340" s="25"/>
    </row>
    <row r="1341" spans="7:7">
      <c r="G1341" s="25"/>
    </row>
    <row r="1342" spans="7:7">
      <c r="G1342" s="25"/>
    </row>
    <row r="1343" spans="7:7">
      <c r="G1343" s="25"/>
    </row>
    <row r="1344" spans="7:7">
      <c r="G1344" s="25"/>
    </row>
    <row r="1345" spans="7:7">
      <c r="G1345" s="25"/>
    </row>
    <row r="1346" spans="7:7">
      <c r="G1346" s="25"/>
    </row>
    <row r="1347" spans="7:7">
      <c r="G1347" s="25"/>
    </row>
    <row r="1348" spans="7:7">
      <c r="G1348" s="25"/>
    </row>
    <row r="1349" spans="7:7">
      <c r="G1349" s="25"/>
    </row>
    <row r="1350" spans="7:7">
      <c r="G1350" s="25"/>
    </row>
    <row r="1351" spans="7:7">
      <c r="G1351" s="25"/>
    </row>
    <row r="1352" spans="7:7">
      <c r="G1352" s="25"/>
    </row>
    <row r="1353" spans="7:7">
      <c r="G1353" s="25"/>
    </row>
    <row r="1354" spans="7:7">
      <c r="G1354" s="25"/>
    </row>
    <row r="1355" spans="7:7">
      <c r="G1355" s="25"/>
    </row>
    <row r="1356" spans="7:7">
      <c r="G1356" s="25"/>
    </row>
    <row r="1357" spans="7:7">
      <c r="G1357" s="25"/>
    </row>
    <row r="1358" spans="7:7">
      <c r="G1358" s="25"/>
    </row>
    <row r="1359" spans="7:7">
      <c r="G1359" s="25"/>
    </row>
    <row r="1360" spans="7:7">
      <c r="G1360" s="25"/>
    </row>
    <row r="1361" spans="7:7">
      <c r="G1361" s="25"/>
    </row>
    <row r="1362" spans="7:7">
      <c r="G1362" s="25"/>
    </row>
    <row r="1363" spans="7:7">
      <c r="G1363" s="25"/>
    </row>
    <row r="1364" spans="7:7">
      <c r="G1364" s="25"/>
    </row>
    <row r="1365" spans="7:7">
      <c r="G1365" s="25"/>
    </row>
    <row r="1366" spans="7:7">
      <c r="G1366" s="25"/>
    </row>
    <row r="1367" spans="7:7">
      <c r="G1367" s="25"/>
    </row>
    <row r="1368" spans="7:7">
      <c r="G1368" s="25"/>
    </row>
    <row r="1369" spans="7:7">
      <c r="G1369" s="25"/>
    </row>
    <row r="1370" spans="7:7">
      <c r="G1370" s="25"/>
    </row>
    <row r="1371" spans="7:7">
      <c r="G1371" s="25"/>
    </row>
    <row r="1372" spans="7:7">
      <c r="G1372" s="25"/>
    </row>
    <row r="1373" spans="7:7">
      <c r="G1373" s="25"/>
    </row>
    <row r="1374" spans="7:7">
      <c r="G1374" s="25"/>
    </row>
    <row r="1375" spans="7:7">
      <c r="G1375" s="25"/>
    </row>
    <row r="1376" spans="7:7">
      <c r="G1376" s="25"/>
    </row>
    <row r="1377" spans="7:7">
      <c r="G1377" s="25"/>
    </row>
    <row r="1378" spans="7:7">
      <c r="G1378" s="25"/>
    </row>
    <row r="1379" spans="7:7">
      <c r="G1379" s="25"/>
    </row>
    <row r="1380" spans="7:7">
      <c r="G1380" s="25"/>
    </row>
    <row r="1381" spans="7:7">
      <c r="G1381" s="25"/>
    </row>
    <row r="1382" spans="7:7">
      <c r="G1382" s="25"/>
    </row>
    <row r="1383" spans="7:7">
      <c r="G1383" s="25"/>
    </row>
    <row r="1384" spans="7:7">
      <c r="G1384" s="25"/>
    </row>
    <row r="1385" spans="7:7">
      <c r="G1385" s="25"/>
    </row>
    <row r="1386" spans="7:7">
      <c r="G1386" s="25"/>
    </row>
    <row r="1387" spans="7:7">
      <c r="G1387" s="25"/>
    </row>
    <row r="1388" spans="7:7">
      <c r="G1388" s="25"/>
    </row>
    <row r="1389" spans="7:7">
      <c r="G1389" s="25"/>
    </row>
    <row r="1390" spans="7:7">
      <c r="G1390" s="25"/>
    </row>
    <row r="1391" spans="7:7">
      <c r="G1391" s="25"/>
    </row>
    <row r="1392" spans="7:7">
      <c r="G1392" s="25"/>
    </row>
    <row r="1393" spans="7:7">
      <c r="G1393" s="25"/>
    </row>
    <row r="1394" spans="7:7">
      <c r="G1394" s="25"/>
    </row>
    <row r="1395" spans="7:7">
      <c r="G1395" s="25"/>
    </row>
    <row r="1396" spans="7:7">
      <c r="G1396" s="25"/>
    </row>
    <row r="1397" spans="7:7">
      <c r="G1397" s="25"/>
    </row>
    <row r="1398" spans="7:7">
      <c r="G1398" s="25"/>
    </row>
    <row r="1399" spans="7:7">
      <c r="G1399" s="25"/>
    </row>
    <row r="1400" spans="7:7">
      <c r="G1400" s="25"/>
    </row>
    <row r="1401" spans="7:7">
      <c r="G1401" s="25"/>
    </row>
    <row r="1402" spans="7:7">
      <c r="G1402" s="25"/>
    </row>
    <row r="1403" spans="7:7">
      <c r="G1403" s="25"/>
    </row>
    <row r="1404" spans="7:7">
      <c r="G1404" s="25"/>
    </row>
    <row r="1405" spans="7:7">
      <c r="G1405" s="25"/>
    </row>
    <row r="1406" spans="7:7">
      <c r="G1406" s="25"/>
    </row>
    <row r="1407" spans="7:7">
      <c r="G1407" s="25"/>
    </row>
    <row r="1408" spans="7:7">
      <c r="G1408" s="25"/>
    </row>
    <row r="1409" spans="7:7">
      <c r="G1409" s="25"/>
    </row>
    <row r="1410" spans="7:7">
      <c r="G1410" s="25"/>
    </row>
    <row r="1411" spans="7:7">
      <c r="G1411" s="25"/>
    </row>
    <row r="1412" spans="7:7">
      <c r="G1412" s="25"/>
    </row>
    <row r="1413" spans="7:7">
      <c r="G1413" s="25"/>
    </row>
    <row r="1414" spans="7:7">
      <c r="G1414" s="25"/>
    </row>
    <row r="1415" spans="7:7">
      <c r="G1415" s="25"/>
    </row>
    <row r="1416" spans="7:7">
      <c r="G1416" s="25"/>
    </row>
    <row r="1417" spans="7:7">
      <c r="G1417" s="25"/>
    </row>
    <row r="1418" spans="7:7">
      <c r="G1418" s="25"/>
    </row>
    <row r="1419" spans="7:7">
      <c r="G1419" s="25"/>
    </row>
    <row r="1420" spans="7:7">
      <c r="G1420" s="25"/>
    </row>
    <row r="1421" spans="7:7">
      <c r="G1421" s="25"/>
    </row>
    <row r="1422" spans="7:7">
      <c r="G1422" s="25"/>
    </row>
    <row r="1423" spans="7:7">
      <c r="G1423" s="25"/>
    </row>
    <row r="1424" spans="7:7">
      <c r="G1424" s="25"/>
    </row>
    <row r="1425" spans="7:7">
      <c r="G1425" s="25"/>
    </row>
    <row r="1426" spans="7:7">
      <c r="G1426" s="25"/>
    </row>
    <row r="1427" spans="7:7">
      <c r="G1427" s="25"/>
    </row>
    <row r="1428" spans="7:7">
      <c r="G1428" s="25"/>
    </row>
    <row r="1429" spans="7:7">
      <c r="G1429" s="25"/>
    </row>
    <row r="1430" spans="7:7">
      <c r="G1430" s="25"/>
    </row>
    <row r="1431" spans="7:7">
      <c r="G1431" s="25"/>
    </row>
    <row r="1432" spans="7:7">
      <c r="G1432" s="25"/>
    </row>
    <row r="1433" spans="7:7">
      <c r="G1433" s="25"/>
    </row>
    <row r="1434" spans="7:7">
      <c r="G1434" s="25"/>
    </row>
    <row r="1435" spans="7:7">
      <c r="G1435" s="25"/>
    </row>
    <row r="1436" spans="7:7">
      <c r="G1436" s="25"/>
    </row>
    <row r="1437" spans="7:7">
      <c r="G1437" s="25"/>
    </row>
    <row r="1438" spans="7:7">
      <c r="G1438" s="25"/>
    </row>
    <row r="1439" spans="7:7">
      <c r="G1439" s="25"/>
    </row>
    <row r="1440" spans="7:7">
      <c r="G1440" s="25"/>
    </row>
    <row r="1441" spans="7:7">
      <c r="G1441" s="25"/>
    </row>
    <row r="1442" spans="7:7">
      <c r="G1442" s="25"/>
    </row>
    <row r="1443" spans="7:7">
      <c r="G1443" s="25"/>
    </row>
    <row r="1444" spans="7:7">
      <c r="G1444" s="25"/>
    </row>
    <row r="1445" spans="7:7">
      <c r="G1445" s="25"/>
    </row>
    <row r="1446" spans="7:7">
      <c r="G1446" s="25"/>
    </row>
    <row r="1447" spans="7:7">
      <c r="G1447" s="25"/>
    </row>
    <row r="1448" spans="7:7">
      <c r="G1448" s="25"/>
    </row>
    <row r="1449" spans="7:7">
      <c r="G1449" s="25"/>
    </row>
    <row r="1450" spans="7:7">
      <c r="G1450" s="25"/>
    </row>
    <row r="1451" spans="7:7">
      <c r="G1451" s="25"/>
    </row>
    <row r="1452" spans="7:7">
      <c r="G1452" s="25"/>
    </row>
    <row r="1453" spans="7:7">
      <c r="G1453" s="25"/>
    </row>
    <row r="1454" spans="7:7">
      <c r="G1454" s="25"/>
    </row>
    <row r="1455" spans="7:7">
      <c r="G1455" s="25"/>
    </row>
    <row r="1456" spans="7:7">
      <c r="G1456" s="25"/>
    </row>
    <row r="1457" spans="7:7">
      <c r="G1457" s="25"/>
    </row>
    <row r="1458" spans="7:7">
      <c r="G1458" s="25"/>
    </row>
    <row r="1459" spans="7:7">
      <c r="G1459" s="25"/>
    </row>
    <row r="1460" spans="7:7">
      <c r="G1460" s="25"/>
    </row>
    <row r="1461" spans="7:7">
      <c r="G1461" s="25"/>
    </row>
    <row r="1462" spans="7:7">
      <c r="G1462" s="25"/>
    </row>
    <row r="1463" spans="7:7">
      <c r="G1463" s="25"/>
    </row>
    <row r="1464" spans="7:7">
      <c r="G1464" s="25"/>
    </row>
    <row r="1465" spans="7:7">
      <c r="G1465" s="25"/>
    </row>
    <row r="1466" spans="7:7">
      <c r="G1466" s="25"/>
    </row>
    <row r="1467" spans="7:7">
      <c r="G1467" s="25"/>
    </row>
    <row r="1468" spans="7:7">
      <c r="G1468" s="25"/>
    </row>
    <row r="1469" spans="7:7">
      <c r="G1469" s="25"/>
    </row>
    <row r="1470" spans="7:7">
      <c r="G1470" s="25"/>
    </row>
    <row r="1471" spans="7:7">
      <c r="G1471" s="25"/>
    </row>
    <row r="1472" spans="7:7">
      <c r="G1472" s="25"/>
    </row>
    <row r="1473" spans="7:7">
      <c r="G1473" s="25"/>
    </row>
    <row r="1474" spans="7:7">
      <c r="G1474" s="25"/>
    </row>
    <row r="1475" spans="7:7">
      <c r="G1475" s="25"/>
    </row>
    <row r="1476" spans="7:7">
      <c r="G1476" s="25"/>
    </row>
    <row r="1477" spans="7:7">
      <c r="G1477" s="25"/>
    </row>
    <row r="1478" spans="7:7">
      <c r="G1478" s="25"/>
    </row>
    <row r="1479" spans="7:7">
      <c r="G1479" s="25"/>
    </row>
    <row r="1480" spans="7:7">
      <c r="G1480" s="25"/>
    </row>
    <row r="1481" spans="7:7">
      <c r="G1481" s="25"/>
    </row>
    <row r="1482" spans="7:7">
      <c r="G1482" s="25"/>
    </row>
    <row r="1483" spans="7:7">
      <c r="G1483" s="25"/>
    </row>
    <row r="1484" spans="7:7">
      <c r="G1484" s="25"/>
    </row>
    <row r="1485" spans="7:7">
      <c r="G1485" s="25"/>
    </row>
    <row r="1486" spans="7:7">
      <c r="G1486" s="25"/>
    </row>
    <row r="1487" spans="7:7">
      <c r="G1487" s="25"/>
    </row>
    <row r="1488" spans="7:7">
      <c r="G1488" s="25"/>
    </row>
    <row r="1489" spans="7:7">
      <c r="G1489" s="25"/>
    </row>
    <row r="1490" spans="7:7">
      <c r="G1490" s="25"/>
    </row>
    <row r="1491" spans="7:7">
      <c r="G1491" s="25"/>
    </row>
    <row r="1492" spans="7:7">
      <c r="G1492" s="25"/>
    </row>
    <row r="1493" spans="7:7">
      <c r="G1493" s="25"/>
    </row>
    <row r="1494" spans="7:7">
      <c r="G1494" s="25"/>
    </row>
    <row r="1495" spans="7:7">
      <c r="G1495" s="25"/>
    </row>
    <row r="1496" spans="7:7">
      <c r="G1496" s="25"/>
    </row>
    <row r="1497" spans="7:7">
      <c r="G1497" s="25"/>
    </row>
    <row r="1498" spans="7:7">
      <c r="G1498" s="25"/>
    </row>
    <row r="1499" spans="7:7">
      <c r="G1499" s="25"/>
    </row>
    <row r="1500" spans="7:7">
      <c r="G1500" s="25"/>
    </row>
    <row r="1501" spans="7:7">
      <c r="G1501" s="25"/>
    </row>
    <row r="1502" spans="7:7">
      <c r="G1502" s="25"/>
    </row>
    <row r="1503" spans="7:7">
      <c r="G1503" s="25"/>
    </row>
    <row r="1504" spans="7:7">
      <c r="G1504" s="25"/>
    </row>
    <row r="1505" spans="7:7">
      <c r="G1505" s="25"/>
    </row>
    <row r="1506" spans="7:7">
      <c r="G1506" s="25"/>
    </row>
    <row r="1507" spans="7:7">
      <c r="G1507" s="25"/>
    </row>
    <row r="1508" spans="7:7">
      <c r="G1508" s="25"/>
    </row>
    <row r="1509" spans="7:7">
      <c r="G1509" s="25"/>
    </row>
    <row r="1510" spans="7:7">
      <c r="G1510" s="25"/>
    </row>
    <row r="1511" spans="7:7">
      <c r="G1511" s="25"/>
    </row>
    <row r="1512" spans="7:7">
      <c r="G1512" s="25"/>
    </row>
    <row r="1513" spans="7:7">
      <c r="G1513" s="25"/>
    </row>
    <row r="1514" spans="7:7">
      <c r="G1514" s="25"/>
    </row>
    <row r="1515" spans="7:7">
      <c r="G1515" s="25"/>
    </row>
    <row r="1516" spans="7:7">
      <c r="G1516" s="25"/>
    </row>
    <row r="1517" spans="7:7">
      <c r="G1517" s="25"/>
    </row>
    <row r="1518" spans="7:7">
      <c r="G1518" s="25"/>
    </row>
    <row r="1519" spans="7:7">
      <c r="G1519" s="25"/>
    </row>
    <row r="1520" spans="7:7">
      <c r="G1520" s="25"/>
    </row>
    <row r="1521" spans="7:7">
      <c r="G1521" s="25"/>
    </row>
    <row r="1522" spans="7:7">
      <c r="G1522" s="25"/>
    </row>
    <row r="1523" spans="7:7">
      <c r="G1523" s="25"/>
    </row>
    <row r="1524" spans="7:7">
      <c r="G1524" s="25"/>
    </row>
    <row r="1525" spans="7:7">
      <c r="G1525" s="25"/>
    </row>
    <row r="1526" spans="7:7">
      <c r="G1526" s="25"/>
    </row>
    <row r="1527" spans="7:7">
      <c r="G1527" s="25"/>
    </row>
    <row r="1528" spans="7:7">
      <c r="G1528" s="25"/>
    </row>
    <row r="1529" spans="7:7">
      <c r="G1529" s="25"/>
    </row>
    <row r="1530" spans="7:7">
      <c r="G1530" s="25"/>
    </row>
    <row r="1531" spans="7:7">
      <c r="G1531" s="25"/>
    </row>
    <row r="1532" spans="7:7">
      <c r="G1532" s="25"/>
    </row>
    <row r="1533" spans="7:7">
      <c r="G1533" s="25"/>
    </row>
    <row r="1534" spans="7:7">
      <c r="G1534" s="25"/>
    </row>
    <row r="1535" spans="7:7">
      <c r="G1535" s="25"/>
    </row>
    <row r="1536" spans="7:7">
      <c r="G1536" s="25"/>
    </row>
    <row r="1537" spans="7:7">
      <c r="G1537" s="25"/>
    </row>
    <row r="1538" spans="7:7">
      <c r="G1538" s="25"/>
    </row>
    <row r="1539" spans="7:7">
      <c r="G1539" s="25"/>
    </row>
    <row r="1540" spans="7:7">
      <c r="G1540" s="25"/>
    </row>
    <row r="1541" spans="7:7">
      <c r="G1541" s="25"/>
    </row>
    <row r="1542" spans="7:7">
      <c r="G1542" s="25"/>
    </row>
    <row r="1543" spans="7:7">
      <c r="G1543" s="25"/>
    </row>
    <row r="1544" spans="7:7">
      <c r="G1544" s="25"/>
    </row>
    <row r="1545" spans="7:7">
      <c r="G1545" s="25"/>
    </row>
    <row r="1546" spans="7:7">
      <c r="G1546" s="25"/>
    </row>
    <row r="1547" spans="7:7">
      <c r="G1547" s="25"/>
    </row>
    <row r="1548" spans="7:7">
      <c r="G1548" s="25"/>
    </row>
    <row r="1549" spans="7:7">
      <c r="G1549" s="25"/>
    </row>
    <row r="1550" spans="7:7">
      <c r="G1550" s="25"/>
    </row>
    <row r="1551" spans="7:7">
      <c r="G1551" s="25"/>
    </row>
    <row r="1552" spans="7:7">
      <c r="G1552" s="25"/>
    </row>
    <row r="1553" spans="7:7">
      <c r="G1553" s="25"/>
    </row>
    <row r="1554" spans="7:7">
      <c r="G1554" s="25"/>
    </row>
    <row r="1555" spans="7:7">
      <c r="G1555" s="25"/>
    </row>
    <row r="1556" spans="7:7">
      <c r="G1556" s="25"/>
    </row>
    <row r="1557" spans="7:7">
      <c r="G1557" s="25"/>
    </row>
    <row r="1558" spans="7:7">
      <c r="G1558" s="25"/>
    </row>
    <row r="1559" spans="7:7">
      <c r="G1559" s="25"/>
    </row>
    <row r="1560" spans="7:7">
      <c r="G1560" s="25"/>
    </row>
    <row r="1561" spans="7:7">
      <c r="G1561" s="25"/>
    </row>
    <row r="1562" spans="7:7">
      <c r="G1562" s="25"/>
    </row>
    <row r="1563" spans="7:7">
      <c r="G1563" s="25"/>
    </row>
    <row r="1564" spans="7:7">
      <c r="G1564" s="25"/>
    </row>
    <row r="1565" spans="7:7">
      <c r="G1565" s="25"/>
    </row>
    <row r="1566" spans="7:7">
      <c r="G1566" s="25"/>
    </row>
    <row r="1567" spans="7:7">
      <c r="G1567" s="25"/>
    </row>
    <row r="1568" spans="7:7">
      <c r="G1568" s="25"/>
    </row>
    <row r="1569" spans="7:7">
      <c r="G1569" s="25"/>
    </row>
    <row r="1570" spans="7:7">
      <c r="G1570" s="25"/>
    </row>
    <row r="1571" spans="7:7">
      <c r="G1571" s="25"/>
    </row>
    <row r="1572" spans="7:7">
      <c r="G1572" s="25"/>
    </row>
    <row r="1573" spans="7:7">
      <c r="G1573" s="25"/>
    </row>
    <row r="1574" spans="7:7">
      <c r="G1574" s="25"/>
    </row>
    <row r="1575" spans="7:7">
      <c r="G1575" s="25"/>
    </row>
    <row r="1576" spans="7:7">
      <c r="G1576" s="25"/>
    </row>
    <row r="1577" spans="7:7">
      <c r="G1577" s="25"/>
    </row>
    <row r="1578" spans="7:7">
      <c r="G1578" s="25"/>
    </row>
    <row r="1579" spans="7:7">
      <c r="G1579" s="25"/>
    </row>
    <row r="1580" spans="7:7">
      <c r="G1580" s="25"/>
    </row>
    <row r="1581" spans="7:7">
      <c r="G1581" s="25"/>
    </row>
    <row r="1582" spans="7:7">
      <c r="G1582" s="25"/>
    </row>
    <row r="1583" spans="7:7">
      <c r="G1583" s="25"/>
    </row>
    <row r="1584" spans="7:7">
      <c r="G1584" s="25"/>
    </row>
    <row r="1585" spans="7:7">
      <c r="G1585" s="25"/>
    </row>
    <row r="1586" spans="7:7">
      <c r="G1586" s="25"/>
    </row>
    <row r="1587" spans="7:7">
      <c r="G1587" s="25"/>
    </row>
    <row r="1588" spans="7:7">
      <c r="G1588" s="25"/>
    </row>
    <row r="1589" spans="7:7">
      <c r="G1589" s="25"/>
    </row>
    <row r="1590" spans="7:7">
      <c r="G1590" s="25"/>
    </row>
    <row r="1591" spans="7:7">
      <c r="G1591" s="25"/>
    </row>
    <row r="1592" spans="7:7">
      <c r="G1592" s="25"/>
    </row>
    <row r="1593" spans="7:7">
      <c r="G1593" s="25"/>
    </row>
    <row r="1594" spans="7:7">
      <c r="G1594" s="25"/>
    </row>
    <row r="1595" spans="7:7">
      <c r="G1595" s="25"/>
    </row>
    <row r="1596" spans="7:7">
      <c r="G1596" s="25"/>
    </row>
    <row r="1597" spans="7:7">
      <c r="G1597" s="25"/>
    </row>
    <row r="1598" spans="7:7">
      <c r="G1598" s="25"/>
    </row>
    <row r="1599" spans="7:7">
      <c r="G1599" s="25"/>
    </row>
    <row r="1600" spans="7:7">
      <c r="G1600" s="25"/>
    </row>
    <row r="1601" spans="7:7">
      <c r="G1601" s="25"/>
    </row>
    <row r="1602" spans="7:7">
      <c r="G1602" s="25"/>
    </row>
    <row r="1603" spans="7:7">
      <c r="G1603" s="25"/>
    </row>
    <row r="1604" spans="7:7">
      <c r="G1604" s="25"/>
    </row>
    <row r="1605" spans="7:7">
      <c r="G1605" s="25"/>
    </row>
    <row r="1606" spans="7:7">
      <c r="G1606" s="25"/>
    </row>
    <row r="1607" spans="7:7">
      <c r="G1607" s="25"/>
    </row>
    <row r="1608" spans="7:7">
      <c r="G1608" s="25"/>
    </row>
    <row r="1609" spans="7:7">
      <c r="G1609" s="25"/>
    </row>
    <row r="1610" spans="7:7">
      <c r="G1610" s="25"/>
    </row>
    <row r="1611" spans="7:7">
      <c r="G1611" s="25"/>
    </row>
    <row r="1612" spans="7:7">
      <c r="G1612" s="25"/>
    </row>
    <row r="1613" spans="7:7">
      <c r="G1613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activeCell="Q22" sqref="Q22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3" t="s">
        <v>10</v>
      </c>
      <c r="C2" s="4"/>
      <c r="D2" s="4"/>
      <c r="E2" s="4"/>
      <c r="F2" s="4"/>
      <c r="G2" s="3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2:26" ht="15">
      <c r="B3" s="7" t="s">
        <v>11</v>
      </c>
      <c r="C3" s="8"/>
      <c r="D3" s="8"/>
      <c r="E3" s="8"/>
      <c r="F3" s="9"/>
      <c r="G3" s="10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2:26" ht="15">
      <c r="B4" s="12" t="s">
        <v>11</v>
      </c>
      <c r="C4" s="13"/>
      <c r="D4" s="13"/>
      <c r="E4" s="13"/>
      <c r="F4" s="14"/>
      <c r="G4" s="15" t="s">
        <v>13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ht="15">
      <c r="B5" s="12" t="s">
        <v>11</v>
      </c>
      <c r="C5" s="13"/>
      <c r="D5" s="13"/>
      <c r="E5" s="13"/>
      <c r="F5" s="14"/>
      <c r="G5" s="17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2:26" ht="15">
      <c r="B6" s="12" t="s">
        <v>11</v>
      </c>
      <c r="C6" s="13"/>
      <c r="D6" s="13"/>
      <c r="E6" s="13"/>
      <c r="F6" s="14"/>
      <c r="G6" s="15" t="s">
        <v>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spans="2:26" ht="15">
      <c r="B7" s="12" t="s">
        <v>11</v>
      </c>
      <c r="C7" s="13"/>
      <c r="D7" s="13"/>
      <c r="E7" s="13"/>
      <c r="F7" s="14"/>
      <c r="G7" s="17" t="s">
        <v>12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2:26" ht="15">
      <c r="B8" s="19" t="s">
        <v>11</v>
      </c>
      <c r="C8" s="20"/>
      <c r="D8" s="20"/>
      <c r="E8" s="20"/>
      <c r="F8" s="21"/>
      <c r="G8" s="22" t="s">
        <v>13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2025-05-21T09:30:25Z</dcterms:modified>
</cp:coreProperties>
</file>