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User\Desktop\Equity Research\Models\Health Care\MedTech\"/>
    </mc:Choice>
  </mc:AlternateContent>
  <xr:revisionPtr revIDLastSave="0" documentId="13_ncr:1_{B8A04B3B-FA89-4F13-9A4F-1BF40F32B339}" xr6:coauthVersionLast="47" xr6:coauthVersionMax="47" xr10:uidLastSave="{00000000-0000-0000-0000-000000000000}"/>
  <bookViews>
    <workbookView xWindow="28680" yWindow="-120" windowWidth="29040" windowHeight="15720" activeTab="1" xr2:uid="{00000000-000D-0000-FFFF-FFFF00000000}"/>
  </bookViews>
  <sheets>
    <sheet name="Main" sheetId="1" r:id="rId1"/>
    <sheet name="Model" sheetId="2" r:id="rId2"/>
    <sheet name="Notes | Quant Analysis" sheetId="3" r:id="rId3"/>
    <sheet name="Markets | Product Line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Z75" i="2" l="1"/>
  <c r="CX54" i="2"/>
  <c r="CX55" i="2" s="1"/>
  <c r="CW100" i="2"/>
  <c r="CW99" i="2"/>
  <c r="CW98" i="2"/>
  <c r="CR99" i="2"/>
  <c r="CV99" i="2"/>
  <c r="CU99" i="2"/>
  <c r="CT99" i="2"/>
  <c r="CS99" i="2"/>
  <c r="CW97" i="2"/>
  <c r="CW95" i="2"/>
  <c r="CW67" i="2"/>
  <c r="CV67" i="2"/>
  <c r="CU67" i="2"/>
  <c r="CT67" i="2"/>
  <c r="BP67" i="2"/>
  <c r="BO67" i="2"/>
  <c r="BN67" i="2"/>
  <c r="BM67" i="2"/>
  <c r="BL67" i="2"/>
  <c r="BK67" i="2"/>
  <c r="BJ67" i="2"/>
  <c r="BI67" i="2"/>
  <c r="BH67" i="2"/>
  <c r="BG67" i="2"/>
  <c r="BF67" i="2"/>
  <c r="BE67" i="2"/>
  <c r="BD67" i="2"/>
  <c r="BC67" i="2"/>
  <c r="BB67" i="2"/>
  <c r="BA67" i="2"/>
  <c r="AZ67" i="2"/>
  <c r="AY67" i="2"/>
  <c r="AX67" i="2"/>
  <c r="BQ67" i="2"/>
  <c r="AZ8" i="2"/>
  <c r="AZ7" i="2"/>
  <c r="BL14" i="2"/>
  <c r="BL13" i="2"/>
  <c r="BP14" i="2"/>
  <c r="BP13" i="2"/>
  <c r="CZ77" i="2" l="1"/>
  <c r="CZ80" i="2"/>
  <c r="CX52" i="2"/>
  <c r="CY52" i="2" s="1"/>
  <c r="CZ52" i="2" s="1"/>
  <c r="DA52" i="2" s="1"/>
  <c r="DB52" i="2" s="1"/>
  <c r="DC52" i="2" s="1"/>
  <c r="DD52" i="2" s="1"/>
  <c r="DE52" i="2" s="1"/>
  <c r="DF52" i="2" s="1"/>
  <c r="DG52" i="2" s="1"/>
  <c r="BQ21" i="2"/>
  <c r="CX14" i="2" l="1"/>
  <c r="CY14" i="2" s="1"/>
  <c r="CZ14" i="2" s="1"/>
  <c r="DA14" i="2" s="1"/>
  <c r="DB14" i="2" s="1"/>
  <c r="DC14" i="2" s="1"/>
  <c r="DD14" i="2" s="1"/>
  <c r="DE14" i="2" s="1"/>
  <c r="DF14" i="2" s="1"/>
  <c r="DG14" i="2" s="1"/>
  <c r="CX13" i="2"/>
  <c r="CY13" i="2" s="1"/>
  <c r="CZ13" i="2" s="1"/>
  <c r="DA13" i="2" s="1"/>
  <c r="DB13" i="2" s="1"/>
  <c r="DC13" i="2" s="1"/>
  <c r="DD13" i="2" s="1"/>
  <c r="DE13" i="2" s="1"/>
  <c r="DF13" i="2" s="1"/>
  <c r="DG13" i="2" s="1"/>
  <c r="CX12" i="2"/>
  <c r="CY12" i="2" s="1"/>
  <c r="CZ12" i="2" s="1"/>
  <c r="DA12" i="2" s="1"/>
  <c r="DB12" i="2" s="1"/>
  <c r="DC12" i="2" s="1"/>
  <c r="DD12" i="2" s="1"/>
  <c r="DE12" i="2" s="1"/>
  <c r="DF12" i="2" s="1"/>
  <c r="DG12" i="2" s="1"/>
  <c r="CX11" i="2"/>
  <c r="CY11" i="2" s="1"/>
  <c r="CZ11" i="2" s="1"/>
  <c r="DA11" i="2" s="1"/>
  <c r="DB11" i="2" s="1"/>
  <c r="DC11" i="2" s="1"/>
  <c r="DD11" i="2" s="1"/>
  <c r="DE11" i="2" s="1"/>
  <c r="DF11" i="2" s="1"/>
  <c r="DG11" i="2" s="1"/>
  <c r="CX10" i="2"/>
  <c r="CY10" i="2" s="1"/>
  <c r="CZ10" i="2" s="1"/>
  <c r="DA10" i="2" s="1"/>
  <c r="DB10" i="2" s="1"/>
  <c r="DC10" i="2" s="1"/>
  <c r="DD10" i="2" s="1"/>
  <c r="DE10" i="2" s="1"/>
  <c r="DF10" i="2" s="1"/>
  <c r="DG10" i="2" s="1"/>
  <c r="CZ15" i="2" l="1"/>
  <c r="CY15" i="2"/>
  <c r="CZ32" i="2" l="1"/>
  <c r="DA15" i="2"/>
  <c r="DA32" i="2" s="1"/>
  <c r="DB15" i="2" l="1"/>
  <c r="DB32" i="2" s="1"/>
  <c r="DC15" i="2" l="1"/>
  <c r="DC32" i="2" s="1"/>
  <c r="DD15" i="2" l="1"/>
  <c r="DD32" i="2" s="1"/>
  <c r="DE15" i="2" l="1"/>
  <c r="DE32" i="2" s="1"/>
  <c r="DG15" i="2" l="1"/>
  <c r="DF15" i="2"/>
  <c r="DF32" i="2" s="1"/>
  <c r="DG32" i="2" l="1"/>
  <c r="CR107" i="2" l="1"/>
  <c r="CQ107" i="2"/>
  <c r="CP107" i="2"/>
  <c r="CO107" i="2"/>
  <c r="CN107" i="2"/>
  <c r="CN108" i="2" s="1"/>
  <c r="CR106" i="2"/>
  <c r="CQ106" i="2"/>
  <c r="CP106" i="2"/>
  <c r="CO106" i="2"/>
  <c r="CN106" i="2"/>
  <c r="CR56" i="2"/>
  <c r="CQ56" i="2"/>
  <c r="CP56" i="2"/>
  <c r="CO56" i="2"/>
  <c r="CN56" i="2"/>
  <c r="CM56" i="2"/>
  <c r="CL56" i="2"/>
  <c r="CK56" i="2"/>
  <c r="CJ56" i="2"/>
  <c r="CI56" i="2"/>
  <c r="CH56" i="2"/>
  <c r="CR54" i="2"/>
  <c r="CQ54" i="2"/>
  <c r="CP54" i="2"/>
  <c r="CO54" i="2"/>
  <c r="CN54" i="2"/>
  <c r="CM54" i="2"/>
  <c r="CL54" i="2"/>
  <c r="CK54" i="2"/>
  <c r="CJ54" i="2"/>
  <c r="CI54" i="2"/>
  <c r="CH54" i="2"/>
  <c r="CR52" i="2"/>
  <c r="CQ52" i="2"/>
  <c r="CP52" i="2"/>
  <c r="CO52" i="2"/>
  <c r="CN52" i="2"/>
  <c r="CM52" i="2"/>
  <c r="CL52" i="2"/>
  <c r="CK52" i="2"/>
  <c r="CJ52" i="2"/>
  <c r="CI52" i="2"/>
  <c r="CH52" i="2"/>
  <c r="CR51" i="2"/>
  <c r="CQ51" i="2"/>
  <c r="CP51" i="2"/>
  <c r="CO51" i="2"/>
  <c r="CN51" i="2"/>
  <c r="CM51" i="2"/>
  <c r="CL51" i="2"/>
  <c r="CK51" i="2"/>
  <c r="CJ51" i="2"/>
  <c r="CI51" i="2"/>
  <c r="CH51" i="2"/>
  <c r="CR50" i="2"/>
  <c r="CQ50" i="2"/>
  <c r="CP50" i="2"/>
  <c r="CO50" i="2"/>
  <c r="CN50" i="2"/>
  <c r="CM50" i="2"/>
  <c r="CL50" i="2"/>
  <c r="CK50" i="2"/>
  <c r="CJ50" i="2"/>
  <c r="CI50" i="2"/>
  <c r="CH50" i="2"/>
  <c r="CR49" i="2"/>
  <c r="CQ49" i="2"/>
  <c r="CP49" i="2"/>
  <c r="CO49" i="2"/>
  <c r="CN49" i="2"/>
  <c r="CM49" i="2"/>
  <c r="CL49" i="2"/>
  <c r="CK49" i="2"/>
  <c r="CJ49" i="2"/>
  <c r="CI49" i="2"/>
  <c r="CH49" i="2"/>
  <c r="CR47" i="2"/>
  <c r="CQ47" i="2"/>
  <c r="CP47" i="2"/>
  <c r="CO47" i="2"/>
  <c r="CN47" i="2"/>
  <c r="CM47" i="2"/>
  <c r="CL47" i="2"/>
  <c r="CK47" i="2"/>
  <c r="CJ47" i="2"/>
  <c r="CI47" i="2"/>
  <c r="CH47" i="2"/>
  <c r="CH46" i="2"/>
  <c r="CI46" i="2"/>
  <c r="CI63" i="2" s="1"/>
  <c r="CJ46" i="2"/>
  <c r="CK46" i="2"/>
  <c r="CL46" i="2"/>
  <c r="CM46" i="2"/>
  <c r="CN46" i="2"/>
  <c r="CO46" i="2"/>
  <c r="CP46" i="2"/>
  <c r="CQ46" i="2"/>
  <c r="CQ63" i="2" s="1"/>
  <c r="CR46" i="2"/>
  <c r="CO48" i="2" l="1"/>
  <c r="CO61" i="2" s="1"/>
  <c r="CH62" i="2"/>
  <c r="CP62" i="2"/>
  <c r="CM62" i="2"/>
  <c r="CM63" i="2"/>
  <c r="CO63" i="2"/>
  <c r="CJ63" i="2"/>
  <c r="CP48" i="2"/>
  <c r="CP61" i="2" s="1"/>
  <c r="CH48" i="2"/>
  <c r="CH61" i="2" s="1"/>
  <c r="CH63" i="2"/>
  <c r="CL62" i="2"/>
  <c r="CK48" i="2"/>
  <c r="CK61" i="2" s="1"/>
  <c r="CJ62" i="2"/>
  <c r="CK62" i="2"/>
  <c r="CP63" i="2"/>
  <c r="CR62" i="2"/>
  <c r="CN48" i="2"/>
  <c r="CN61" i="2" s="1"/>
  <c r="CI48" i="2"/>
  <c r="CI61" i="2" s="1"/>
  <c r="CN62" i="2"/>
  <c r="CK63" i="2"/>
  <c r="CO62" i="2"/>
  <c r="CL63" i="2"/>
  <c r="CL48" i="2"/>
  <c r="CL61" i="2" s="1"/>
  <c r="CQ48" i="2"/>
  <c r="CQ61" i="2" s="1"/>
  <c r="CI62" i="2"/>
  <c r="CQ62" i="2"/>
  <c r="CN63" i="2"/>
  <c r="CJ48" i="2"/>
  <c r="CJ61" i="2" s="1"/>
  <c r="CM48" i="2"/>
  <c r="CM61" i="2" s="1"/>
  <c r="CR63" i="2"/>
  <c r="CR48" i="2"/>
  <c r="CR61" i="2" s="1"/>
  <c r="CP108" i="2"/>
  <c r="CQ108" i="2"/>
  <c r="CO108" i="2"/>
  <c r="CR108" i="2"/>
  <c r="CR37" i="2"/>
  <c r="CR15" i="2"/>
  <c r="CR9" i="2"/>
  <c r="CV31" i="2"/>
  <c r="CU31" i="2"/>
  <c r="CV30" i="2"/>
  <c r="CU30" i="2"/>
  <c r="CV29" i="2"/>
  <c r="CU29" i="2"/>
  <c r="CV28" i="2"/>
  <c r="CU28" i="2"/>
  <c r="CV27" i="2"/>
  <c r="CU27" i="2"/>
  <c r="CW31" i="2"/>
  <c r="CW30" i="2"/>
  <c r="CW29" i="2"/>
  <c r="CW28" i="2"/>
  <c r="CW27" i="2"/>
  <c r="CV15" i="2"/>
  <c r="CV32" i="2" s="1"/>
  <c r="CU15" i="2"/>
  <c r="CT15" i="2"/>
  <c r="CW15" i="2"/>
  <c r="CT92" i="2"/>
  <c r="CS92" i="2"/>
  <c r="CR92" i="2"/>
  <c r="CT90" i="2"/>
  <c r="CS90" i="2"/>
  <c r="CR90" i="2"/>
  <c r="CT89" i="2"/>
  <c r="CS89" i="2"/>
  <c r="CR89" i="2"/>
  <c r="CT88" i="2"/>
  <c r="CS88" i="2"/>
  <c r="CR88" i="2"/>
  <c r="CT87" i="2"/>
  <c r="CS87" i="2"/>
  <c r="CR87" i="2"/>
  <c r="CR86" i="2"/>
  <c r="CT85" i="2"/>
  <c r="CS85" i="2"/>
  <c r="CR85" i="2"/>
  <c r="CT84" i="2"/>
  <c r="CS84" i="2"/>
  <c r="CR84" i="2"/>
  <c r="CT83" i="2"/>
  <c r="CS83" i="2"/>
  <c r="CR83" i="2"/>
  <c r="CT82" i="2"/>
  <c r="CS82" i="2"/>
  <c r="CR82" i="2"/>
  <c r="CT79" i="2"/>
  <c r="CS79" i="2"/>
  <c r="CR79" i="2"/>
  <c r="CT78" i="2"/>
  <c r="CS78" i="2"/>
  <c r="CR78" i="2"/>
  <c r="CT77" i="2"/>
  <c r="CS77" i="2"/>
  <c r="CR77" i="2"/>
  <c r="CT76" i="2"/>
  <c r="CS76" i="2"/>
  <c r="CR76" i="2"/>
  <c r="CT75" i="2"/>
  <c r="CS75" i="2"/>
  <c r="CR75" i="2"/>
  <c r="CT74" i="2"/>
  <c r="CS74" i="2"/>
  <c r="CR74" i="2"/>
  <c r="CT73" i="2"/>
  <c r="CS73" i="2"/>
  <c r="CR73" i="2"/>
  <c r="CT72" i="2"/>
  <c r="CS72" i="2"/>
  <c r="CR72" i="2"/>
  <c r="CT71" i="2"/>
  <c r="CS71" i="2"/>
  <c r="CR71" i="2"/>
  <c r="CT70" i="2"/>
  <c r="CS70" i="2"/>
  <c r="CR70" i="2"/>
  <c r="CR69" i="2"/>
  <c r="CS69" i="2"/>
  <c r="CT69" i="2"/>
  <c r="CU92" i="2"/>
  <c r="CU90" i="2"/>
  <c r="CU89" i="2"/>
  <c r="CU88" i="2"/>
  <c r="CU87" i="2"/>
  <c r="CU85" i="2"/>
  <c r="CU84" i="2"/>
  <c r="CU83" i="2"/>
  <c r="CU82" i="2"/>
  <c r="CU79" i="2"/>
  <c r="CU78" i="2"/>
  <c r="CU77" i="2"/>
  <c r="CU76" i="2"/>
  <c r="CU75" i="2"/>
  <c r="CU74" i="2"/>
  <c r="CU73" i="2"/>
  <c r="CU72" i="2"/>
  <c r="CU71" i="2"/>
  <c r="CU70" i="2"/>
  <c r="CU69" i="2"/>
  <c r="CV92" i="2"/>
  <c r="CV90" i="2"/>
  <c r="CV89" i="2"/>
  <c r="CV88" i="2"/>
  <c r="CV87" i="2"/>
  <c r="CV86" i="2"/>
  <c r="CV85" i="2"/>
  <c r="CV84" i="2"/>
  <c r="CV83" i="2"/>
  <c r="CV82" i="2"/>
  <c r="CV79" i="2"/>
  <c r="CV78" i="2"/>
  <c r="CV77" i="2"/>
  <c r="CV76" i="2"/>
  <c r="CV75" i="2"/>
  <c r="CV74" i="2"/>
  <c r="CV73" i="2"/>
  <c r="CV72" i="2"/>
  <c r="CV71" i="2"/>
  <c r="CV70" i="2"/>
  <c r="CV69" i="2"/>
  <c r="CS58" i="2"/>
  <c r="CS107" i="2" s="1"/>
  <c r="CT58" i="2"/>
  <c r="CT107" i="2" s="1"/>
  <c r="CU58" i="2"/>
  <c r="CU107" i="2" s="1"/>
  <c r="CV58" i="2"/>
  <c r="CV107" i="2" s="1"/>
  <c r="CW58" i="2"/>
  <c r="CW107" i="2" s="1"/>
  <c r="CW92" i="2"/>
  <c r="CW90" i="2"/>
  <c r="CW89" i="2"/>
  <c r="CW88" i="2"/>
  <c r="CW87" i="2"/>
  <c r="CW86" i="2"/>
  <c r="CW85" i="2"/>
  <c r="CW84" i="2"/>
  <c r="CW83" i="2"/>
  <c r="CW82" i="2"/>
  <c r="CW79" i="2"/>
  <c r="CW78" i="2"/>
  <c r="CW77" i="2"/>
  <c r="CW76" i="2"/>
  <c r="CW75" i="2"/>
  <c r="CW74" i="2"/>
  <c r="CW73" i="2"/>
  <c r="CW72" i="2"/>
  <c r="CW71" i="2"/>
  <c r="CW70" i="2"/>
  <c r="CW69" i="2"/>
  <c r="BH14" i="2"/>
  <c r="BH13" i="2"/>
  <c r="BH8" i="2"/>
  <c r="BH5" i="2"/>
  <c r="BH4" i="2"/>
  <c r="BH6" i="2"/>
  <c r="CU6" i="2" s="1"/>
  <c r="BH7" i="2"/>
  <c r="CU7" i="2" s="1"/>
  <c r="BH10" i="2"/>
  <c r="BH11" i="2"/>
  <c r="BH12" i="2"/>
  <c r="AX105" i="2"/>
  <c r="AY105" i="2" s="1"/>
  <c r="AZ105" i="2" s="1"/>
  <c r="AX104" i="2"/>
  <c r="BB105" i="2"/>
  <c r="BC105" i="2" s="1"/>
  <c r="BD105" i="2" s="1"/>
  <c r="BB104" i="2"/>
  <c r="BF105" i="2"/>
  <c r="BF104" i="2"/>
  <c r="BG104" i="2" s="1"/>
  <c r="BJ105" i="2"/>
  <c r="BK105" i="2" s="1"/>
  <c r="BJ104" i="2"/>
  <c r="BN105" i="2"/>
  <c r="BN104" i="2"/>
  <c r="BP107" i="2"/>
  <c r="BO107" i="2"/>
  <c r="BN107" i="2"/>
  <c r="BM107" i="2"/>
  <c r="BL107" i="2"/>
  <c r="BK107" i="2"/>
  <c r="BJ107" i="2"/>
  <c r="BI107" i="2"/>
  <c r="BH107" i="2"/>
  <c r="BG107" i="2"/>
  <c r="BF107" i="2"/>
  <c r="BE107" i="2"/>
  <c r="BD107" i="2"/>
  <c r="BC107" i="2"/>
  <c r="BB107" i="2"/>
  <c r="BA107" i="2"/>
  <c r="AZ107" i="2"/>
  <c r="AY107" i="2"/>
  <c r="AX107" i="2"/>
  <c r="AW107" i="2"/>
  <c r="BQ107" i="2"/>
  <c r="BM106" i="2"/>
  <c r="BI106" i="2"/>
  <c r="BE106" i="2"/>
  <c r="BA106" i="2"/>
  <c r="AW106" i="2"/>
  <c r="BQ106" i="2"/>
  <c r="AV44" i="2"/>
  <c r="AU44" i="2"/>
  <c r="AT44" i="2"/>
  <c r="AS44" i="2"/>
  <c r="AR44" i="2"/>
  <c r="AQ44" i="2"/>
  <c r="AP44" i="2"/>
  <c r="AO44" i="2"/>
  <c r="AN44" i="2"/>
  <c r="AM44" i="2"/>
  <c r="AL44" i="2"/>
  <c r="AK44" i="2"/>
  <c r="AJ44" i="2"/>
  <c r="AI44" i="2"/>
  <c r="AH44" i="2"/>
  <c r="AG44" i="2"/>
  <c r="AF44" i="2"/>
  <c r="AE44" i="2"/>
  <c r="AD44" i="2"/>
  <c r="AC44" i="2"/>
  <c r="AB44" i="2"/>
  <c r="AA44" i="2"/>
  <c r="Z44" i="2"/>
  <c r="Y44" i="2"/>
  <c r="X44" i="2"/>
  <c r="W44" i="2"/>
  <c r="V44" i="2"/>
  <c r="U44" i="2"/>
  <c r="T44" i="2"/>
  <c r="S44" i="2"/>
  <c r="R44" i="2"/>
  <c r="Q44" i="2"/>
  <c r="P44" i="2"/>
  <c r="O44" i="2"/>
  <c r="N44" i="2"/>
  <c r="M44" i="2"/>
  <c r="L44" i="2"/>
  <c r="K44" i="2"/>
  <c r="J44" i="2"/>
  <c r="I44" i="2"/>
  <c r="H44" i="2"/>
  <c r="G44" i="2"/>
  <c r="AV99" i="2"/>
  <c r="AV97" i="2"/>
  <c r="AV96" i="2"/>
  <c r="AV95" i="2"/>
  <c r="AV91" i="2"/>
  <c r="AV93" i="2" s="1"/>
  <c r="AV80" i="2"/>
  <c r="AV98" i="2" s="1"/>
  <c r="CU32" i="2" l="1"/>
  <c r="CW32" i="2"/>
  <c r="BQ108" i="2"/>
  <c r="BA108" i="2"/>
  <c r="CR16" i="2"/>
  <c r="CR18" i="2" s="1"/>
  <c r="BE108" i="2"/>
  <c r="CW80" i="2"/>
  <c r="AW108" i="2"/>
  <c r="CU9" i="2"/>
  <c r="CS105" i="2"/>
  <c r="CW96" i="2"/>
  <c r="CR96" i="2"/>
  <c r="CR91" i="2"/>
  <c r="CR93" i="2" s="1"/>
  <c r="CV80" i="2"/>
  <c r="CR97" i="2"/>
  <c r="AX106" i="2"/>
  <c r="AX108" i="2" s="1"/>
  <c r="BH9" i="2"/>
  <c r="CS80" i="2"/>
  <c r="CR95" i="2"/>
  <c r="BC104" i="2"/>
  <c r="BD104" i="2" s="1"/>
  <c r="CV95" i="2"/>
  <c r="AY104" i="2"/>
  <c r="AZ104" i="2" s="1"/>
  <c r="CT105" i="2"/>
  <c r="CV96" i="2"/>
  <c r="CV97" i="2"/>
  <c r="BO104" i="2"/>
  <c r="BP104" i="2" s="1"/>
  <c r="BI108" i="2"/>
  <c r="BO105" i="2"/>
  <c r="BP105" i="2" s="1"/>
  <c r="BG105" i="2"/>
  <c r="BH105" i="2" s="1"/>
  <c r="CU80" i="2"/>
  <c r="BM108" i="2"/>
  <c r="CR80" i="2"/>
  <c r="CR98" i="2" s="1"/>
  <c r="CT80" i="2"/>
  <c r="BF106" i="2"/>
  <c r="BF108" i="2" s="1"/>
  <c r="BB106" i="2"/>
  <c r="BB108" i="2" s="1"/>
  <c r="BL105" i="2"/>
  <c r="CV105" i="2" s="1"/>
  <c r="BJ106" i="2"/>
  <c r="BJ108" i="2" s="1"/>
  <c r="BK104" i="2"/>
  <c r="BL104" i="2" s="1"/>
  <c r="BN106" i="2"/>
  <c r="BN108" i="2" s="1"/>
  <c r="BO99" i="2"/>
  <c r="BN99" i="2"/>
  <c r="BM99" i="2"/>
  <c r="BK99" i="2"/>
  <c r="BJ99" i="2"/>
  <c r="BI99" i="2"/>
  <c r="BG99" i="2"/>
  <c r="BF99" i="2"/>
  <c r="BE99" i="2"/>
  <c r="BC99" i="2"/>
  <c r="BB99" i="2"/>
  <c r="BA99" i="2"/>
  <c r="AY99" i="2"/>
  <c r="AX99" i="2"/>
  <c r="AW99" i="2"/>
  <c r="BP97" i="2"/>
  <c r="BO97" i="2"/>
  <c r="BN97" i="2"/>
  <c r="BM97" i="2"/>
  <c r="BL97" i="2"/>
  <c r="AY97" i="2"/>
  <c r="AX97" i="2"/>
  <c r="AW97" i="2"/>
  <c r="BP96" i="2"/>
  <c r="BO96" i="2"/>
  <c r="BN96" i="2"/>
  <c r="BM96" i="2"/>
  <c r="BL96" i="2"/>
  <c r="AY96" i="2"/>
  <c r="AX96" i="2"/>
  <c r="AW96" i="2"/>
  <c r="BP95" i="2"/>
  <c r="BO95" i="2"/>
  <c r="BN95" i="2"/>
  <c r="BM95" i="2"/>
  <c r="BL95" i="2"/>
  <c r="AY95" i="2"/>
  <c r="AX95" i="2"/>
  <c r="AW95" i="2"/>
  <c r="BQ99" i="2"/>
  <c r="BQ97" i="2"/>
  <c r="BQ95" i="2"/>
  <c r="BQ96" i="2"/>
  <c r="BA86" i="2"/>
  <c r="BA96" i="2" s="1"/>
  <c r="BB86" i="2"/>
  <c r="BB96" i="2" s="1"/>
  <c r="AZ86" i="2"/>
  <c r="AZ97" i="2" s="1"/>
  <c r="CU16" i="2" l="1"/>
  <c r="CR19" i="2"/>
  <c r="CU19" i="2"/>
  <c r="BG106" i="2"/>
  <c r="BG108" i="2" s="1"/>
  <c r="BC106" i="2"/>
  <c r="BC108" i="2" s="1"/>
  <c r="AZ95" i="2"/>
  <c r="AY106" i="2"/>
  <c r="AY108" i="2" s="1"/>
  <c r="CT104" i="2"/>
  <c r="CT106" i="2" s="1"/>
  <c r="CT108" i="2" s="1"/>
  <c r="CU18" i="2"/>
  <c r="BO106" i="2"/>
  <c r="BO108" i="2" s="1"/>
  <c r="CS104" i="2"/>
  <c r="CS106" i="2" s="1"/>
  <c r="CS108" i="2" s="1"/>
  <c r="CW104" i="2"/>
  <c r="CW105" i="2"/>
  <c r="CU105" i="2"/>
  <c r="AZ96" i="2"/>
  <c r="CS86" i="2"/>
  <c r="CV104" i="2"/>
  <c r="CV106" i="2" s="1"/>
  <c r="CV108" i="2" s="1"/>
  <c r="BK106" i="2"/>
  <c r="BK108" i="2" s="1"/>
  <c r="BA95" i="2"/>
  <c r="BA97" i="2"/>
  <c r="BB95" i="2"/>
  <c r="BB97" i="2"/>
  <c r="AZ106" i="2"/>
  <c r="AZ108" i="2" s="1"/>
  <c r="BL106" i="2"/>
  <c r="BL108" i="2" s="1"/>
  <c r="BD106" i="2"/>
  <c r="BD108" i="2" s="1"/>
  <c r="BH104" i="2"/>
  <c r="BP106" i="2"/>
  <c r="BP108" i="2" s="1"/>
  <c r="CW106" i="2" l="1"/>
  <c r="CW108" i="2" s="1"/>
  <c r="BH106" i="2"/>
  <c r="BH108" i="2" s="1"/>
  <c r="CU104" i="2"/>
  <c r="CU106" i="2" s="1"/>
  <c r="CU108" i="2" s="1"/>
  <c r="CS97" i="2"/>
  <c r="CS95" i="2"/>
  <c r="CS96" i="2"/>
  <c r="BC86" i="2" l="1"/>
  <c r="BC91" i="2" s="1"/>
  <c r="BC93" i="2" s="1"/>
  <c r="BE86" i="2"/>
  <c r="BF86" i="2"/>
  <c r="BG86" i="2"/>
  <c r="BD86" i="2"/>
  <c r="CT86" i="2" s="1"/>
  <c r="BI86" i="2"/>
  <c r="BJ86" i="2"/>
  <c r="BK86" i="2"/>
  <c r="BK91" i="2" s="1"/>
  <c r="BK93" i="2" s="1"/>
  <c r="BH86" i="2"/>
  <c r="CU86" i="2" s="1"/>
  <c r="BP91" i="2"/>
  <c r="BO91" i="2"/>
  <c r="BO93" i="2" s="1"/>
  <c r="BN91" i="2"/>
  <c r="BN93" i="2" s="1"/>
  <c r="BM91" i="2"/>
  <c r="BM93" i="2" s="1"/>
  <c r="BL91" i="2"/>
  <c r="BB91" i="2"/>
  <c r="BB93" i="2" s="1"/>
  <c r="BA91" i="2"/>
  <c r="BA93" i="2" s="1"/>
  <c r="AZ91" i="2"/>
  <c r="AY91" i="2"/>
  <c r="AY93" i="2" s="1"/>
  <c r="AX91" i="2"/>
  <c r="AX93" i="2" s="1"/>
  <c r="AW91" i="2"/>
  <c r="AW93" i="2" s="1"/>
  <c r="BQ91" i="2"/>
  <c r="BQ93" i="2" s="1"/>
  <c r="BL80" i="2"/>
  <c r="BP80" i="2"/>
  <c r="BO80" i="2"/>
  <c r="BN80" i="2"/>
  <c r="BM80" i="2"/>
  <c r="BK80" i="2"/>
  <c r="BJ80" i="2"/>
  <c r="BI80" i="2"/>
  <c r="BH80" i="2"/>
  <c r="BG80" i="2"/>
  <c r="BF80" i="2"/>
  <c r="BE80" i="2"/>
  <c r="BD80" i="2"/>
  <c r="BC80" i="2"/>
  <c r="BB80" i="2"/>
  <c r="BA80" i="2"/>
  <c r="AZ80" i="2"/>
  <c r="AY80" i="2"/>
  <c r="AX80" i="2"/>
  <c r="AW80" i="2"/>
  <c r="BQ80" i="2"/>
  <c r="AZ14" i="2"/>
  <c r="CS14" i="2" s="1"/>
  <c r="CS31" i="2" l="1"/>
  <c r="CT31" i="2"/>
  <c r="CT97" i="2"/>
  <c r="CT95" i="2"/>
  <c r="CT96" i="2"/>
  <c r="AZ93" i="2"/>
  <c r="CS91" i="2"/>
  <c r="CS93" i="2" s="1"/>
  <c r="BP93" i="2"/>
  <c r="CW91" i="2"/>
  <c r="CW93" i="2" s="1"/>
  <c r="CU97" i="2"/>
  <c r="CU96" i="2"/>
  <c r="CU95" i="2"/>
  <c r="BL93" i="2"/>
  <c r="CV91" i="2"/>
  <c r="CV93" i="2" s="1"/>
  <c r="BJ91" i="2"/>
  <c r="BJ93" i="2" s="1"/>
  <c r="BJ96" i="2"/>
  <c r="BJ97" i="2"/>
  <c r="BJ95" i="2"/>
  <c r="BD97" i="2"/>
  <c r="BD95" i="2"/>
  <c r="BD96" i="2"/>
  <c r="BG97" i="2"/>
  <c r="BG95" i="2"/>
  <c r="BG96" i="2"/>
  <c r="BF97" i="2"/>
  <c r="BF95" i="2"/>
  <c r="BF96" i="2"/>
  <c r="BD91" i="2"/>
  <c r="BE91" i="2"/>
  <c r="BE93" i="2" s="1"/>
  <c r="BE97" i="2"/>
  <c r="BE95" i="2"/>
  <c r="BE96" i="2"/>
  <c r="BF91" i="2"/>
  <c r="BF93" i="2" s="1"/>
  <c r="BH91" i="2"/>
  <c r="BH97" i="2"/>
  <c r="BH96" i="2"/>
  <c r="BH95" i="2"/>
  <c r="BC96" i="2"/>
  <c r="BC97" i="2"/>
  <c r="BC95" i="2"/>
  <c r="BI91" i="2"/>
  <c r="BI93" i="2" s="1"/>
  <c r="BI96" i="2"/>
  <c r="BI97" i="2"/>
  <c r="BI95" i="2"/>
  <c r="BG91" i="2"/>
  <c r="BG93" i="2" s="1"/>
  <c r="BK96" i="2"/>
  <c r="BK97" i="2"/>
  <c r="BK95" i="2"/>
  <c r="BH93" i="2" l="1"/>
  <c r="CU91" i="2"/>
  <c r="CU93" i="2" s="1"/>
  <c r="BD93" i="2"/>
  <c r="CT91" i="2"/>
  <c r="CT93" i="2" s="1"/>
  <c r="AZ56" i="2" l="1"/>
  <c r="CS56" i="2" s="1"/>
  <c r="AZ54" i="2"/>
  <c r="CS54" i="2" s="1"/>
  <c r="AZ52" i="2"/>
  <c r="CS52" i="2" s="1"/>
  <c r="AZ51" i="2"/>
  <c r="CS51" i="2" s="1"/>
  <c r="AZ50" i="2"/>
  <c r="CS50" i="2" s="1"/>
  <c r="AZ49" i="2"/>
  <c r="CS49" i="2" s="1"/>
  <c r="AZ47" i="2"/>
  <c r="BD56" i="2"/>
  <c r="CT56" i="2" s="1"/>
  <c r="BD54" i="2"/>
  <c r="CT54" i="2" s="1"/>
  <c r="BD52" i="2"/>
  <c r="CT52" i="2" s="1"/>
  <c r="BD51" i="2"/>
  <c r="CT51" i="2" s="1"/>
  <c r="BD50" i="2"/>
  <c r="CT50" i="2" s="1"/>
  <c r="BD49" i="2"/>
  <c r="CT49" i="2" s="1"/>
  <c r="BD47" i="2"/>
  <c r="BH56" i="2"/>
  <c r="CU56" i="2" s="1"/>
  <c r="BH54" i="2"/>
  <c r="CU54" i="2" s="1"/>
  <c r="BH52" i="2"/>
  <c r="CU52" i="2" s="1"/>
  <c r="BH51" i="2"/>
  <c r="CU51" i="2" s="1"/>
  <c r="BH50" i="2"/>
  <c r="CU50" i="2" s="1"/>
  <c r="BH49" i="2"/>
  <c r="CU49" i="2" s="1"/>
  <c r="BH47" i="2"/>
  <c r="BL56" i="2"/>
  <c r="CV56" i="2" s="1"/>
  <c r="BL54" i="2"/>
  <c r="CV54" i="2" s="1"/>
  <c r="BL52" i="2"/>
  <c r="CV52" i="2" s="1"/>
  <c r="BL51" i="2"/>
  <c r="CV51" i="2" s="1"/>
  <c r="BL50" i="2"/>
  <c r="CV50" i="2" s="1"/>
  <c r="BL49" i="2"/>
  <c r="CV49" i="2" s="1"/>
  <c r="BL47" i="2"/>
  <c r="BP56" i="2"/>
  <c r="CW56" i="2" s="1"/>
  <c r="BP54" i="2"/>
  <c r="CW54" i="2" s="1"/>
  <c r="BP52" i="2"/>
  <c r="CW52" i="2" s="1"/>
  <c r="BP51" i="2"/>
  <c r="CW51" i="2" s="1"/>
  <c r="CX51" i="2" s="1"/>
  <c r="CY51" i="2" s="1"/>
  <c r="CZ51" i="2" s="1"/>
  <c r="DA51" i="2" s="1"/>
  <c r="DB51" i="2" s="1"/>
  <c r="DC51" i="2" s="1"/>
  <c r="DD51" i="2" s="1"/>
  <c r="DE51" i="2" s="1"/>
  <c r="DF51" i="2" s="1"/>
  <c r="DG51" i="2" s="1"/>
  <c r="BP50" i="2"/>
  <c r="CW50" i="2" s="1"/>
  <c r="BP49" i="2"/>
  <c r="CW49" i="2" s="1"/>
  <c r="BP47" i="2"/>
  <c r="AV63" i="2"/>
  <c r="AU63" i="2"/>
  <c r="AT63" i="2"/>
  <c r="AS63" i="2"/>
  <c r="AR63" i="2"/>
  <c r="AQ63" i="2"/>
  <c r="AP63" i="2"/>
  <c r="AO63" i="2"/>
  <c r="AN63" i="2"/>
  <c r="AM63" i="2"/>
  <c r="AL63" i="2"/>
  <c r="AK63" i="2"/>
  <c r="AJ63" i="2"/>
  <c r="AI63" i="2"/>
  <c r="AH63" i="2"/>
  <c r="AG63" i="2"/>
  <c r="AF63" i="2"/>
  <c r="AE63" i="2"/>
  <c r="AD63" i="2"/>
  <c r="AC63" i="2"/>
  <c r="AB63" i="2"/>
  <c r="AA63" i="2"/>
  <c r="Z63" i="2"/>
  <c r="Y63" i="2"/>
  <c r="X63" i="2"/>
  <c r="W63" i="2"/>
  <c r="V63" i="2"/>
  <c r="U63" i="2"/>
  <c r="T63" i="2"/>
  <c r="S63" i="2"/>
  <c r="R63" i="2"/>
  <c r="Q63" i="2"/>
  <c r="P63" i="2"/>
  <c r="O63" i="2"/>
  <c r="N63" i="2"/>
  <c r="M63" i="2"/>
  <c r="L63" i="2"/>
  <c r="K63" i="2"/>
  <c r="J63" i="2"/>
  <c r="I63" i="2"/>
  <c r="H63" i="2"/>
  <c r="G63" i="2"/>
  <c r="F63" i="2"/>
  <c r="E63" i="2"/>
  <c r="D63" i="2"/>
  <c r="C63" i="2"/>
  <c r="AV62" i="2"/>
  <c r="AU62" i="2"/>
  <c r="AT62" i="2"/>
  <c r="AS62" i="2"/>
  <c r="AR62" i="2"/>
  <c r="AQ62" i="2"/>
  <c r="AP62" i="2"/>
  <c r="AO62" i="2"/>
  <c r="AN62" i="2"/>
  <c r="AM62" i="2"/>
  <c r="AL62" i="2"/>
  <c r="AK62" i="2"/>
  <c r="AJ62" i="2"/>
  <c r="AI62" i="2"/>
  <c r="AH62" i="2"/>
  <c r="AG62" i="2"/>
  <c r="AF62" i="2"/>
  <c r="AE62" i="2"/>
  <c r="AD62" i="2"/>
  <c r="AC62" i="2"/>
  <c r="AB62" i="2"/>
  <c r="AA62" i="2"/>
  <c r="Z62" i="2"/>
  <c r="Y62" i="2"/>
  <c r="X62" i="2"/>
  <c r="W62" i="2"/>
  <c r="V62" i="2"/>
  <c r="U62" i="2"/>
  <c r="T62" i="2"/>
  <c r="S62" i="2"/>
  <c r="R62" i="2"/>
  <c r="Q62" i="2"/>
  <c r="P62" i="2"/>
  <c r="O62" i="2"/>
  <c r="N62" i="2"/>
  <c r="M62" i="2"/>
  <c r="L62" i="2"/>
  <c r="K62" i="2"/>
  <c r="J62" i="2"/>
  <c r="I62" i="2"/>
  <c r="H62" i="2"/>
  <c r="G62" i="2"/>
  <c r="F62" i="2"/>
  <c r="E62" i="2"/>
  <c r="D62" i="2"/>
  <c r="C62" i="2"/>
  <c r="AV48" i="2"/>
  <c r="AV53" i="2" s="1"/>
  <c r="AU48" i="2"/>
  <c r="AU61" i="2" s="1"/>
  <c r="AT48" i="2"/>
  <c r="AT61" i="2" s="1"/>
  <c r="AS48" i="2"/>
  <c r="AS61" i="2" s="1"/>
  <c r="AR48" i="2"/>
  <c r="AR61" i="2" s="1"/>
  <c r="AQ48" i="2"/>
  <c r="AQ61" i="2" s="1"/>
  <c r="AP48" i="2"/>
  <c r="AP61" i="2" s="1"/>
  <c r="AO48" i="2"/>
  <c r="AO53" i="2" s="1"/>
  <c r="AN48" i="2"/>
  <c r="AN61" i="2" s="1"/>
  <c r="AM48" i="2"/>
  <c r="AM61" i="2" s="1"/>
  <c r="AL48" i="2"/>
  <c r="AL61" i="2" s="1"/>
  <c r="AK48" i="2"/>
  <c r="AK61" i="2" s="1"/>
  <c r="AJ48" i="2"/>
  <c r="AJ53" i="2" s="1"/>
  <c r="AI48" i="2"/>
  <c r="AI53" i="2" s="1"/>
  <c r="AH48" i="2"/>
  <c r="AH53" i="2" s="1"/>
  <c r="AH55" i="2" s="1"/>
  <c r="AG48" i="2"/>
  <c r="AG53" i="2" s="1"/>
  <c r="AF48" i="2"/>
  <c r="AF53" i="2" s="1"/>
  <c r="AE48" i="2"/>
  <c r="AE53" i="2" s="1"/>
  <c r="AD48" i="2"/>
  <c r="AD61" i="2" s="1"/>
  <c r="AC48" i="2"/>
  <c r="AC61" i="2" s="1"/>
  <c r="AB48" i="2"/>
  <c r="AB61" i="2" s="1"/>
  <c r="AA48" i="2"/>
  <c r="AA61" i="2" s="1"/>
  <c r="Z48" i="2"/>
  <c r="Z53" i="2" s="1"/>
  <c r="Z55" i="2" s="1"/>
  <c r="Y48" i="2"/>
  <c r="Y53" i="2" s="1"/>
  <c r="X48" i="2"/>
  <c r="X53" i="2" s="1"/>
  <c r="W48" i="2"/>
  <c r="W61" i="2" s="1"/>
  <c r="V48" i="2"/>
  <c r="V53" i="2" s="1"/>
  <c r="V55" i="2" s="1"/>
  <c r="U48" i="2"/>
  <c r="U61" i="2" s="1"/>
  <c r="T48" i="2"/>
  <c r="T53" i="2" s="1"/>
  <c r="S48" i="2"/>
  <c r="S53" i="2" s="1"/>
  <c r="R48" i="2"/>
  <c r="R53" i="2" s="1"/>
  <c r="R55" i="2" s="1"/>
  <c r="Q48" i="2"/>
  <c r="Q53" i="2" s="1"/>
  <c r="P48" i="2"/>
  <c r="P53" i="2" s="1"/>
  <c r="O48" i="2"/>
  <c r="O61" i="2" s="1"/>
  <c r="N48" i="2"/>
  <c r="N61" i="2" s="1"/>
  <c r="M48" i="2"/>
  <c r="M61" i="2" s="1"/>
  <c r="L48" i="2"/>
  <c r="L61" i="2" s="1"/>
  <c r="K48" i="2"/>
  <c r="K61" i="2" s="1"/>
  <c r="J48" i="2"/>
  <c r="J61" i="2" s="1"/>
  <c r="I48" i="2"/>
  <c r="I53" i="2" s="1"/>
  <c r="H48" i="2"/>
  <c r="H61" i="2" s="1"/>
  <c r="G48" i="2"/>
  <c r="G61" i="2" s="1"/>
  <c r="F48" i="2"/>
  <c r="F53" i="2" s="1"/>
  <c r="F64" i="2" s="1"/>
  <c r="E48" i="2"/>
  <c r="E61" i="2" s="1"/>
  <c r="D48" i="2"/>
  <c r="D61" i="2" s="1"/>
  <c r="C48" i="2"/>
  <c r="C53" i="2" s="1"/>
  <c r="C64" i="2" s="1"/>
  <c r="AZ36" i="2"/>
  <c r="CS36" i="2" s="1"/>
  <c r="AZ35" i="2"/>
  <c r="CS35" i="2" s="1"/>
  <c r="AZ13" i="2"/>
  <c r="CS13" i="2" s="1"/>
  <c r="AZ12" i="2"/>
  <c r="CS12" i="2" s="1"/>
  <c r="AZ11" i="2"/>
  <c r="CS11" i="2" s="1"/>
  <c r="AZ10" i="2"/>
  <c r="CS10" i="2" s="1"/>
  <c r="CS8" i="2"/>
  <c r="CS25" i="2" s="1"/>
  <c r="CS7" i="2"/>
  <c r="CS24" i="2" s="1"/>
  <c r="AZ6" i="2"/>
  <c r="CS6" i="2" s="1"/>
  <c r="CS23" i="2" s="1"/>
  <c r="AZ5" i="2"/>
  <c r="CS5" i="2" s="1"/>
  <c r="CS22" i="2" s="1"/>
  <c r="AZ4" i="2"/>
  <c r="CS4" i="2" s="1"/>
  <c r="BD36" i="2"/>
  <c r="CT36" i="2" s="1"/>
  <c r="BD35" i="2"/>
  <c r="CT35" i="2" s="1"/>
  <c r="BD14" i="2"/>
  <c r="BD13" i="2"/>
  <c r="BD12" i="2"/>
  <c r="BD11" i="2"/>
  <c r="BD10" i="2"/>
  <c r="BD8" i="2"/>
  <c r="CT8" i="2" s="1"/>
  <c r="BD7" i="2"/>
  <c r="CT7" i="2" s="1"/>
  <c r="BD6" i="2"/>
  <c r="CT6" i="2" s="1"/>
  <c r="BD5" i="2"/>
  <c r="CT5" i="2" s="1"/>
  <c r="BD4" i="2"/>
  <c r="CT4" i="2" s="1"/>
  <c r="BA9" i="2"/>
  <c r="BE9" i="2"/>
  <c r="BE26" i="2" s="1"/>
  <c r="BB9" i="2"/>
  <c r="BB26" i="2" s="1"/>
  <c r="BF9" i="2"/>
  <c r="BF26" i="2" s="1"/>
  <c r="BC9" i="2"/>
  <c r="BG9" i="2"/>
  <c r="BG26" i="2" s="1"/>
  <c r="BH36" i="2"/>
  <c r="CU36" i="2" s="1"/>
  <c r="BH35" i="2"/>
  <c r="CU35" i="2" s="1"/>
  <c r="BL36" i="2"/>
  <c r="CV36" i="2" s="1"/>
  <c r="BL35" i="2"/>
  <c r="CV35" i="2" s="1"/>
  <c r="BL12" i="2"/>
  <c r="BL11" i="2"/>
  <c r="BL10" i="2"/>
  <c r="BL8" i="2"/>
  <c r="CV8" i="2" s="1"/>
  <c r="CV25" i="2" s="1"/>
  <c r="BL7" i="2"/>
  <c r="CV7" i="2" s="1"/>
  <c r="CV24" i="2" s="1"/>
  <c r="BL6" i="2"/>
  <c r="CV6" i="2" s="1"/>
  <c r="CV23" i="2" s="1"/>
  <c r="BL5" i="2"/>
  <c r="CV5" i="2" s="1"/>
  <c r="CV22" i="2" s="1"/>
  <c r="BL4" i="2"/>
  <c r="CV4" i="2" s="1"/>
  <c r="BP36" i="2"/>
  <c r="CW36" i="2" s="1"/>
  <c r="BP35" i="2"/>
  <c r="CW35" i="2" s="1"/>
  <c r="BP12" i="2"/>
  <c r="BP11" i="2"/>
  <c r="BP10" i="2"/>
  <c r="BP8" i="2"/>
  <c r="CW8" i="2" s="1"/>
  <c r="BP7" i="2"/>
  <c r="CW7" i="2" s="1"/>
  <c r="BP6" i="2"/>
  <c r="CW6" i="2" s="1"/>
  <c r="CX6" i="2" s="1"/>
  <c r="BP5" i="2"/>
  <c r="CW5" i="2" s="1"/>
  <c r="CX5" i="2" s="1"/>
  <c r="BP4" i="2"/>
  <c r="CW4" i="2" s="1"/>
  <c r="BO43" i="2"/>
  <c r="BN43" i="2"/>
  <c r="BM43" i="2"/>
  <c r="BK43" i="2"/>
  <c r="BJ43" i="2"/>
  <c r="BI43" i="2"/>
  <c r="BG43" i="2"/>
  <c r="BF43" i="2"/>
  <c r="BE43" i="2"/>
  <c r="BC43" i="2"/>
  <c r="BB43" i="2"/>
  <c r="BA43" i="2"/>
  <c r="BO42" i="2"/>
  <c r="BN42" i="2"/>
  <c r="BM42" i="2"/>
  <c r="BK42" i="2"/>
  <c r="BJ42" i="2"/>
  <c r="BI42" i="2"/>
  <c r="BG42" i="2"/>
  <c r="BF42" i="2"/>
  <c r="BE42" i="2"/>
  <c r="BC42" i="2"/>
  <c r="BB42" i="2"/>
  <c r="BA42" i="2"/>
  <c r="BQ43" i="2"/>
  <c r="BQ42" i="2"/>
  <c r="BO37" i="2"/>
  <c r="BO39" i="2" s="1"/>
  <c r="BN37" i="2"/>
  <c r="BN39" i="2" s="1"/>
  <c r="BM37" i="2"/>
  <c r="BK37" i="2"/>
  <c r="BK40" i="2" s="1"/>
  <c r="BJ37" i="2"/>
  <c r="BI37" i="2"/>
  <c r="BG37" i="2"/>
  <c r="BG39" i="2" s="1"/>
  <c r="BF37" i="2"/>
  <c r="BF39" i="2" s="1"/>
  <c r="BE37" i="2"/>
  <c r="BE40" i="2" s="1"/>
  <c r="BC37" i="2"/>
  <c r="BC39" i="2" s="1"/>
  <c r="BB37" i="2"/>
  <c r="BA37" i="2"/>
  <c r="AY37" i="2"/>
  <c r="AY40" i="2" s="1"/>
  <c r="AX37" i="2"/>
  <c r="AX40" i="2" s="1"/>
  <c r="AW37" i="2"/>
  <c r="BQ37" i="2"/>
  <c r="BQ40" i="2" s="1"/>
  <c r="BO31" i="2"/>
  <c r="BN31" i="2"/>
  <c r="BM31" i="2"/>
  <c r="BK31" i="2"/>
  <c r="BJ31" i="2"/>
  <c r="BI31" i="2"/>
  <c r="BG31" i="2"/>
  <c r="BF31" i="2"/>
  <c r="BE31" i="2"/>
  <c r="BC31" i="2"/>
  <c r="BB31" i="2"/>
  <c r="BA31" i="2"/>
  <c r="BO30" i="2"/>
  <c r="BN30" i="2"/>
  <c r="BM30" i="2"/>
  <c r="BK30" i="2"/>
  <c r="BJ30" i="2"/>
  <c r="BI30" i="2"/>
  <c r="BG30" i="2"/>
  <c r="BF30" i="2"/>
  <c r="BE30" i="2"/>
  <c r="BC30" i="2"/>
  <c r="BB30" i="2"/>
  <c r="BA30" i="2"/>
  <c r="BO29" i="2"/>
  <c r="BN29" i="2"/>
  <c r="BM29" i="2"/>
  <c r="BK29" i="2"/>
  <c r="BJ29" i="2"/>
  <c r="BI29" i="2"/>
  <c r="BG29" i="2"/>
  <c r="BF29" i="2"/>
  <c r="BE29" i="2"/>
  <c r="BC29" i="2"/>
  <c r="BB29" i="2"/>
  <c r="BA29" i="2"/>
  <c r="BO28" i="2"/>
  <c r="BN28" i="2"/>
  <c r="BM28" i="2"/>
  <c r="BK28" i="2"/>
  <c r="BJ28" i="2"/>
  <c r="BI28" i="2"/>
  <c r="BG28" i="2"/>
  <c r="BF28" i="2"/>
  <c r="BE28" i="2"/>
  <c r="BC28" i="2"/>
  <c r="BB28" i="2"/>
  <c r="BA28" i="2"/>
  <c r="BO27" i="2"/>
  <c r="BN27" i="2"/>
  <c r="BM27" i="2"/>
  <c r="BK27" i="2"/>
  <c r="BJ27" i="2"/>
  <c r="BI27" i="2"/>
  <c r="BG27" i="2"/>
  <c r="BF27" i="2"/>
  <c r="BE27" i="2"/>
  <c r="BC27" i="2"/>
  <c r="BB27" i="2"/>
  <c r="BA27" i="2"/>
  <c r="BO25" i="2"/>
  <c r="BN25" i="2"/>
  <c r="BM25" i="2"/>
  <c r="BK25" i="2"/>
  <c r="BJ25" i="2"/>
  <c r="BI25" i="2"/>
  <c r="BG25" i="2"/>
  <c r="BF25" i="2"/>
  <c r="BE25" i="2"/>
  <c r="BC25" i="2"/>
  <c r="BB25" i="2"/>
  <c r="BA25" i="2"/>
  <c r="BO24" i="2"/>
  <c r="BN24" i="2"/>
  <c r="BM24" i="2"/>
  <c r="BK24" i="2"/>
  <c r="BJ24" i="2"/>
  <c r="BI24" i="2"/>
  <c r="BG24" i="2"/>
  <c r="BF24" i="2"/>
  <c r="BE24" i="2"/>
  <c r="BC24" i="2"/>
  <c r="BB24" i="2"/>
  <c r="BA24" i="2"/>
  <c r="BO23" i="2"/>
  <c r="BN23" i="2"/>
  <c r="BM23" i="2"/>
  <c r="BK23" i="2"/>
  <c r="BJ23" i="2"/>
  <c r="BI23" i="2"/>
  <c r="BG23" i="2"/>
  <c r="BF23" i="2"/>
  <c r="BE23" i="2"/>
  <c r="BC23" i="2"/>
  <c r="BB23" i="2"/>
  <c r="BA23" i="2"/>
  <c r="BO22" i="2"/>
  <c r="BN22" i="2"/>
  <c r="BM22" i="2"/>
  <c r="BK22" i="2"/>
  <c r="BJ22" i="2"/>
  <c r="BI22" i="2"/>
  <c r="BG22" i="2"/>
  <c r="BF22" i="2"/>
  <c r="BE22" i="2"/>
  <c r="BC22" i="2"/>
  <c r="BB22" i="2"/>
  <c r="BA22" i="2"/>
  <c r="BO21" i="2"/>
  <c r="BN21" i="2"/>
  <c r="BM21" i="2"/>
  <c r="BK21" i="2"/>
  <c r="BJ21" i="2"/>
  <c r="BI21" i="2"/>
  <c r="BG21" i="2"/>
  <c r="BF21" i="2"/>
  <c r="BE21" i="2"/>
  <c r="BC21" i="2"/>
  <c r="BB21" i="2"/>
  <c r="BA21" i="2"/>
  <c r="BQ31" i="2"/>
  <c r="BQ30" i="2"/>
  <c r="BQ29" i="2"/>
  <c r="BQ28" i="2"/>
  <c r="BQ27" i="2"/>
  <c r="BQ25" i="2"/>
  <c r="BQ24" i="2"/>
  <c r="BQ23" i="2"/>
  <c r="BQ22" i="2"/>
  <c r="BO9" i="2"/>
  <c r="BN9" i="2"/>
  <c r="BM9" i="2"/>
  <c r="BM26" i="2" s="1"/>
  <c r="BK9" i="2"/>
  <c r="BK26" i="2" s="1"/>
  <c r="BJ9" i="2"/>
  <c r="BJ26" i="2" s="1"/>
  <c r="BI9" i="2"/>
  <c r="AY9" i="2"/>
  <c r="AX9" i="2"/>
  <c r="AW9" i="2"/>
  <c r="BO15" i="2"/>
  <c r="BN15" i="2"/>
  <c r="BN32" i="2" s="1"/>
  <c r="BM15" i="2"/>
  <c r="BM32" i="2" s="1"/>
  <c r="BK15" i="2"/>
  <c r="BK32" i="2" s="1"/>
  <c r="BJ15" i="2"/>
  <c r="BI15" i="2"/>
  <c r="BG15" i="2"/>
  <c r="BF15" i="2"/>
  <c r="BE15" i="2"/>
  <c r="BC15" i="2"/>
  <c r="BC32" i="2" s="1"/>
  <c r="BB15" i="2"/>
  <c r="BB32" i="2" s="1"/>
  <c r="BA15" i="2"/>
  <c r="BA32" i="2" s="1"/>
  <c r="AY15" i="2"/>
  <c r="AX15" i="2"/>
  <c r="AW15" i="2"/>
  <c r="BQ15" i="2"/>
  <c r="BQ9" i="2"/>
  <c r="BA26" i="2" l="1"/>
  <c r="BO32" i="2"/>
  <c r="BQ32" i="2"/>
  <c r="BG32" i="2"/>
  <c r="BE32" i="2"/>
  <c r="BF32" i="2"/>
  <c r="BI32" i="2"/>
  <c r="BQ26" i="2"/>
  <c r="BN26" i="2"/>
  <c r="BO26" i="2"/>
  <c r="BJ32" i="2"/>
  <c r="BI26" i="2"/>
  <c r="BC26" i="2"/>
  <c r="G53" i="2"/>
  <c r="G64" i="2" s="1"/>
  <c r="O53" i="2"/>
  <c r="O64" i="2" s="1"/>
  <c r="W53" i="2"/>
  <c r="W64" i="2" s="1"/>
  <c r="CX4" i="2"/>
  <c r="CX7" i="2"/>
  <c r="CY7" i="2" s="1"/>
  <c r="CZ7" i="2" s="1"/>
  <c r="DA7" i="2" s="1"/>
  <c r="DB7" i="2" s="1"/>
  <c r="DC7" i="2" s="1"/>
  <c r="DD7" i="2" s="1"/>
  <c r="DE7" i="2" s="1"/>
  <c r="DF7" i="2" s="1"/>
  <c r="DG7" i="2" s="1"/>
  <c r="CX8" i="2"/>
  <c r="CY8" i="2" s="1"/>
  <c r="CZ8" i="2" s="1"/>
  <c r="DA8" i="2" s="1"/>
  <c r="DB8" i="2" s="1"/>
  <c r="DC8" i="2" s="1"/>
  <c r="DD8" i="2" s="1"/>
  <c r="DE8" i="2" s="1"/>
  <c r="DF8" i="2" s="1"/>
  <c r="DG8" i="2" s="1"/>
  <c r="CW22" i="2"/>
  <c r="CY5" i="2"/>
  <c r="CZ5" i="2" s="1"/>
  <c r="DA5" i="2" s="1"/>
  <c r="DB5" i="2" s="1"/>
  <c r="DC5" i="2" s="1"/>
  <c r="DD5" i="2" s="1"/>
  <c r="DE5" i="2" s="1"/>
  <c r="DF5" i="2" s="1"/>
  <c r="DG5" i="2" s="1"/>
  <c r="CW23" i="2"/>
  <c r="I55" i="2"/>
  <c r="I57" i="2" s="1"/>
  <c r="Q55" i="2"/>
  <c r="Q57" i="2" s="1"/>
  <c r="CK53" i="2"/>
  <c r="CK64" i="2" s="1"/>
  <c r="Y55" i="2"/>
  <c r="AG55" i="2"/>
  <c r="CO53" i="2"/>
  <c r="CO64" i="2" s="1"/>
  <c r="CW24" i="2"/>
  <c r="CU43" i="2"/>
  <c r="CU22" i="2"/>
  <c r="CT22" i="2"/>
  <c r="CS27" i="2"/>
  <c r="CT27" i="2"/>
  <c r="CS15" i="2"/>
  <c r="CW37" i="2"/>
  <c r="CW40" i="2" s="1"/>
  <c r="CW42" i="2"/>
  <c r="CT23" i="2"/>
  <c r="CU23" i="2"/>
  <c r="CT42" i="2"/>
  <c r="CT37" i="2"/>
  <c r="CS28" i="2"/>
  <c r="CT28" i="2"/>
  <c r="BB44" i="2"/>
  <c r="CW43" i="2"/>
  <c r="CT24" i="2"/>
  <c r="CU24" i="2"/>
  <c r="CT43" i="2"/>
  <c r="CT29" i="2"/>
  <c r="CS29" i="2"/>
  <c r="CU42" i="2"/>
  <c r="CU37" i="2"/>
  <c r="CU39" i="2" s="1"/>
  <c r="CW25" i="2"/>
  <c r="CV9" i="2"/>
  <c r="CV26" i="2" s="1"/>
  <c r="CV21" i="2"/>
  <c r="CU25" i="2"/>
  <c r="CT25" i="2"/>
  <c r="CS21" i="2"/>
  <c r="CS9" i="2"/>
  <c r="CT30" i="2"/>
  <c r="CS30" i="2"/>
  <c r="CW21" i="2"/>
  <c r="CW9" i="2"/>
  <c r="CW26" i="2" s="1"/>
  <c r="CS42" i="2"/>
  <c r="CS37" i="2"/>
  <c r="CS44" i="2" s="1"/>
  <c r="CV42" i="2"/>
  <c r="CV37" i="2"/>
  <c r="CS43" i="2"/>
  <c r="CT21" i="2"/>
  <c r="CT9" i="2"/>
  <c r="CU26" i="2" s="1"/>
  <c r="CU21" i="2"/>
  <c r="CV43" i="2"/>
  <c r="BD99" i="2"/>
  <c r="CT47" i="2"/>
  <c r="BH99" i="2"/>
  <c r="CU47" i="2"/>
  <c r="BL99" i="2"/>
  <c r="CV47" i="2"/>
  <c r="AZ99" i="2"/>
  <c r="CS47" i="2"/>
  <c r="L53" i="2"/>
  <c r="L64" i="2" s="1"/>
  <c r="BP99" i="2"/>
  <c r="CW47" i="2"/>
  <c r="U53" i="2"/>
  <c r="F61" i="2"/>
  <c r="BF44" i="2"/>
  <c r="AB53" i="2"/>
  <c r="AB64" i="2" s="1"/>
  <c r="AM53" i="2"/>
  <c r="AM64" i="2" s="1"/>
  <c r="AE61" i="2"/>
  <c r="AD53" i="2"/>
  <c r="AD64" i="2" s="1"/>
  <c r="AU53" i="2"/>
  <c r="AU64" i="2" s="1"/>
  <c r="AL53" i="2"/>
  <c r="AL64" i="2" s="1"/>
  <c r="AR53" i="2"/>
  <c r="AR55" i="2" s="1"/>
  <c r="AR65" i="2" s="1"/>
  <c r="AP53" i="2"/>
  <c r="AP55" i="2" s="1"/>
  <c r="AP65" i="2" s="1"/>
  <c r="V61" i="2"/>
  <c r="N53" i="2"/>
  <c r="N64" i="2" s="1"/>
  <c r="AT53" i="2"/>
  <c r="AT64" i="2" s="1"/>
  <c r="AO55" i="2"/>
  <c r="AO64" i="2"/>
  <c r="AQ53" i="2"/>
  <c r="C55" i="2"/>
  <c r="C65" i="2" s="1"/>
  <c r="AG64" i="2"/>
  <c r="Y61" i="2"/>
  <c r="E53" i="2"/>
  <c r="AC53" i="2"/>
  <c r="AS53" i="2"/>
  <c r="F55" i="2"/>
  <c r="F65" i="2" s="1"/>
  <c r="I61" i="2"/>
  <c r="AK53" i="2"/>
  <c r="AG61" i="2"/>
  <c r="AO61" i="2"/>
  <c r="Y64" i="2"/>
  <c r="BD24" i="2"/>
  <c r="M53" i="2"/>
  <c r="I64" i="2"/>
  <c r="Q61" i="2"/>
  <c r="Q64" i="2"/>
  <c r="R57" i="2"/>
  <c r="R65" i="2"/>
  <c r="AI64" i="2"/>
  <c r="AI55" i="2"/>
  <c r="V65" i="2"/>
  <c r="V57" i="2"/>
  <c r="Z57" i="2"/>
  <c r="Z65" i="2"/>
  <c r="T64" i="2"/>
  <c r="T55" i="2"/>
  <c r="X64" i="2"/>
  <c r="X55" i="2"/>
  <c r="AH57" i="2"/>
  <c r="AH65" i="2"/>
  <c r="AR57" i="2"/>
  <c r="S64" i="2"/>
  <c r="S55" i="2"/>
  <c r="AJ64" i="2"/>
  <c r="AJ55" i="2"/>
  <c r="AE64" i="2"/>
  <c r="AE55" i="2"/>
  <c r="P64" i="2"/>
  <c r="P55" i="2"/>
  <c r="AF64" i="2"/>
  <c r="AF55" i="2"/>
  <c r="AV64" i="2"/>
  <c r="AV55" i="2"/>
  <c r="Y57" i="2"/>
  <c r="J53" i="2"/>
  <c r="K53" i="2"/>
  <c r="AA53" i="2"/>
  <c r="H53" i="2"/>
  <c r="AN53" i="2"/>
  <c r="AB55" i="2"/>
  <c r="P61" i="2"/>
  <c r="X61" i="2"/>
  <c r="AF61" i="2"/>
  <c r="AV61" i="2"/>
  <c r="R64" i="2"/>
  <c r="Z64" i="2"/>
  <c r="AH64" i="2"/>
  <c r="Z61" i="2"/>
  <c r="C61" i="2"/>
  <c r="S61" i="2"/>
  <c r="AI61" i="2"/>
  <c r="R61" i="2"/>
  <c r="AH61" i="2"/>
  <c r="BH23" i="2"/>
  <c r="BD9" i="2"/>
  <c r="BH26" i="2" s="1"/>
  <c r="D53" i="2"/>
  <c r="T61" i="2"/>
  <c r="AJ61" i="2"/>
  <c r="V64" i="2"/>
  <c r="BK44" i="2"/>
  <c r="BD21" i="2"/>
  <c r="BD31" i="2"/>
  <c r="BL30" i="2"/>
  <c r="BP22" i="2"/>
  <c r="BH31" i="2"/>
  <c r="BF40" i="2"/>
  <c r="BH28" i="2"/>
  <c r="BQ39" i="2"/>
  <c r="AY39" i="2"/>
  <c r="BQ44" i="2"/>
  <c r="BD30" i="2"/>
  <c r="BK39" i="2"/>
  <c r="BP15" i="2"/>
  <c r="BP27" i="2"/>
  <c r="BL22" i="2"/>
  <c r="BJ44" i="2"/>
  <c r="BL42" i="2"/>
  <c r="AW40" i="2"/>
  <c r="AW39" i="2"/>
  <c r="BA44" i="2"/>
  <c r="AX39" i="2"/>
  <c r="BD28" i="2"/>
  <c r="BD23" i="2"/>
  <c r="AZ9" i="2"/>
  <c r="AZ15" i="2"/>
  <c r="BD25" i="2"/>
  <c r="BD22" i="2"/>
  <c r="BD37" i="2"/>
  <c r="BD40" i="2" s="1"/>
  <c r="BD15" i="2"/>
  <c r="BD29" i="2"/>
  <c r="BD42" i="2"/>
  <c r="BD43" i="2"/>
  <c r="AZ37" i="2"/>
  <c r="BD27" i="2"/>
  <c r="BH43" i="2"/>
  <c r="BH27" i="2"/>
  <c r="BH29" i="2"/>
  <c r="BH21" i="2"/>
  <c r="BH24" i="2"/>
  <c r="BA39" i="2"/>
  <c r="BA40" i="2"/>
  <c r="BE44" i="2"/>
  <c r="BE39" i="2"/>
  <c r="BI44" i="2"/>
  <c r="BH22" i="2"/>
  <c r="BB40" i="2"/>
  <c r="BB39" i="2"/>
  <c r="BC44" i="2"/>
  <c r="BC40" i="2"/>
  <c r="BG40" i="2"/>
  <c r="BG44" i="2"/>
  <c r="BL24" i="2"/>
  <c r="BH37" i="2"/>
  <c r="BL29" i="2"/>
  <c r="BL27" i="2"/>
  <c r="BL21" i="2"/>
  <c r="BP37" i="2"/>
  <c r="BP40" i="2" s="1"/>
  <c r="BP9" i="2"/>
  <c r="BP26" i="2" s="1"/>
  <c r="BH42" i="2"/>
  <c r="BH15" i="2"/>
  <c r="BL28" i="2"/>
  <c r="BL31" i="2"/>
  <c r="BP31" i="2"/>
  <c r="BP28" i="2"/>
  <c r="BP24" i="2"/>
  <c r="BP25" i="2"/>
  <c r="BL25" i="2"/>
  <c r="BP43" i="2"/>
  <c r="BH30" i="2"/>
  <c r="BH25" i="2"/>
  <c r="BP23" i="2"/>
  <c r="BP42" i="2"/>
  <c r="BL43" i="2"/>
  <c r="BL37" i="2"/>
  <c r="BL39" i="2" s="1"/>
  <c r="BL15" i="2"/>
  <c r="BL32" i="2" s="1"/>
  <c r="BP29" i="2"/>
  <c r="BP30" i="2"/>
  <c r="BL23" i="2"/>
  <c r="BP21" i="2"/>
  <c r="BL9" i="2"/>
  <c r="BL26" i="2" s="1"/>
  <c r="BM44" i="2"/>
  <c r="BI39" i="2"/>
  <c r="BI40" i="2"/>
  <c r="BJ39" i="2"/>
  <c r="BJ40" i="2"/>
  <c r="BN40" i="2"/>
  <c r="BN44" i="2"/>
  <c r="BM40" i="2"/>
  <c r="BM39" i="2"/>
  <c r="BO40" i="2"/>
  <c r="BO44" i="2"/>
  <c r="BJ16" i="2"/>
  <c r="BB16" i="2"/>
  <c r="AX16" i="2"/>
  <c r="AX46" i="2" s="1"/>
  <c r="AW16" i="2"/>
  <c r="BE16" i="2"/>
  <c r="BQ16" i="2"/>
  <c r="BN16" i="2"/>
  <c r="AY16" i="2"/>
  <c r="BG16" i="2"/>
  <c r="BO16" i="2"/>
  <c r="BF16" i="2"/>
  <c r="BF33" i="2" s="1"/>
  <c r="BM16" i="2"/>
  <c r="BI16" i="2"/>
  <c r="BA16" i="2"/>
  <c r="BC16" i="2"/>
  <c r="BK16" i="2"/>
  <c r="BD26" i="2" l="1"/>
  <c r="CS32" i="2"/>
  <c r="CT32" i="2"/>
  <c r="CM53" i="2"/>
  <c r="CM64" i="2" s="1"/>
  <c r="AR64" i="2"/>
  <c r="BD32" i="2"/>
  <c r="BG33" i="2"/>
  <c r="BH32" i="2"/>
  <c r="O55" i="2"/>
  <c r="CT26" i="2"/>
  <c r="CS26" i="2"/>
  <c r="BP32" i="2"/>
  <c r="CJ53" i="2"/>
  <c r="CJ64" i="2" s="1"/>
  <c r="W55" i="2"/>
  <c r="W57" i="2" s="1"/>
  <c r="G55" i="2"/>
  <c r="BA33" i="2"/>
  <c r="BE33" i="2"/>
  <c r="BC46" i="2"/>
  <c r="BC98" i="2" s="1"/>
  <c r="BC33" i="2"/>
  <c r="BN33" i="2"/>
  <c r="Q65" i="2"/>
  <c r="BQ33" i="2"/>
  <c r="BQ46" i="2"/>
  <c r="BQ98" i="2" s="1"/>
  <c r="BK33" i="2"/>
  <c r="BM33" i="2"/>
  <c r="BJ46" i="2"/>
  <c r="BJ98" i="2" s="1"/>
  <c r="BJ33" i="2"/>
  <c r="CX9" i="2"/>
  <c r="CX26" i="2" s="1"/>
  <c r="BI46" i="2"/>
  <c r="BI63" i="2" s="1"/>
  <c r="BI33" i="2"/>
  <c r="BO33" i="2"/>
  <c r="BB33" i="2"/>
  <c r="CY4" i="2"/>
  <c r="CZ4" i="2" s="1"/>
  <c r="DA4" i="2" s="1"/>
  <c r="I65" i="2"/>
  <c r="CY6" i="2"/>
  <c r="CZ6" i="2" s="1"/>
  <c r="DA6" i="2" s="1"/>
  <c r="DB6" i="2" s="1"/>
  <c r="DC6" i="2" s="1"/>
  <c r="DD6" i="2" s="1"/>
  <c r="DE6" i="2" s="1"/>
  <c r="DF6" i="2" s="1"/>
  <c r="DG6" i="2" s="1"/>
  <c r="CV44" i="2"/>
  <c r="CO55" i="2"/>
  <c r="CO65" i="2" s="1"/>
  <c r="AP57" i="2"/>
  <c r="AP66" i="2" s="1"/>
  <c r="CQ53" i="2"/>
  <c r="CQ64" i="2" s="1"/>
  <c r="CI53" i="2"/>
  <c r="CI64" i="2" s="1"/>
  <c r="CH53" i="2"/>
  <c r="CH64" i="2" s="1"/>
  <c r="CR53" i="2"/>
  <c r="CR64" i="2" s="1"/>
  <c r="CK55" i="2"/>
  <c r="CK65" i="2" s="1"/>
  <c r="AO65" i="2"/>
  <c r="AG65" i="2"/>
  <c r="AG57" i="2"/>
  <c r="AG66" i="2" s="1"/>
  <c r="CN53" i="2"/>
  <c r="CN64" i="2" s="1"/>
  <c r="Y65" i="2"/>
  <c r="CP53" i="2"/>
  <c r="CP64" i="2" s="1"/>
  <c r="U64" i="2"/>
  <c r="CL53" i="2"/>
  <c r="CL64" i="2" s="1"/>
  <c r="CV40" i="2"/>
  <c r="CW39" i="2"/>
  <c r="CT44" i="2"/>
  <c r="CS40" i="2"/>
  <c r="AP64" i="2"/>
  <c r="CV39" i="2"/>
  <c r="CW16" i="2"/>
  <c r="CW18" i="2" s="1"/>
  <c r="CT40" i="2"/>
  <c r="CV16" i="2"/>
  <c r="CT39" i="2"/>
  <c r="CS16" i="2"/>
  <c r="CU44" i="2"/>
  <c r="AU55" i="2"/>
  <c r="AU57" i="2" s="1"/>
  <c r="CT16" i="2"/>
  <c r="CS39" i="2"/>
  <c r="CW44" i="2"/>
  <c r="CU40" i="2"/>
  <c r="Q66" i="2"/>
  <c r="AR66" i="2"/>
  <c r="I66" i="2"/>
  <c r="Z66" i="2"/>
  <c r="V66" i="2"/>
  <c r="L55" i="2"/>
  <c r="L65" i="2" s="1"/>
  <c r="AH66" i="2"/>
  <c r="U55" i="2"/>
  <c r="BI98" i="2"/>
  <c r="C57" i="2"/>
  <c r="Y66" i="2"/>
  <c r="R66" i="2"/>
  <c r="AM55" i="2"/>
  <c r="AM65" i="2" s="1"/>
  <c r="AX44" i="2"/>
  <c r="AX98" i="2"/>
  <c r="AO57" i="2"/>
  <c r="AL55" i="2"/>
  <c r="AL57" i="2" s="1"/>
  <c r="N55" i="2"/>
  <c r="N57" i="2" s="1"/>
  <c r="AD55" i="2"/>
  <c r="F57" i="2"/>
  <c r="AT55" i="2"/>
  <c r="AT65" i="2" s="1"/>
  <c r="BD16" i="2"/>
  <c r="E64" i="2"/>
  <c r="E55" i="2"/>
  <c r="AC64" i="2"/>
  <c r="AC55" i="2"/>
  <c r="AW19" i="2"/>
  <c r="AW46" i="2"/>
  <c r="BB19" i="2"/>
  <c r="BB46" i="2"/>
  <c r="BB98" i="2" s="1"/>
  <c r="BG19" i="2"/>
  <c r="BG46" i="2"/>
  <c r="BG98" i="2" s="1"/>
  <c r="M64" i="2"/>
  <c r="M55" i="2"/>
  <c r="BF19" i="2"/>
  <c r="BF46" i="2"/>
  <c r="BF98" i="2" s="1"/>
  <c r="AK64" i="2"/>
  <c r="AK55" i="2"/>
  <c r="BK19" i="2"/>
  <c r="BK46" i="2"/>
  <c r="BK98" i="2" s="1"/>
  <c r="AY19" i="2"/>
  <c r="AY46" i="2"/>
  <c r="AQ64" i="2"/>
  <c r="AQ55" i="2"/>
  <c r="CQ55" i="2" s="1"/>
  <c r="CQ65" i="2" s="1"/>
  <c r="BM19" i="2"/>
  <c r="BM46" i="2"/>
  <c r="BN19" i="2"/>
  <c r="BN46" i="2"/>
  <c r="BN98" i="2" s="1"/>
  <c r="BE19" i="2"/>
  <c r="BE46" i="2"/>
  <c r="BE98" i="2" s="1"/>
  <c r="AX63" i="2"/>
  <c r="AX48" i="2"/>
  <c r="AX62" i="2"/>
  <c r="BO19" i="2"/>
  <c r="BO46" i="2"/>
  <c r="BO98" i="2" s="1"/>
  <c r="BC48" i="2"/>
  <c r="BA19" i="2"/>
  <c r="BA46" i="2"/>
  <c r="BQ19" i="2"/>
  <c r="AS64" i="2"/>
  <c r="AS55" i="2"/>
  <c r="AB65" i="2"/>
  <c r="AB57" i="2"/>
  <c r="J55" i="2"/>
  <c r="J64" i="2"/>
  <c r="O57" i="2"/>
  <c r="O65" i="2"/>
  <c r="G57" i="2"/>
  <c r="G65" i="2"/>
  <c r="K64" i="2"/>
  <c r="K55" i="2"/>
  <c r="P57" i="2"/>
  <c r="P65" i="2"/>
  <c r="T57" i="2"/>
  <c r="T65" i="2"/>
  <c r="AE65" i="2"/>
  <c r="AE57" i="2"/>
  <c r="D64" i="2"/>
  <c r="D55" i="2"/>
  <c r="H64" i="2"/>
  <c r="H55" i="2"/>
  <c r="AF65" i="2"/>
  <c r="AF57" i="2"/>
  <c r="AJ65" i="2"/>
  <c r="AJ57" i="2"/>
  <c r="X57" i="2"/>
  <c r="X65" i="2"/>
  <c r="AI57" i="2"/>
  <c r="AI65" i="2"/>
  <c r="S57" i="2"/>
  <c r="CK57" i="2" s="1"/>
  <c r="CK66" i="2" s="1"/>
  <c r="S65" i="2"/>
  <c r="AV57" i="2"/>
  <c r="AV65" i="2"/>
  <c r="AN64" i="2"/>
  <c r="AN55" i="2"/>
  <c r="AA64" i="2"/>
  <c r="AA55" i="2"/>
  <c r="CM55" i="2" s="1"/>
  <c r="CM65" i="2" s="1"/>
  <c r="BP16" i="2"/>
  <c r="BP39" i="2"/>
  <c r="BM18" i="2"/>
  <c r="BQ18" i="2"/>
  <c r="AW18" i="2"/>
  <c r="AX19" i="2"/>
  <c r="AX18" i="2"/>
  <c r="AZ40" i="2"/>
  <c r="AZ39" i="2"/>
  <c r="AZ16" i="2"/>
  <c r="AZ46" i="2" s="1"/>
  <c r="AY18" i="2"/>
  <c r="BH44" i="2"/>
  <c r="BD39" i="2"/>
  <c r="BD44" i="2"/>
  <c r="BA18" i="2"/>
  <c r="BE18" i="2"/>
  <c r="BB18" i="2"/>
  <c r="BF18" i="2"/>
  <c r="BC19" i="2"/>
  <c r="BC18" i="2"/>
  <c r="BG18" i="2"/>
  <c r="BH39" i="2"/>
  <c r="BH40" i="2"/>
  <c r="BH16" i="2"/>
  <c r="BL16" i="2"/>
  <c r="BL44" i="2"/>
  <c r="BP44" i="2"/>
  <c r="BL40" i="2"/>
  <c r="BI19" i="2"/>
  <c r="BI18" i="2"/>
  <c r="BJ19" i="2"/>
  <c r="BJ18" i="2"/>
  <c r="BN18" i="2"/>
  <c r="BK18" i="2"/>
  <c r="BO18" i="2"/>
  <c r="W65" i="2" l="1"/>
  <c r="BJ62" i="2"/>
  <c r="BC62" i="2"/>
  <c r="BJ48" i="2"/>
  <c r="BJ63" i="2"/>
  <c r="BC63" i="2"/>
  <c r="BI62" i="2"/>
  <c r="BL33" i="2"/>
  <c r="BI48" i="2"/>
  <c r="BI61" i="2" s="1"/>
  <c r="BD19" i="2"/>
  <c r="BD33" i="2"/>
  <c r="AT57" i="2"/>
  <c r="AT66" i="2" s="1"/>
  <c r="BP33" i="2"/>
  <c r="CI55" i="2"/>
  <c r="CI65" i="2" s="1"/>
  <c r="BH33" i="2"/>
  <c r="CZ9" i="2"/>
  <c r="AM57" i="2"/>
  <c r="AM66" i="2" s="1"/>
  <c r="CH55" i="2"/>
  <c r="CH65" i="2" s="1"/>
  <c r="CT19" i="2"/>
  <c r="CT33" i="2"/>
  <c r="CU33" i="2"/>
  <c r="CW19" i="2"/>
  <c r="CW33" i="2"/>
  <c r="DB4" i="2"/>
  <c r="DA9" i="2"/>
  <c r="CN55" i="2"/>
  <c r="CN65" i="2" s="1"/>
  <c r="CS19" i="2"/>
  <c r="CS33" i="2"/>
  <c r="CY9" i="2"/>
  <c r="CV19" i="2"/>
  <c r="CV33" i="2"/>
  <c r="L57" i="2"/>
  <c r="L66" i="2" s="1"/>
  <c r="CJ55" i="2"/>
  <c r="CJ65" i="2" s="1"/>
  <c r="CR55" i="2"/>
  <c r="CR65" i="2" s="1"/>
  <c r="U57" i="2"/>
  <c r="CL57" i="2" s="1"/>
  <c r="CL66" i="2" s="1"/>
  <c r="CL55" i="2"/>
  <c r="CL65" i="2" s="1"/>
  <c r="AL65" i="2"/>
  <c r="CP55" i="2"/>
  <c r="CP65" i="2" s="1"/>
  <c r="CO57" i="2"/>
  <c r="CS18" i="2"/>
  <c r="AU65" i="2"/>
  <c r="CT18" i="2"/>
  <c r="CV18" i="2"/>
  <c r="AI66" i="2"/>
  <c r="P66" i="2"/>
  <c r="X66" i="2"/>
  <c r="O66" i="2"/>
  <c r="AJ66" i="2"/>
  <c r="AE66" i="2"/>
  <c r="BM98" i="2"/>
  <c r="F66" i="2"/>
  <c r="CS46" i="2"/>
  <c r="AO66" i="2"/>
  <c r="AU66" i="2"/>
  <c r="W66" i="2"/>
  <c r="U65" i="2"/>
  <c r="BD18" i="2"/>
  <c r="AF66" i="2"/>
  <c r="AB66" i="2"/>
  <c r="BA98" i="2"/>
  <c r="N66" i="2"/>
  <c r="C66" i="2"/>
  <c r="S66" i="2"/>
  <c r="T66" i="2"/>
  <c r="G66" i="2"/>
  <c r="AL66" i="2"/>
  <c r="AY44" i="2"/>
  <c r="AY98" i="2"/>
  <c r="AW44" i="2"/>
  <c r="AW98" i="2"/>
  <c r="N65" i="2"/>
  <c r="AZ44" i="2"/>
  <c r="AZ98" i="2"/>
  <c r="AV66" i="2"/>
  <c r="AV100" i="2"/>
  <c r="AV101" i="2"/>
  <c r="BD46" i="2"/>
  <c r="BD98" i="2" s="1"/>
  <c r="AD65" i="2"/>
  <c r="AD57" i="2"/>
  <c r="BK62" i="2"/>
  <c r="BK48" i="2"/>
  <c r="BK63" i="2"/>
  <c r="BF48" i="2"/>
  <c r="BF63" i="2"/>
  <c r="BF62" i="2"/>
  <c r="BQ63" i="2"/>
  <c r="BQ62" i="2"/>
  <c r="BQ48" i="2"/>
  <c r="BM48" i="2"/>
  <c r="BM63" i="2"/>
  <c r="BM62" i="2"/>
  <c r="BJ53" i="2"/>
  <c r="BJ61" i="2"/>
  <c r="AC65" i="2"/>
  <c r="AC57" i="2"/>
  <c r="CN57" i="2" s="1"/>
  <c r="BA62" i="2"/>
  <c r="BA63" i="2"/>
  <c r="BA48" i="2"/>
  <c r="AX61" i="2"/>
  <c r="AX53" i="2"/>
  <c r="AQ57" i="2"/>
  <c r="CQ57" i="2" s="1"/>
  <c r="AQ65" i="2"/>
  <c r="AK65" i="2"/>
  <c r="AK57" i="2"/>
  <c r="BG48" i="2"/>
  <c r="BG63" i="2"/>
  <c r="BG62" i="2"/>
  <c r="E65" i="2"/>
  <c r="E57" i="2"/>
  <c r="BL19" i="2"/>
  <c r="BL46" i="2"/>
  <c r="BL98" i="2" s="1"/>
  <c r="AZ19" i="2"/>
  <c r="AS65" i="2"/>
  <c r="AS57" i="2"/>
  <c r="CR57" i="2" s="1"/>
  <c r="BN62" i="2"/>
  <c r="BN48" i="2"/>
  <c r="BN63" i="2"/>
  <c r="AY48" i="2"/>
  <c r="AY62" i="2"/>
  <c r="AY63" i="2"/>
  <c r="M65" i="2"/>
  <c r="M57" i="2"/>
  <c r="CJ57" i="2" s="1"/>
  <c r="CJ66" i="2" s="1"/>
  <c r="AW63" i="2"/>
  <c r="AW48" i="2"/>
  <c r="AW62" i="2"/>
  <c r="BC53" i="2"/>
  <c r="BC61" i="2"/>
  <c r="BE48" i="2"/>
  <c r="BE63" i="2"/>
  <c r="BE62" i="2"/>
  <c r="BB63" i="2"/>
  <c r="BB48" i="2"/>
  <c r="BB62" i="2"/>
  <c r="BH19" i="2"/>
  <c r="BH46" i="2"/>
  <c r="BP18" i="2"/>
  <c r="BP46" i="2"/>
  <c r="BP98" i="2" s="1"/>
  <c r="BO62" i="2"/>
  <c r="BO48" i="2"/>
  <c r="BO63" i="2"/>
  <c r="AN65" i="2"/>
  <c r="AN57" i="2"/>
  <c r="D65" i="2"/>
  <c r="D57" i="2"/>
  <c r="K57" i="2"/>
  <c r="K65" i="2"/>
  <c r="J57" i="2"/>
  <c r="J65" i="2"/>
  <c r="AA57" i="2"/>
  <c r="CM57" i="2" s="1"/>
  <c r="CM66" i="2" s="1"/>
  <c r="AA65" i="2"/>
  <c r="BP19" i="2"/>
  <c r="H57" i="2"/>
  <c r="H65" i="2"/>
  <c r="AZ18" i="2"/>
  <c r="BH18" i="2"/>
  <c r="BL18" i="2"/>
  <c r="CY16" i="2" l="1"/>
  <c r="CY26" i="2"/>
  <c r="BD63" i="2"/>
  <c r="CZ16" i="2"/>
  <c r="CZ46" i="2" s="1"/>
  <c r="CZ50" i="2" s="1"/>
  <c r="CZ26" i="2"/>
  <c r="DA16" i="2"/>
  <c r="DA18" i="2" s="1"/>
  <c r="DA26" i="2"/>
  <c r="BI53" i="2"/>
  <c r="BI55" i="2" s="1"/>
  <c r="U66" i="2"/>
  <c r="CH57" i="2"/>
  <c r="CH66" i="2" s="1"/>
  <c r="CI57" i="2"/>
  <c r="CI66" i="2" s="1"/>
  <c r="CY46" i="2"/>
  <c r="CY50" i="2" s="1"/>
  <c r="CY18" i="2"/>
  <c r="CY19" i="2"/>
  <c r="DA19" i="2"/>
  <c r="CZ18" i="2"/>
  <c r="CZ19" i="2"/>
  <c r="DC4" i="2"/>
  <c r="DB9" i="2"/>
  <c r="CZ33" i="2"/>
  <c r="DA33" i="2"/>
  <c r="CQ59" i="2"/>
  <c r="CQ103" i="2"/>
  <c r="CQ66" i="2"/>
  <c r="CP57" i="2"/>
  <c r="CN59" i="2"/>
  <c r="CN103" i="2"/>
  <c r="CN66" i="2"/>
  <c r="CR101" i="2"/>
  <c r="CR66" i="2"/>
  <c r="CR59" i="2"/>
  <c r="CR100" i="2"/>
  <c r="CR103" i="2"/>
  <c r="CO59" i="2"/>
  <c r="CO103" i="2"/>
  <c r="CO66" i="2"/>
  <c r="CW46" i="2"/>
  <c r="M66" i="2"/>
  <c r="AS66" i="2"/>
  <c r="AN66" i="2"/>
  <c r="AA66" i="2"/>
  <c r="J66" i="2"/>
  <c r="AK66" i="2"/>
  <c r="CV46" i="2"/>
  <c r="H66" i="2"/>
  <c r="CS98" i="2"/>
  <c r="CS62" i="2"/>
  <c r="CS63" i="2"/>
  <c r="BD62" i="2"/>
  <c r="E66" i="2"/>
  <c r="AC66" i="2"/>
  <c r="AD66" i="2"/>
  <c r="D66" i="2"/>
  <c r="AQ66" i="2"/>
  <c r="CT46" i="2"/>
  <c r="K66" i="2"/>
  <c r="BD48" i="2"/>
  <c r="BD61" i="2" s="1"/>
  <c r="BH98" i="2"/>
  <c r="CU46" i="2"/>
  <c r="BJ55" i="2"/>
  <c r="BJ64" i="2"/>
  <c r="BB53" i="2"/>
  <c r="BB61" i="2"/>
  <c r="BO61" i="2"/>
  <c r="BO53" i="2"/>
  <c r="BA61" i="2"/>
  <c r="BA53" i="2"/>
  <c r="BF61" i="2"/>
  <c r="BF53" i="2"/>
  <c r="BC55" i="2"/>
  <c r="BC64" i="2"/>
  <c r="AY61" i="2"/>
  <c r="AY53" i="2"/>
  <c r="BL62" i="2"/>
  <c r="BL48" i="2"/>
  <c r="CV48" i="2" s="1"/>
  <c r="BL63" i="2"/>
  <c r="BG53" i="2"/>
  <c r="BG61" i="2"/>
  <c r="BM53" i="2"/>
  <c r="BM61" i="2"/>
  <c r="BP63" i="2"/>
  <c r="BP62" i="2"/>
  <c r="BK53" i="2"/>
  <c r="BK61" i="2"/>
  <c r="BI64" i="2"/>
  <c r="AX55" i="2"/>
  <c r="AX64" i="2"/>
  <c r="AW61" i="2"/>
  <c r="AW53" i="2"/>
  <c r="BN61" i="2"/>
  <c r="BN53" i="2"/>
  <c r="BQ53" i="2"/>
  <c r="BQ61" i="2"/>
  <c r="BE53" i="2"/>
  <c r="BE61" i="2"/>
  <c r="AZ63" i="2"/>
  <c r="AZ48" i="2"/>
  <c r="CS48" i="2" s="1"/>
  <c r="AZ62" i="2"/>
  <c r="BH63" i="2"/>
  <c r="BH48" i="2"/>
  <c r="CU48" i="2" s="1"/>
  <c r="BH62" i="2"/>
  <c r="DA46" i="2" l="1"/>
  <c r="DA50" i="2" s="1"/>
  <c r="DB16" i="2"/>
  <c r="DB18" i="2" s="1"/>
  <c r="DB26" i="2"/>
  <c r="CW62" i="2"/>
  <c r="CW63" i="2"/>
  <c r="CY49" i="2"/>
  <c r="CY47" i="2"/>
  <c r="CY48" i="2" s="1"/>
  <c r="CV61" i="2"/>
  <c r="CZ49" i="2"/>
  <c r="CZ47" i="2"/>
  <c r="CZ48" i="2" s="1"/>
  <c r="DB46" i="2"/>
  <c r="DB50" i="2" s="1"/>
  <c r="DB33" i="2"/>
  <c r="DC9" i="2"/>
  <c r="DD4" i="2"/>
  <c r="DA49" i="2"/>
  <c r="DA47" i="2"/>
  <c r="DA48" i="2" s="1"/>
  <c r="CP59" i="2"/>
  <c r="CP103" i="2"/>
  <c r="CP66" i="2"/>
  <c r="CS61" i="2"/>
  <c r="CU61" i="2"/>
  <c r="BD53" i="2"/>
  <c r="BD55" i="2" s="1"/>
  <c r="CT98" i="2"/>
  <c r="CT62" i="2"/>
  <c r="CT63" i="2"/>
  <c r="CT48" i="2"/>
  <c r="CT61" i="2" s="1"/>
  <c r="CU98" i="2"/>
  <c r="CU62" i="2"/>
  <c r="CU63" i="2"/>
  <c r="CV98" i="2"/>
  <c r="CV63" i="2"/>
  <c r="CV62" i="2"/>
  <c r="BO55" i="2"/>
  <c r="BO57" i="2" s="1"/>
  <c r="BO103" i="2" s="1"/>
  <c r="BO64" i="2"/>
  <c r="BQ64" i="2"/>
  <c r="BQ55" i="2"/>
  <c r="BL61" i="2"/>
  <c r="BL53" i="2"/>
  <c r="CV53" i="2" s="1"/>
  <c r="CV64" i="2" s="1"/>
  <c r="BA55" i="2"/>
  <c r="BA64" i="2"/>
  <c r="AY55" i="2"/>
  <c r="AY64" i="2"/>
  <c r="BH53" i="2"/>
  <c r="CU53" i="2" s="1"/>
  <c r="CU64" i="2" s="1"/>
  <c r="BH61" i="2"/>
  <c r="BE55" i="2"/>
  <c r="BE64" i="2"/>
  <c r="AX57" i="2"/>
  <c r="AX103" i="2" s="1"/>
  <c r="AX65" i="2"/>
  <c r="BN55" i="2"/>
  <c r="BN64" i="2"/>
  <c r="BM55" i="2"/>
  <c r="BM64" i="2"/>
  <c r="BK64" i="2"/>
  <c r="BK55" i="2"/>
  <c r="BC65" i="2"/>
  <c r="BC57" i="2"/>
  <c r="BC103" i="2" s="1"/>
  <c r="BB55" i="2"/>
  <c r="BB64" i="2"/>
  <c r="BI65" i="2"/>
  <c r="BI57" i="2"/>
  <c r="AZ61" i="2"/>
  <c r="AZ53" i="2"/>
  <c r="CS53" i="2" s="1"/>
  <c r="CS64" i="2" s="1"/>
  <c r="AW55" i="2"/>
  <c r="AW64" i="2"/>
  <c r="BG64" i="2"/>
  <c r="BG55" i="2"/>
  <c r="BF55" i="2"/>
  <c r="BF64" i="2"/>
  <c r="BJ65" i="2"/>
  <c r="BJ57" i="2"/>
  <c r="BJ103" i="2" s="1"/>
  <c r="DB19" i="2" l="1"/>
  <c r="CY53" i="2"/>
  <c r="DC16" i="2"/>
  <c r="DC46" i="2" s="1"/>
  <c r="DC50" i="2" s="1"/>
  <c r="DC26" i="2"/>
  <c r="CZ53" i="2"/>
  <c r="CZ64" i="2" s="1"/>
  <c r="DA53" i="2"/>
  <c r="DC18" i="2"/>
  <c r="DC19" i="2"/>
  <c r="CY64" i="2"/>
  <c r="DD9" i="2"/>
  <c r="DE4" i="2"/>
  <c r="DC33" i="2"/>
  <c r="DB47" i="2"/>
  <c r="DB48" i="2" s="1"/>
  <c r="DB49" i="2"/>
  <c r="BD64" i="2"/>
  <c r="CT53" i="2"/>
  <c r="CT64" i="2" s="1"/>
  <c r="CT55" i="2"/>
  <c r="CT65" i="2" s="1"/>
  <c r="BI103" i="2"/>
  <c r="AX101" i="2"/>
  <c r="AX100" i="2"/>
  <c r="BC101" i="2"/>
  <c r="BC100" i="2"/>
  <c r="BI101" i="2"/>
  <c r="BI100" i="2"/>
  <c r="BJ101" i="2"/>
  <c r="BJ100" i="2"/>
  <c r="BO100" i="2"/>
  <c r="BO101" i="2"/>
  <c r="AX66" i="2"/>
  <c r="AX59" i="2"/>
  <c r="BC66" i="2"/>
  <c r="BC59" i="2"/>
  <c r="BI66" i="2"/>
  <c r="BI59" i="2"/>
  <c r="BJ66" i="2"/>
  <c r="BJ59" i="2"/>
  <c r="AZ55" i="2"/>
  <c r="CS55" i="2" s="1"/>
  <c r="CS65" i="2" s="1"/>
  <c r="AZ64" i="2"/>
  <c r="BK65" i="2"/>
  <c r="BK57" i="2"/>
  <c r="BK103" i="2" s="1"/>
  <c r="BF65" i="2"/>
  <c r="BF57" i="2"/>
  <c r="BF103" i="2" s="1"/>
  <c r="BA65" i="2"/>
  <c r="BA57" i="2"/>
  <c r="BL64" i="2"/>
  <c r="BL55" i="2"/>
  <c r="CV55" i="2" s="1"/>
  <c r="CV65" i="2" s="1"/>
  <c r="BQ65" i="2"/>
  <c r="BQ57" i="2"/>
  <c r="BQ103" i="2" s="1"/>
  <c r="BM65" i="2"/>
  <c r="BM57" i="2"/>
  <c r="BD65" i="2"/>
  <c r="BD57" i="2"/>
  <c r="BD103" i="2" s="1"/>
  <c r="BB65" i="2"/>
  <c r="BB57" i="2"/>
  <c r="BB103" i="2" s="1"/>
  <c r="BN57" i="2"/>
  <c r="BN103" i="2" s="1"/>
  <c r="BN65" i="2"/>
  <c r="BH55" i="2"/>
  <c r="CU55" i="2" s="1"/>
  <c r="CU65" i="2" s="1"/>
  <c r="BH64" i="2"/>
  <c r="BG57" i="2"/>
  <c r="BG103" i="2" s="1"/>
  <c r="BG65" i="2"/>
  <c r="BE65" i="2"/>
  <c r="BE57" i="2"/>
  <c r="BE103" i="2" s="1"/>
  <c r="AW65" i="2"/>
  <c r="AW57" i="2"/>
  <c r="AY57" i="2"/>
  <c r="AY103" i="2" s="1"/>
  <c r="AY65" i="2"/>
  <c r="BO65" i="2"/>
  <c r="DD16" i="2" l="1"/>
  <c r="DD18" i="2" s="1"/>
  <c r="DD26" i="2"/>
  <c r="DB53" i="2"/>
  <c r="DA64" i="2"/>
  <c r="DC47" i="2"/>
  <c r="DC48" i="2" s="1"/>
  <c r="DC49" i="2"/>
  <c r="DE9" i="2"/>
  <c r="DF4" i="2"/>
  <c r="BA103" i="2"/>
  <c r="CT103" i="2" s="1"/>
  <c r="CT57" i="2"/>
  <c r="BM103" i="2"/>
  <c r="AW103" i="2"/>
  <c r="BM100" i="2"/>
  <c r="BM101" i="2"/>
  <c r="BK101" i="2"/>
  <c r="BK100" i="2"/>
  <c r="BF100" i="2"/>
  <c r="BF101" i="2"/>
  <c r="BN100" i="2"/>
  <c r="BN101" i="2"/>
  <c r="BB101" i="2"/>
  <c r="BB100" i="2"/>
  <c r="BQ101" i="2"/>
  <c r="BQ100" i="2"/>
  <c r="BE100" i="2"/>
  <c r="BE101" i="2"/>
  <c r="AY100" i="2"/>
  <c r="AY101" i="2"/>
  <c r="BD100" i="2"/>
  <c r="BD101" i="2"/>
  <c r="AW101" i="2"/>
  <c r="AW100" i="2"/>
  <c r="BA101" i="2"/>
  <c r="BA100" i="2"/>
  <c r="BG100" i="2"/>
  <c r="BG101" i="2"/>
  <c r="BM66" i="2"/>
  <c r="BM59" i="2"/>
  <c r="BQ66" i="2"/>
  <c r="BQ59" i="2"/>
  <c r="AW66" i="2"/>
  <c r="AW59" i="2"/>
  <c r="AY66" i="2"/>
  <c r="AY59" i="2"/>
  <c r="BD66" i="2"/>
  <c r="BD59" i="2"/>
  <c r="BA66" i="2"/>
  <c r="BA59" i="2"/>
  <c r="BE66" i="2"/>
  <c r="BE59" i="2"/>
  <c r="BB66" i="2"/>
  <c r="BB59" i="2"/>
  <c r="BF66" i="2"/>
  <c r="BF59" i="2"/>
  <c r="BG66" i="2"/>
  <c r="BG59" i="2"/>
  <c r="BN66" i="2"/>
  <c r="BN59" i="2"/>
  <c r="BK66" i="2"/>
  <c r="BK59" i="2"/>
  <c r="BO66" i="2"/>
  <c r="BO59" i="2"/>
  <c r="AZ57" i="2"/>
  <c r="AZ103" i="2" s="1"/>
  <c r="AZ65" i="2"/>
  <c r="BH57" i="2"/>
  <c r="BH65" i="2"/>
  <c r="BL57" i="2"/>
  <c r="BL103" i="2" s="1"/>
  <c r="CV103" i="2" s="1"/>
  <c r="BL65" i="2"/>
  <c r="DD19" i="2" l="1"/>
  <c r="DD46" i="2"/>
  <c r="DD50" i="2" s="1"/>
  <c r="DD33" i="2"/>
  <c r="DE16" i="2"/>
  <c r="DE33" i="2" s="1"/>
  <c r="DE26" i="2"/>
  <c r="DC53" i="2"/>
  <c r="DE18" i="2"/>
  <c r="DE19" i="2"/>
  <c r="DB64" i="2"/>
  <c r="DF9" i="2"/>
  <c r="DG4" i="2"/>
  <c r="DG9" i="2" s="1"/>
  <c r="DE46" i="2"/>
  <c r="DE50" i="2" s="1"/>
  <c r="DD49" i="2"/>
  <c r="DD47" i="2"/>
  <c r="DD48" i="2" s="1"/>
  <c r="CV57" i="2"/>
  <c r="CV66" i="2" s="1"/>
  <c r="CT59" i="2"/>
  <c r="CT101" i="2"/>
  <c r="CT100" i="2"/>
  <c r="CT66" i="2"/>
  <c r="CS57" i="2"/>
  <c r="CS103" i="2"/>
  <c r="BH103" i="2"/>
  <c r="CU103" i="2" s="1"/>
  <c r="CU57" i="2"/>
  <c r="BH100" i="2"/>
  <c r="BH101" i="2"/>
  <c r="AZ100" i="2"/>
  <c r="AZ101" i="2"/>
  <c r="BL100" i="2"/>
  <c r="BL101" i="2"/>
  <c r="AZ66" i="2"/>
  <c r="AZ59" i="2"/>
  <c r="CS59" i="2" s="1"/>
  <c r="BH66" i="2"/>
  <c r="BH59" i="2"/>
  <c r="CU59" i="2" s="1"/>
  <c r="BL66" i="2"/>
  <c r="BL59" i="2"/>
  <c r="CV59" i="2" s="1"/>
  <c r="DF16" i="2" l="1"/>
  <c r="DF26" i="2"/>
  <c r="DG16" i="2"/>
  <c r="DG19" i="2" s="1"/>
  <c r="DG26" i="2"/>
  <c r="DD53" i="2"/>
  <c r="DC64" i="2"/>
  <c r="CV100" i="2"/>
  <c r="DE49" i="2"/>
  <c r="DE47" i="2"/>
  <c r="DE48" i="2" s="1"/>
  <c r="CV101" i="2"/>
  <c r="DF33" i="2"/>
  <c r="CU100" i="2"/>
  <c r="CU66" i="2"/>
  <c r="CU101" i="2"/>
  <c r="CS101" i="2"/>
  <c r="CS66" i="2"/>
  <c r="CS100" i="2"/>
  <c r="DG18" i="2" l="1"/>
  <c r="DG46" i="2"/>
  <c r="DG50" i="2" s="1"/>
  <c r="DG33" i="2"/>
  <c r="DF46" i="2"/>
  <c r="DF50" i="2" s="1"/>
  <c r="DF19" i="2"/>
  <c r="DF18" i="2"/>
  <c r="DE53" i="2"/>
  <c r="DD64" i="2"/>
  <c r="G1192" i="3"/>
  <c r="G1191" i="3"/>
  <c r="G1190" i="3"/>
  <c r="G1189" i="3"/>
  <c r="G1188" i="3"/>
  <c r="G1187" i="3"/>
  <c r="G1186" i="3"/>
  <c r="G1185" i="3"/>
  <c r="G1184" i="3"/>
  <c r="G1183" i="3"/>
  <c r="G1182" i="3"/>
  <c r="G1181" i="3"/>
  <c r="G1180" i="3"/>
  <c r="G1179" i="3"/>
  <c r="G1178" i="3"/>
  <c r="G1177" i="3"/>
  <c r="G1176" i="3"/>
  <c r="G1175" i="3"/>
  <c r="G1174" i="3"/>
  <c r="G1173" i="3"/>
  <c r="G1172" i="3"/>
  <c r="G1171" i="3"/>
  <c r="G1170" i="3"/>
  <c r="G1169" i="3"/>
  <c r="G1168" i="3"/>
  <c r="G1167" i="3"/>
  <c r="G1166" i="3"/>
  <c r="G1165" i="3"/>
  <c r="G1164" i="3"/>
  <c r="G1163" i="3"/>
  <c r="G1162" i="3"/>
  <c r="G1161" i="3"/>
  <c r="G1160" i="3"/>
  <c r="G1159" i="3"/>
  <c r="G1158" i="3"/>
  <c r="G1157" i="3"/>
  <c r="G1156" i="3"/>
  <c r="G1155" i="3"/>
  <c r="G1154" i="3"/>
  <c r="G1153" i="3"/>
  <c r="G1152" i="3"/>
  <c r="G1151" i="3"/>
  <c r="G1150" i="3"/>
  <c r="G1149" i="3"/>
  <c r="G1148" i="3"/>
  <c r="G1147" i="3"/>
  <c r="G1146" i="3"/>
  <c r="G1145" i="3"/>
  <c r="G1144" i="3"/>
  <c r="G1143" i="3"/>
  <c r="G1142" i="3"/>
  <c r="G1141" i="3"/>
  <c r="G1140" i="3"/>
  <c r="G1139" i="3"/>
  <c r="G1138" i="3"/>
  <c r="G1137" i="3"/>
  <c r="G1136" i="3"/>
  <c r="G1135" i="3"/>
  <c r="G1134" i="3"/>
  <c r="G1133" i="3"/>
  <c r="G1132" i="3"/>
  <c r="G1131" i="3"/>
  <c r="G1130" i="3"/>
  <c r="G1129" i="3"/>
  <c r="G1128" i="3"/>
  <c r="G1127" i="3"/>
  <c r="G1126" i="3"/>
  <c r="G1125" i="3"/>
  <c r="G1124" i="3"/>
  <c r="G1123" i="3"/>
  <c r="G1122" i="3"/>
  <c r="G1121" i="3"/>
  <c r="G1120" i="3"/>
  <c r="G1119" i="3"/>
  <c r="G1118" i="3"/>
  <c r="G1117" i="3"/>
  <c r="G1116" i="3"/>
  <c r="G1115" i="3"/>
  <c r="G1114" i="3"/>
  <c r="G1113" i="3"/>
  <c r="G1112" i="3"/>
  <c r="G1111" i="3"/>
  <c r="G1110" i="3"/>
  <c r="G1109" i="3"/>
  <c r="G1108" i="3"/>
  <c r="G1107" i="3"/>
  <c r="G1106" i="3"/>
  <c r="G1105" i="3"/>
  <c r="G1104" i="3"/>
  <c r="G1103" i="3"/>
  <c r="G1102" i="3"/>
  <c r="G1101" i="3"/>
  <c r="G1100" i="3"/>
  <c r="G1099" i="3"/>
  <c r="G1098" i="3"/>
  <c r="G1097" i="3"/>
  <c r="G1096" i="3"/>
  <c r="G1095" i="3"/>
  <c r="G1094" i="3"/>
  <c r="G1093" i="3"/>
  <c r="G1092" i="3"/>
  <c r="G1091" i="3"/>
  <c r="G1090" i="3"/>
  <c r="G1089" i="3"/>
  <c r="G1088" i="3"/>
  <c r="G1087" i="3"/>
  <c r="G1086" i="3"/>
  <c r="G1085" i="3"/>
  <c r="G1084" i="3"/>
  <c r="G1083" i="3"/>
  <c r="G1082" i="3"/>
  <c r="G1081" i="3"/>
  <c r="G1080" i="3"/>
  <c r="G1079" i="3"/>
  <c r="G1078" i="3"/>
  <c r="G1077" i="3"/>
  <c r="G1076" i="3"/>
  <c r="G1075" i="3"/>
  <c r="G1074" i="3"/>
  <c r="G1073" i="3"/>
  <c r="G1072" i="3"/>
  <c r="G1071" i="3"/>
  <c r="G1070" i="3"/>
  <c r="G1069" i="3"/>
  <c r="G1068" i="3"/>
  <c r="G1067" i="3"/>
  <c r="G1066" i="3"/>
  <c r="G1065" i="3"/>
  <c r="G1064" i="3"/>
  <c r="G1063" i="3"/>
  <c r="G1062" i="3"/>
  <c r="G1061" i="3"/>
  <c r="G1060" i="3"/>
  <c r="G1059" i="3"/>
  <c r="G1058" i="3"/>
  <c r="G1057" i="3"/>
  <c r="G1056" i="3"/>
  <c r="G1055" i="3"/>
  <c r="G1054" i="3"/>
  <c r="G1053" i="3"/>
  <c r="G1052" i="3"/>
  <c r="G1051" i="3"/>
  <c r="G1050" i="3"/>
  <c r="G1049" i="3"/>
  <c r="G1048" i="3"/>
  <c r="G1047" i="3"/>
  <c r="G1046" i="3"/>
  <c r="G1045" i="3"/>
  <c r="G1044" i="3"/>
  <c r="G1043" i="3"/>
  <c r="G1042" i="3"/>
  <c r="G1041" i="3"/>
  <c r="G1040" i="3"/>
  <c r="G1039" i="3"/>
  <c r="G1038" i="3"/>
  <c r="G1037" i="3"/>
  <c r="G1036" i="3"/>
  <c r="G1035" i="3"/>
  <c r="G1034" i="3"/>
  <c r="G1033" i="3"/>
  <c r="G1032" i="3"/>
  <c r="G1031" i="3"/>
  <c r="G1030" i="3"/>
  <c r="G1029" i="3"/>
  <c r="G1028" i="3"/>
  <c r="G1027" i="3"/>
  <c r="G1026" i="3"/>
  <c r="G1025" i="3"/>
  <c r="G1024" i="3"/>
  <c r="G1023" i="3"/>
  <c r="G1022" i="3"/>
  <c r="G1021" i="3"/>
  <c r="G1020" i="3"/>
  <c r="G1019" i="3"/>
  <c r="G1018" i="3"/>
  <c r="G1017" i="3"/>
  <c r="G1016" i="3"/>
  <c r="G1015" i="3"/>
  <c r="G1014" i="3"/>
  <c r="G1013" i="3"/>
  <c r="G1012" i="3"/>
  <c r="G1011" i="3"/>
  <c r="G1010" i="3"/>
  <c r="G1009" i="3"/>
  <c r="G1008" i="3"/>
  <c r="G1007" i="3"/>
  <c r="G1006" i="3"/>
  <c r="G1005" i="3"/>
  <c r="G1004" i="3"/>
  <c r="G1003" i="3"/>
  <c r="G1002" i="3"/>
  <c r="G1001" i="3"/>
  <c r="G1000" i="3"/>
  <c r="G999" i="3"/>
  <c r="G998" i="3"/>
  <c r="G997" i="3"/>
  <c r="G996" i="3"/>
  <c r="G995" i="3"/>
  <c r="G994" i="3"/>
  <c r="G993" i="3"/>
  <c r="G992" i="3"/>
  <c r="G991" i="3"/>
  <c r="G990" i="3"/>
  <c r="G989" i="3"/>
  <c r="G988" i="3"/>
  <c r="G987" i="3"/>
  <c r="G986" i="3"/>
  <c r="G985" i="3"/>
  <c r="G984" i="3"/>
  <c r="G983" i="3"/>
  <c r="G982" i="3"/>
  <c r="G981" i="3"/>
  <c r="G980" i="3"/>
  <c r="G979" i="3"/>
  <c r="G978" i="3"/>
  <c r="G977" i="3"/>
  <c r="G976" i="3"/>
  <c r="G975" i="3"/>
  <c r="G974" i="3"/>
  <c r="G973" i="3"/>
  <c r="G972" i="3"/>
  <c r="G971" i="3"/>
  <c r="G970" i="3"/>
  <c r="G969" i="3"/>
  <c r="G968" i="3"/>
  <c r="G967" i="3"/>
  <c r="G966" i="3"/>
  <c r="G965" i="3"/>
  <c r="G964" i="3"/>
  <c r="G963" i="3"/>
  <c r="G962" i="3"/>
  <c r="G961" i="3"/>
  <c r="G960" i="3"/>
  <c r="G959" i="3"/>
  <c r="G958" i="3"/>
  <c r="G957" i="3"/>
  <c r="G956" i="3"/>
  <c r="G955" i="3"/>
  <c r="G954" i="3"/>
  <c r="G953" i="3"/>
  <c r="G952" i="3"/>
  <c r="G951" i="3"/>
  <c r="G950" i="3"/>
  <c r="G949" i="3"/>
  <c r="G948" i="3"/>
  <c r="G947" i="3"/>
  <c r="G946" i="3"/>
  <c r="G945" i="3"/>
  <c r="G944" i="3"/>
  <c r="G943" i="3"/>
  <c r="G942" i="3"/>
  <c r="G941" i="3"/>
  <c r="G940" i="3"/>
  <c r="G939" i="3"/>
  <c r="G938" i="3"/>
  <c r="G937" i="3"/>
  <c r="G936" i="3"/>
  <c r="G935" i="3"/>
  <c r="G934" i="3"/>
  <c r="G933" i="3"/>
  <c r="G932" i="3"/>
  <c r="G931" i="3"/>
  <c r="G930" i="3"/>
  <c r="G929" i="3"/>
  <c r="G928" i="3"/>
  <c r="G927" i="3"/>
  <c r="G926" i="3"/>
  <c r="G925" i="3"/>
  <c r="G924" i="3"/>
  <c r="G923" i="3"/>
  <c r="G922" i="3"/>
  <c r="G921" i="3"/>
  <c r="G920" i="3"/>
  <c r="G919" i="3"/>
  <c r="G918" i="3"/>
  <c r="G917" i="3"/>
  <c r="G916" i="3"/>
  <c r="G915" i="3"/>
  <c r="G914" i="3"/>
  <c r="G913" i="3"/>
  <c r="G912" i="3"/>
  <c r="G911" i="3"/>
  <c r="G910" i="3"/>
  <c r="G909" i="3"/>
  <c r="G908" i="3"/>
  <c r="G907" i="3"/>
  <c r="G906" i="3"/>
  <c r="G905" i="3"/>
  <c r="G904" i="3"/>
  <c r="G903" i="3"/>
  <c r="G902" i="3"/>
  <c r="G901" i="3"/>
  <c r="G900" i="3"/>
  <c r="G899" i="3"/>
  <c r="G898" i="3"/>
  <c r="G897" i="3"/>
  <c r="G896" i="3"/>
  <c r="G895" i="3"/>
  <c r="G894" i="3"/>
  <c r="G893" i="3"/>
  <c r="G892" i="3"/>
  <c r="G891" i="3"/>
  <c r="G890" i="3"/>
  <c r="G889" i="3"/>
  <c r="G888" i="3"/>
  <c r="G887" i="3"/>
  <c r="G886" i="3"/>
  <c r="G885" i="3"/>
  <c r="G884" i="3"/>
  <c r="G883" i="3"/>
  <c r="G882" i="3"/>
  <c r="G881" i="3"/>
  <c r="G880" i="3"/>
  <c r="G879" i="3"/>
  <c r="G878" i="3"/>
  <c r="G877" i="3"/>
  <c r="G876" i="3"/>
  <c r="G875" i="3"/>
  <c r="G874" i="3"/>
  <c r="G873" i="3"/>
  <c r="G872" i="3"/>
  <c r="G871" i="3"/>
  <c r="G870" i="3"/>
  <c r="G869" i="3"/>
  <c r="G868" i="3"/>
  <c r="G867" i="3"/>
  <c r="G866" i="3"/>
  <c r="G865" i="3"/>
  <c r="G864" i="3"/>
  <c r="G863" i="3"/>
  <c r="G862" i="3"/>
  <c r="G861" i="3"/>
  <c r="G860" i="3"/>
  <c r="G859" i="3"/>
  <c r="G858" i="3"/>
  <c r="G857" i="3"/>
  <c r="G856" i="3"/>
  <c r="G855" i="3"/>
  <c r="G854" i="3"/>
  <c r="G853" i="3"/>
  <c r="G852" i="3"/>
  <c r="G851" i="3"/>
  <c r="G850" i="3"/>
  <c r="G849" i="3"/>
  <c r="G848" i="3"/>
  <c r="G847" i="3"/>
  <c r="G846" i="3"/>
  <c r="G845" i="3"/>
  <c r="G844" i="3"/>
  <c r="G843" i="3"/>
  <c r="G842" i="3"/>
  <c r="G841" i="3"/>
  <c r="G840" i="3"/>
  <c r="G839" i="3"/>
  <c r="G838" i="3"/>
  <c r="G837" i="3"/>
  <c r="G836" i="3"/>
  <c r="G835" i="3"/>
  <c r="G834" i="3"/>
  <c r="G833" i="3"/>
  <c r="G832" i="3"/>
  <c r="G831" i="3"/>
  <c r="G830" i="3"/>
  <c r="G829" i="3"/>
  <c r="G828" i="3"/>
  <c r="G827" i="3"/>
  <c r="G826" i="3"/>
  <c r="G825" i="3"/>
  <c r="G824" i="3"/>
  <c r="G823" i="3"/>
  <c r="G822" i="3"/>
  <c r="G821" i="3"/>
  <c r="G820" i="3"/>
  <c r="G819" i="3"/>
  <c r="G818" i="3"/>
  <c r="G817" i="3"/>
  <c r="G816" i="3"/>
  <c r="G815" i="3"/>
  <c r="G814" i="3"/>
  <c r="G813" i="3"/>
  <c r="G812" i="3"/>
  <c r="G811" i="3"/>
  <c r="G810" i="3"/>
  <c r="G809" i="3"/>
  <c r="G808" i="3"/>
  <c r="G807" i="3"/>
  <c r="G806" i="3"/>
  <c r="G805" i="3"/>
  <c r="G804" i="3"/>
  <c r="G803" i="3"/>
  <c r="G802" i="3"/>
  <c r="G801" i="3"/>
  <c r="G800" i="3"/>
  <c r="G799" i="3"/>
  <c r="G798" i="3"/>
  <c r="G797" i="3"/>
  <c r="G796" i="3"/>
  <c r="G795" i="3"/>
  <c r="G794" i="3"/>
  <c r="G793" i="3"/>
  <c r="G792" i="3"/>
  <c r="G791" i="3"/>
  <c r="G790" i="3"/>
  <c r="G789" i="3"/>
  <c r="G788" i="3"/>
  <c r="G787" i="3"/>
  <c r="G786" i="3"/>
  <c r="G785" i="3"/>
  <c r="G784" i="3"/>
  <c r="G783" i="3"/>
  <c r="G782" i="3"/>
  <c r="G781" i="3"/>
  <c r="G780" i="3"/>
  <c r="G779" i="3"/>
  <c r="G778" i="3"/>
  <c r="G777" i="3"/>
  <c r="G776" i="3"/>
  <c r="G775" i="3"/>
  <c r="G774" i="3"/>
  <c r="G773" i="3"/>
  <c r="G772" i="3"/>
  <c r="G771" i="3"/>
  <c r="G770" i="3"/>
  <c r="G769" i="3"/>
  <c r="G768" i="3"/>
  <c r="G767" i="3"/>
  <c r="G766" i="3"/>
  <c r="G765" i="3"/>
  <c r="G764" i="3"/>
  <c r="G763" i="3"/>
  <c r="G762" i="3"/>
  <c r="G761" i="3"/>
  <c r="G760" i="3"/>
  <c r="G759" i="3"/>
  <c r="G758" i="3"/>
  <c r="G757" i="3"/>
  <c r="G756" i="3"/>
  <c r="G755" i="3"/>
  <c r="G754" i="3"/>
  <c r="G753" i="3"/>
  <c r="G752" i="3"/>
  <c r="G751" i="3"/>
  <c r="G750" i="3"/>
  <c r="G749" i="3"/>
  <c r="G748" i="3"/>
  <c r="G747" i="3"/>
  <c r="G746" i="3"/>
  <c r="G745" i="3"/>
  <c r="G744" i="3"/>
  <c r="G743" i="3"/>
  <c r="G742" i="3"/>
  <c r="G741" i="3"/>
  <c r="G740" i="3"/>
  <c r="G739" i="3"/>
  <c r="G738" i="3"/>
  <c r="G737" i="3"/>
  <c r="G736" i="3"/>
  <c r="G735" i="3"/>
  <c r="G734" i="3"/>
  <c r="G733" i="3"/>
  <c r="G732" i="3"/>
  <c r="G731" i="3"/>
  <c r="G730" i="3"/>
  <c r="G729" i="3"/>
  <c r="G728" i="3"/>
  <c r="G727" i="3"/>
  <c r="G726" i="3"/>
  <c r="G725" i="3"/>
  <c r="G724" i="3"/>
  <c r="G723" i="3"/>
  <c r="G722" i="3"/>
  <c r="G721" i="3"/>
  <c r="G720" i="3"/>
  <c r="G719" i="3"/>
  <c r="G718" i="3"/>
  <c r="G717" i="3"/>
  <c r="G716" i="3"/>
  <c r="G715" i="3"/>
  <c r="G714" i="3"/>
  <c r="G713" i="3"/>
  <c r="G712" i="3"/>
  <c r="G711" i="3"/>
  <c r="G710" i="3"/>
  <c r="G709" i="3"/>
  <c r="G708" i="3"/>
  <c r="G707" i="3"/>
  <c r="G706" i="3"/>
  <c r="G705" i="3"/>
  <c r="G704" i="3"/>
  <c r="G703" i="3"/>
  <c r="G702" i="3"/>
  <c r="G701" i="3"/>
  <c r="G700" i="3"/>
  <c r="G699" i="3"/>
  <c r="G698" i="3"/>
  <c r="G697" i="3"/>
  <c r="G696" i="3"/>
  <c r="G695" i="3"/>
  <c r="G694" i="3"/>
  <c r="G693" i="3"/>
  <c r="G692" i="3"/>
  <c r="G691" i="3"/>
  <c r="G690" i="3"/>
  <c r="G689" i="3"/>
  <c r="G688" i="3"/>
  <c r="G687" i="3"/>
  <c r="G686" i="3"/>
  <c r="G685" i="3"/>
  <c r="G684" i="3"/>
  <c r="G683" i="3"/>
  <c r="G682" i="3"/>
  <c r="G681" i="3"/>
  <c r="G680" i="3"/>
  <c r="G679" i="3"/>
  <c r="G678" i="3"/>
  <c r="G677" i="3"/>
  <c r="G676" i="3"/>
  <c r="G675" i="3"/>
  <c r="G674" i="3"/>
  <c r="G673" i="3"/>
  <c r="G672" i="3"/>
  <c r="G671" i="3"/>
  <c r="G670" i="3"/>
  <c r="G669" i="3"/>
  <c r="G668" i="3"/>
  <c r="G667" i="3"/>
  <c r="G666" i="3"/>
  <c r="G665" i="3"/>
  <c r="G664" i="3"/>
  <c r="G663" i="3"/>
  <c r="G662" i="3"/>
  <c r="G661" i="3"/>
  <c r="G660" i="3"/>
  <c r="G659" i="3"/>
  <c r="G658" i="3"/>
  <c r="G657" i="3"/>
  <c r="G656" i="3"/>
  <c r="G655" i="3"/>
  <c r="G654" i="3"/>
  <c r="G653" i="3"/>
  <c r="G652" i="3"/>
  <c r="G651" i="3"/>
  <c r="G650" i="3"/>
  <c r="G649" i="3"/>
  <c r="G648" i="3"/>
  <c r="G647" i="3"/>
  <c r="G646" i="3"/>
  <c r="G645" i="3"/>
  <c r="G644" i="3"/>
  <c r="G643" i="3"/>
  <c r="G642" i="3"/>
  <c r="G641" i="3"/>
  <c r="G640" i="3"/>
  <c r="G639" i="3"/>
  <c r="G638" i="3"/>
  <c r="G637" i="3"/>
  <c r="G636" i="3"/>
  <c r="G635" i="3"/>
  <c r="G634" i="3"/>
  <c r="G633" i="3"/>
  <c r="G632" i="3"/>
  <c r="G631" i="3"/>
  <c r="G630" i="3"/>
  <c r="G629" i="3"/>
  <c r="G628" i="3"/>
  <c r="G627" i="3"/>
  <c r="G626" i="3"/>
  <c r="G625" i="3"/>
  <c r="G624" i="3"/>
  <c r="G623" i="3"/>
  <c r="G622" i="3"/>
  <c r="G621" i="3"/>
  <c r="G620" i="3"/>
  <c r="G619" i="3"/>
  <c r="G618" i="3"/>
  <c r="G617" i="3"/>
  <c r="G616" i="3"/>
  <c r="G615" i="3"/>
  <c r="G614" i="3"/>
  <c r="G613" i="3"/>
  <c r="G612" i="3"/>
  <c r="G611" i="3"/>
  <c r="G610" i="3"/>
  <c r="G609" i="3"/>
  <c r="G608" i="3"/>
  <c r="G607" i="3"/>
  <c r="G606" i="3"/>
  <c r="G605" i="3"/>
  <c r="G604" i="3"/>
  <c r="G603" i="3"/>
  <c r="G602" i="3"/>
  <c r="G601" i="3"/>
  <c r="G600" i="3"/>
  <c r="G599" i="3"/>
  <c r="G598" i="3"/>
  <c r="G597" i="3"/>
  <c r="G596" i="3"/>
  <c r="G595" i="3"/>
  <c r="G594" i="3"/>
  <c r="G593" i="3"/>
  <c r="G592" i="3"/>
  <c r="G591" i="3"/>
  <c r="G590" i="3"/>
  <c r="G589" i="3"/>
  <c r="G588" i="3"/>
  <c r="G587" i="3"/>
  <c r="G586" i="3"/>
  <c r="G585" i="3"/>
  <c r="G584" i="3"/>
  <c r="G583" i="3"/>
  <c r="G582" i="3"/>
  <c r="G581" i="3"/>
  <c r="G580" i="3"/>
  <c r="G579" i="3"/>
  <c r="G578" i="3"/>
  <c r="G577" i="3"/>
  <c r="G576" i="3"/>
  <c r="G575" i="3"/>
  <c r="G574" i="3"/>
  <c r="G573" i="3"/>
  <c r="G572" i="3"/>
  <c r="G571" i="3"/>
  <c r="G570" i="3"/>
  <c r="G569" i="3"/>
  <c r="G568" i="3"/>
  <c r="G567" i="3"/>
  <c r="G566" i="3"/>
  <c r="G565" i="3"/>
  <c r="G564" i="3"/>
  <c r="G563" i="3"/>
  <c r="G562" i="3"/>
  <c r="G561" i="3"/>
  <c r="G560" i="3"/>
  <c r="G559" i="3"/>
  <c r="G558" i="3"/>
  <c r="G557" i="3"/>
  <c r="G556" i="3"/>
  <c r="G555" i="3"/>
  <c r="G554" i="3"/>
  <c r="G553" i="3"/>
  <c r="G552" i="3"/>
  <c r="G551" i="3"/>
  <c r="G550" i="3"/>
  <c r="G549" i="3"/>
  <c r="G548" i="3"/>
  <c r="G547" i="3"/>
  <c r="G546" i="3"/>
  <c r="G545" i="3"/>
  <c r="G544" i="3"/>
  <c r="G543" i="3"/>
  <c r="G542" i="3"/>
  <c r="G541" i="3"/>
  <c r="G540" i="3"/>
  <c r="G539" i="3"/>
  <c r="G538" i="3"/>
  <c r="G537" i="3"/>
  <c r="G536" i="3"/>
  <c r="G535" i="3"/>
  <c r="G534" i="3"/>
  <c r="G533" i="3"/>
  <c r="G532" i="3"/>
  <c r="G531" i="3"/>
  <c r="G530" i="3"/>
  <c r="G529" i="3"/>
  <c r="G528" i="3"/>
  <c r="G527" i="3"/>
  <c r="G526" i="3"/>
  <c r="G525" i="3"/>
  <c r="G524" i="3"/>
  <c r="G523" i="3"/>
  <c r="G522" i="3"/>
  <c r="G521" i="3"/>
  <c r="G520" i="3"/>
  <c r="G519" i="3"/>
  <c r="G518" i="3"/>
  <c r="G517" i="3"/>
  <c r="G516" i="3"/>
  <c r="G515" i="3"/>
  <c r="G514" i="3"/>
  <c r="G513" i="3"/>
  <c r="G512" i="3"/>
  <c r="G511" i="3"/>
  <c r="G510" i="3"/>
  <c r="G509" i="3"/>
  <c r="G508" i="3"/>
  <c r="G507" i="3"/>
  <c r="G506" i="3"/>
  <c r="G505" i="3"/>
  <c r="G504" i="3"/>
  <c r="G503" i="3"/>
  <c r="G502" i="3"/>
  <c r="G501" i="3"/>
  <c r="G500" i="3"/>
  <c r="G499" i="3"/>
  <c r="G498" i="3"/>
  <c r="G497" i="3"/>
  <c r="G496" i="3"/>
  <c r="G495" i="3"/>
  <c r="G494" i="3"/>
  <c r="G493" i="3"/>
  <c r="G492" i="3"/>
  <c r="G491" i="3"/>
  <c r="G490" i="3"/>
  <c r="G489" i="3"/>
  <c r="G488" i="3"/>
  <c r="G487" i="3"/>
  <c r="G486" i="3"/>
  <c r="G485" i="3"/>
  <c r="G484" i="3"/>
  <c r="G483" i="3"/>
  <c r="G482" i="3"/>
  <c r="G481" i="3"/>
  <c r="G480" i="3"/>
  <c r="G479" i="3"/>
  <c r="G478" i="3"/>
  <c r="G477" i="3"/>
  <c r="G476" i="3"/>
  <c r="G475" i="3"/>
  <c r="G474" i="3"/>
  <c r="G473" i="3"/>
  <c r="G472" i="3"/>
  <c r="G471" i="3"/>
  <c r="G470" i="3"/>
  <c r="G469" i="3"/>
  <c r="G468" i="3"/>
  <c r="G467" i="3"/>
  <c r="G466" i="3"/>
  <c r="G465" i="3"/>
  <c r="G464" i="3"/>
  <c r="G463" i="3"/>
  <c r="G462" i="3"/>
  <c r="G461" i="3"/>
  <c r="G460" i="3"/>
  <c r="G459" i="3"/>
  <c r="G458" i="3"/>
  <c r="G457" i="3"/>
  <c r="G456" i="3"/>
  <c r="G455" i="3"/>
  <c r="G454" i="3"/>
  <c r="G453" i="3"/>
  <c r="G452" i="3"/>
  <c r="G451" i="3"/>
  <c r="G450" i="3"/>
  <c r="G449" i="3"/>
  <c r="G448" i="3"/>
  <c r="G447" i="3"/>
  <c r="G446" i="3"/>
  <c r="G445" i="3"/>
  <c r="G444" i="3"/>
  <c r="G443" i="3"/>
  <c r="G442" i="3"/>
  <c r="G441" i="3"/>
  <c r="G440" i="3"/>
  <c r="G439" i="3"/>
  <c r="G438" i="3"/>
  <c r="G437" i="3"/>
  <c r="G436" i="3"/>
  <c r="G435" i="3"/>
  <c r="G434" i="3"/>
  <c r="G433" i="3"/>
  <c r="G432" i="3"/>
  <c r="G431" i="3"/>
  <c r="G430" i="3"/>
  <c r="G429" i="3"/>
  <c r="G428" i="3"/>
  <c r="G427" i="3"/>
  <c r="G426" i="3"/>
  <c r="G425" i="3"/>
  <c r="G424" i="3"/>
  <c r="G423" i="3"/>
  <c r="G422" i="3"/>
  <c r="G421" i="3"/>
  <c r="G420" i="3"/>
  <c r="G419" i="3"/>
  <c r="G418" i="3"/>
  <c r="G417" i="3"/>
  <c r="G416" i="3"/>
  <c r="G415" i="3"/>
  <c r="G414" i="3"/>
  <c r="G413" i="3"/>
  <c r="G412" i="3"/>
  <c r="G411" i="3"/>
  <c r="G410" i="3"/>
  <c r="G409" i="3"/>
  <c r="G408" i="3"/>
  <c r="G407" i="3"/>
  <c r="G406" i="3"/>
  <c r="G405" i="3"/>
  <c r="G404" i="3"/>
  <c r="G403" i="3"/>
  <c r="G402" i="3"/>
  <c r="G401" i="3"/>
  <c r="G400" i="3"/>
  <c r="G399" i="3"/>
  <c r="G398" i="3"/>
  <c r="G397" i="3"/>
  <c r="G396" i="3"/>
  <c r="G395" i="3"/>
  <c r="G394" i="3"/>
  <c r="G393" i="3"/>
  <c r="G392" i="3"/>
  <c r="G391" i="3"/>
  <c r="G390" i="3"/>
  <c r="G389" i="3"/>
  <c r="G388" i="3"/>
  <c r="G387" i="3"/>
  <c r="G386" i="3"/>
  <c r="G385" i="3"/>
  <c r="G384" i="3"/>
  <c r="G383" i="3"/>
  <c r="G382" i="3"/>
  <c r="G381" i="3"/>
  <c r="G380" i="3"/>
  <c r="G379" i="3"/>
  <c r="G378" i="3"/>
  <c r="G377" i="3"/>
  <c r="G376" i="3"/>
  <c r="G375" i="3"/>
  <c r="G374" i="3"/>
  <c r="G373" i="3"/>
  <c r="G372" i="3"/>
  <c r="G371" i="3"/>
  <c r="G370" i="3"/>
  <c r="G369" i="3"/>
  <c r="G368" i="3"/>
  <c r="G367" i="3"/>
  <c r="G366" i="3"/>
  <c r="G365" i="3"/>
  <c r="G364" i="3"/>
  <c r="G363" i="3"/>
  <c r="G362" i="3"/>
  <c r="G361" i="3"/>
  <c r="G360" i="3"/>
  <c r="G359" i="3"/>
  <c r="G358" i="3"/>
  <c r="G357" i="3"/>
  <c r="G356" i="3"/>
  <c r="G355" i="3"/>
  <c r="G354" i="3"/>
  <c r="G353" i="3"/>
  <c r="G352" i="3"/>
  <c r="G351" i="3"/>
  <c r="G350" i="3"/>
  <c r="G349" i="3"/>
  <c r="G348" i="3"/>
  <c r="G347" i="3"/>
  <c r="G346" i="3"/>
  <c r="G345" i="3"/>
  <c r="G344" i="3"/>
  <c r="G343" i="3"/>
  <c r="G342" i="3"/>
  <c r="G341" i="3"/>
  <c r="G340" i="3"/>
  <c r="G339" i="3"/>
  <c r="G338" i="3"/>
  <c r="G337" i="3"/>
  <c r="G336" i="3"/>
  <c r="G335" i="3"/>
  <c r="G334" i="3"/>
  <c r="G333" i="3"/>
  <c r="G332" i="3"/>
  <c r="G331" i="3"/>
  <c r="G330" i="3"/>
  <c r="G329" i="3"/>
  <c r="G328" i="3"/>
  <c r="G327" i="3"/>
  <c r="G326" i="3"/>
  <c r="G325" i="3"/>
  <c r="G324" i="3"/>
  <c r="G323" i="3"/>
  <c r="G322" i="3"/>
  <c r="G321" i="3"/>
  <c r="G320" i="3"/>
  <c r="G319" i="3"/>
  <c r="G318" i="3"/>
  <c r="G317" i="3"/>
  <c r="G316" i="3"/>
  <c r="G315" i="3"/>
  <c r="G314" i="3"/>
  <c r="G313" i="3"/>
  <c r="G312" i="3"/>
  <c r="G311" i="3"/>
  <c r="G310" i="3"/>
  <c r="G309" i="3"/>
  <c r="G308" i="3"/>
  <c r="G307" i="3"/>
  <c r="G306" i="3"/>
  <c r="G305" i="3"/>
  <c r="G304" i="3"/>
  <c r="G303" i="3"/>
  <c r="G302" i="3"/>
  <c r="G301" i="3"/>
  <c r="G300" i="3"/>
  <c r="G299" i="3"/>
  <c r="G298" i="3"/>
  <c r="G297" i="3"/>
  <c r="G296" i="3"/>
  <c r="G295" i="3"/>
  <c r="G294" i="3"/>
  <c r="G293" i="3"/>
  <c r="G292" i="3"/>
  <c r="G291" i="3"/>
  <c r="G290" i="3"/>
  <c r="G289" i="3"/>
  <c r="G288" i="3"/>
  <c r="G287" i="3"/>
  <c r="G286" i="3"/>
  <c r="G285" i="3"/>
  <c r="G284" i="3"/>
  <c r="G283" i="3"/>
  <c r="G282" i="3"/>
  <c r="G281" i="3"/>
  <c r="G280" i="3"/>
  <c r="G279" i="3"/>
  <c r="G278" i="3"/>
  <c r="G277" i="3"/>
  <c r="G276" i="3"/>
  <c r="G275" i="3"/>
  <c r="G274" i="3"/>
  <c r="G273" i="3"/>
  <c r="G272" i="3"/>
  <c r="G271" i="3"/>
  <c r="G270" i="3"/>
  <c r="G269" i="3"/>
  <c r="G268" i="3"/>
  <c r="G267" i="3"/>
  <c r="G266" i="3"/>
  <c r="G265" i="3"/>
  <c r="G264" i="3"/>
  <c r="G263" i="3"/>
  <c r="G262" i="3"/>
  <c r="G261" i="3"/>
  <c r="G260" i="3"/>
  <c r="G259" i="3"/>
  <c r="G258" i="3"/>
  <c r="G257" i="3"/>
  <c r="G256" i="3"/>
  <c r="G255" i="3"/>
  <c r="G254" i="3"/>
  <c r="G253" i="3"/>
  <c r="G252" i="3"/>
  <c r="G251" i="3"/>
  <c r="G250" i="3"/>
  <c r="G249" i="3"/>
  <c r="G248" i="3"/>
  <c r="G247" i="3"/>
  <c r="G246" i="3"/>
  <c r="G245" i="3"/>
  <c r="G244" i="3"/>
  <c r="G243" i="3"/>
  <c r="G242" i="3"/>
  <c r="G241" i="3"/>
  <c r="G240" i="3"/>
  <c r="G239" i="3"/>
  <c r="G238" i="3"/>
  <c r="G237" i="3"/>
  <c r="G236" i="3"/>
  <c r="G235" i="3"/>
  <c r="G234" i="3"/>
  <c r="G233" i="3"/>
  <c r="G232" i="3"/>
  <c r="G231" i="3"/>
  <c r="G230" i="3"/>
  <c r="G229" i="3"/>
  <c r="G228" i="3"/>
  <c r="G227" i="3"/>
  <c r="G226" i="3"/>
  <c r="G225" i="3"/>
  <c r="G224" i="3"/>
  <c r="G223" i="3"/>
  <c r="G222" i="3"/>
  <c r="G221" i="3"/>
  <c r="G220" i="3"/>
  <c r="G219" i="3"/>
  <c r="G218" i="3"/>
  <c r="G217" i="3"/>
  <c r="G216" i="3"/>
  <c r="G215" i="3"/>
  <c r="G214" i="3"/>
  <c r="G213" i="3"/>
  <c r="G212" i="3"/>
  <c r="G211" i="3"/>
  <c r="G210" i="3"/>
  <c r="G209" i="3"/>
  <c r="G208" i="3"/>
  <c r="G207" i="3"/>
  <c r="G206" i="3"/>
  <c r="G205" i="3"/>
  <c r="G204" i="3"/>
  <c r="G203" i="3"/>
  <c r="G202" i="3"/>
  <c r="G201" i="3"/>
  <c r="G200" i="3"/>
  <c r="G199" i="3"/>
  <c r="G198" i="3"/>
  <c r="G197" i="3"/>
  <c r="G196" i="3"/>
  <c r="G195" i="3"/>
  <c r="G194" i="3"/>
  <c r="G193" i="3"/>
  <c r="G192" i="3"/>
  <c r="G191" i="3"/>
  <c r="G190" i="3"/>
  <c r="G189" i="3"/>
  <c r="G188" i="3"/>
  <c r="G187" i="3"/>
  <c r="G186" i="3"/>
  <c r="G185" i="3"/>
  <c r="G184" i="3"/>
  <c r="G183" i="3"/>
  <c r="G182" i="3"/>
  <c r="G181" i="3"/>
  <c r="G180" i="3"/>
  <c r="G179" i="3"/>
  <c r="G178" i="3"/>
  <c r="G177" i="3"/>
  <c r="G176" i="3"/>
  <c r="G175" i="3"/>
  <c r="G174" i="3"/>
  <c r="G173" i="3"/>
  <c r="G172" i="3"/>
  <c r="G171" i="3"/>
  <c r="G170" i="3"/>
  <c r="G169" i="3"/>
  <c r="G168" i="3"/>
  <c r="G167" i="3"/>
  <c r="DG47" i="2" l="1"/>
  <c r="DG48" i="2" s="1"/>
  <c r="DG49" i="2"/>
  <c r="DF47" i="2"/>
  <c r="DF48" i="2" s="1"/>
  <c r="DF49" i="2"/>
  <c r="DG53" i="2"/>
  <c r="DG64" i="2" s="1"/>
  <c r="DE64" i="2"/>
  <c r="K224" i="3"/>
  <c r="K227" i="3"/>
  <c r="P237" i="3" s="1"/>
  <c r="K228" i="3"/>
  <c r="K229" i="3" s="1"/>
  <c r="K226" i="3"/>
  <c r="K225" i="3"/>
  <c r="DF53" i="2" l="1"/>
  <c r="DF64" i="2" s="1"/>
  <c r="P249" i="3"/>
  <c r="P240" i="3"/>
  <c r="M316" i="3"/>
  <c r="M308" i="3"/>
  <c r="M300" i="3"/>
  <c r="M292" i="3"/>
  <c r="M284" i="3"/>
  <c r="M276" i="3"/>
  <c r="M268" i="3"/>
  <c r="M260" i="3"/>
  <c r="M252" i="3"/>
  <c r="M244" i="3"/>
  <c r="M236" i="3"/>
  <c r="M295" i="3"/>
  <c r="M287" i="3"/>
  <c r="M263" i="3"/>
  <c r="M247" i="3"/>
  <c r="M261" i="3"/>
  <c r="M237" i="3"/>
  <c r="P248" i="3"/>
  <c r="P241" i="3"/>
  <c r="M315" i="3"/>
  <c r="M307" i="3"/>
  <c r="M299" i="3"/>
  <c r="M291" i="3"/>
  <c r="M283" i="3"/>
  <c r="M275" i="3"/>
  <c r="M267" i="3"/>
  <c r="M259" i="3"/>
  <c r="M251" i="3"/>
  <c r="M243" i="3"/>
  <c r="M311" i="3"/>
  <c r="P247" i="3"/>
  <c r="P239" i="3"/>
  <c r="M314" i="3"/>
  <c r="M306" i="3"/>
  <c r="M298" i="3"/>
  <c r="M290" i="3"/>
  <c r="M282" i="3"/>
  <c r="M274" i="3"/>
  <c r="M266" i="3"/>
  <c r="M258" i="3"/>
  <c r="M250" i="3"/>
  <c r="M242" i="3"/>
  <c r="M303" i="3"/>
  <c r="M279" i="3"/>
  <c r="M255" i="3"/>
  <c r="M239" i="3"/>
  <c r="M269" i="3"/>
  <c r="P246" i="3"/>
  <c r="P238" i="3"/>
  <c r="M313" i="3"/>
  <c r="M305" i="3"/>
  <c r="M297" i="3"/>
  <c r="M289" i="3"/>
  <c r="M281" i="3"/>
  <c r="M273" i="3"/>
  <c r="M265" i="3"/>
  <c r="M257" i="3"/>
  <c r="M249" i="3"/>
  <c r="M241" i="3"/>
  <c r="P245" i="3"/>
  <c r="P236" i="3"/>
  <c r="M312" i="3"/>
  <c r="M304" i="3"/>
  <c r="M296" i="3"/>
  <c r="M288" i="3"/>
  <c r="M280" i="3"/>
  <c r="M272" i="3"/>
  <c r="M264" i="3"/>
  <c r="M256" i="3"/>
  <c r="M248" i="3"/>
  <c r="M240" i="3"/>
  <c r="P244" i="3"/>
  <c r="M271" i="3"/>
  <c r="M253" i="3"/>
  <c r="P243" i="3"/>
  <c r="M318" i="3"/>
  <c r="M310" i="3"/>
  <c r="M302" i="3"/>
  <c r="M294" i="3"/>
  <c r="M286" i="3"/>
  <c r="M278" i="3"/>
  <c r="M270" i="3"/>
  <c r="M262" i="3"/>
  <c r="M254" i="3"/>
  <c r="M246" i="3"/>
  <c r="M238" i="3"/>
  <c r="P242" i="3"/>
  <c r="M317" i="3"/>
  <c r="M309" i="3"/>
  <c r="M301" i="3"/>
  <c r="M293" i="3"/>
  <c r="M285" i="3"/>
  <c r="M277" i="3"/>
  <c r="M245" i="3"/>
  <c r="CH3" i="2" l="1"/>
  <c r="CI3" i="2" s="1"/>
  <c r="CJ3" i="2" s="1"/>
  <c r="CK3" i="2" s="1"/>
  <c r="CL3" i="2" s="1"/>
  <c r="CM3" i="2" s="1"/>
  <c r="CN3" i="2" s="1"/>
  <c r="CO3" i="2" s="1"/>
  <c r="CP3" i="2" s="1"/>
  <c r="CQ3" i="2" s="1"/>
  <c r="CR3" i="2" s="1"/>
  <c r="CS3" i="2" s="1"/>
  <c r="CT3" i="2" s="1"/>
  <c r="CU3" i="2" s="1"/>
  <c r="CV3" i="2" s="1"/>
  <c r="CW3" i="2" s="1"/>
  <c r="CX3" i="2" s="1"/>
  <c r="CY3" i="2" s="1"/>
  <c r="CZ3" i="2" s="1"/>
  <c r="DA3" i="2" s="1"/>
  <c r="DB3" i="2" s="1"/>
  <c r="DC3" i="2" s="1"/>
  <c r="DD3" i="2" s="1"/>
  <c r="DE3" i="2" s="1"/>
  <c r="DF3" i="2" s="1"/>
  <c r="DG3" i="2" s="1"/>
  <c r="DH3" i="2" s="1"/>
  <c r="DI3" i="2" s="1"/>
  <c r="DJ3" i="2" s="1"/>
  <c r="DK3" i="2" s="1"/>
  <c r="DL3" i="2" s="1"/>
  <c r="DM3" i="2" s="1"/>
  <c r="DN3" i="2" s="1"/>
  <c r="DO3" i="2" s="1"/>
  <c r="DP3" i="2" s="1"/>
  <c r="DQ3" i="2" s="1"/>
  <c r="DR3" i="2" s="1"/>
  <c r="DS3" i="2" s="1"/>
  <c r="DT3" i="2" s="1"/>
  <c r="DU3" i="2" s="1"/>
  <c r="DV3" i="2" s="1"/>
  <c r="DW3" i="2" s="1"/>
  <c r="DX3" i="2" s="1"/>
  <c r="DY3" i="2" s="1"/>
  <c r="DZ3" i="2" s="1"/>
  <c r="EA3" i="2" s="1"/>
  <c r="EB3" i="2" s="1"/>
  <c r="EC3" i="2" s="1"/>
  <c r="ED3" i="2" s="1"/>
  <c r="EE3" i="2" s="1"/>
  <c r="EF3" i="2" s="1"/>
  <c r="EG3" i="2" s="1"/>
  <c r="EH3" i="2" s="1"/>
  <c r="EI3" i="2" s="1"/>
  <c r="EJ3" i="2" s="1"/>
  <c r="EK3" i="2" s="1"/>
  <c r="EL3" i="2" s="1"/>
  <c r="EM3" i="2" s="1"/>
  <c r="EN3" i="2" s="1"/>
  <c r="EO3" i="2" s="1"/>
  <c r="EP3" i="2" s="1"/>
  <c r="EQ3" i="2" s="1"/>
  <c r="C8" i="1" l="1"/>
  <c r="C9" i="1"/>
  <c r="C7" i="1"/>
  <c r="C10" i="1" l="1"/>
  <c r="BP48" i="2" l="1"/>
  <c r="BP53" i="2" l="1"/>
  <c r="CW53" i="2" s="1"/>
  <c r="CW64" i="2" s="1"/>
  <c r="CW48" i="2"/>
  <c r="CW61" i="2" s="1"/>
  <c r="BP61" i="2"/>
  <c r="BP55" i="2" l="1"/>
  <c r="CW55" i="2" s="1"/>
  <c r="CW65" i="2" s="1"/>
  <c r="BP64" i="2"/>
  <c r="BP57" i="2" l="1"/>
  <c r="BP65" i="2"/>
  <c r="BP103" i="2"/>
  <c r="CW103" i="2" s="1"/>
  <c r="CW57" i="2"/>
  <c r="BP100" i="2"/>
  <c r="BP101" i="2"/>
  <c r="BP59" i="2"/>
  <c r="CW59" i="2" s="1"/>
  <c r="BP66" i="2"/>
  <c r="CW101" i="2" l="1"/>
  <c r="CW66" i="2"/>
  <c r="CX15" i="2" l="1"/>
  <c r="CX32" i="2" l="1"/>
  <c r="CY32" i="2"/>
  <c r="CX16" i="2"/>
  <c r="CX18" i="2" s="1"/>
  <c r="CX33" i="2" l="1"/>
  <c r="CX46" i="2"/>
  <c r="CX49" i="2" s="1"/>
  <c r="CY33" i="2"/>
  <c r="CX19" i="2"/>
  <c r="CX50" i="2"/>
  <c r="CX47" i="2"/>
  <c r="CX48" i="2" s="1"/>
  <c r="CX53" i="2" l="1"/>
  <c r="CX64" i="2" s="1"/>
  <c r="CY54" i="2"/>
  <c r="CZ54" i="2" s="1"/>
  <c r="DA54" i="2" s="1"/>
  <c r="CX56" i="2" l="1"/>
  <c r="CX57" i="2" s="1"/>
  <c r="CX69" i="2" s="1"/>
  <c r="CY55" i="2"/>
  <c r="CY56" i="2" s="1"/>
  <c r="CY57" i="2" s="1"/>
  <c r="DB54" i="2"/>
  <c r="DA55" i="2"/>
  <c r="CZ55" i="2"/>
  <c r="CX66" i="2" l="1"/>
  <c r="CY66" i="2"/>
  <c r="CY69" i="2"/>
  <c r="CZ56" i="2"/>
  <c r="CZ57" i="2" s="1"/>
  <c r="DC54" i="2"/>
  <c r="DB55" i="2"/>
  <c r="DA56" i="2"/>
  <c r="DA57" i="2" s="1"/>
  <c r="CZ66" i="2" l="1"/>
  <c r="CZ69" i="2"/>
  <c r="DA69" i="2" s="1"/>
  <c r="DA66" i="2"/>
  <c r="DB56" i="2"/>
  <c r="DB57" i="2" s="1"/>
  <c r="DC55" i="2"/>
  <c r="DD54" i="2"/>
  <c r="DB66" i="2" l="1"/>
  <c r="DB69" i="2"/>
  <c r="DE54" i="2"/>
  <c r="DD55" i="2"/>
  <c r="DC56" i="2"/>
  <c r="DC57" i="2" s="1"/>
  <c r="DC66" i="2" l="1"/>
  <c r="DD56" i="2"/>
  <c r="DD57" i="2" s="1"/>
  <c r="DC69" i="2"/>
  <c r="DF54" i="2"/>
  <c r="DE55" i="2"/>
  <c r="DD69" i="2" l="1"/>
  <c r="DE56" i="2"/>
  <c r="DE57" i="2" s="1"/>
  <c r="DF55" i="2"/>
  <c r="DG54" i="2"/>
  <c r="DG55" i="2" s="1"/>
  <c r="DD66" i="2"/>
  <c r="DE69" i="2" l="1"/>
  <c r="DG56" i="2"/>
  <c r="DG57" i="2" s="1"/>
  <c r="DF56" i="2"/>
  <c r="DF57" i="2" s="1"/>
  <c r="DE66" i="2"/>
  <c r="DF66" i="2" l="1"/>
  <c r="DF69" i="2"/>
  <c r="DG69" i="2" s="1"/>
  <c r="DG66" i="2"/>
  <c r="DH57" i="2"/>
  <c r="DI57" i="2" s="1"/>
  <c r="DJ57" i="2" s="1"/>
  <c r="DK57" i="2" s="1"/>
  <c r="DL57" i="2" s="1"/>
  <c r="DM57" i="2" s="1"/>
  <c r="DN57" i="2" s="1"/>
  <c r="DO57" i="2" s="1"/>
  <c r="DP57" i="2" s="1"/>
  <c r="DQ57" i="2" s="1"/>
  <c r="DR57" i="2" s="1"/>
  <c r="DS57" i="2" s="1"/>
  <c r="DT57" i="2" s="1"/>
  <c r="DU57" i="2" s="1"/>
  <c r="DV57" i="2" s="1"/>
  <c r="DW57" i="2" s="1"/>
  <c r="DX57" i="2" s="1"/>
  <c r="DY57" i="2" s="1"/>
  <c r="DZ57" i="2" s="1"/>
  <c r="EA57" i="2" s="1"/>
  <c r="EB57" i="2" s="1"/>
  <c r="EC57" i="2" s="1"/>
  <c r="ED57" i="2" s="1"/>
  <c r="EE57" i="2" s="1"/>
  <c r="EF57" i="2" s="1"/>
  <c r="EG57" i="2" s="1"/>
  <c r="EH57" i="2" s="1"/>
  <c r="EI57" i="2" s="1"/>
  <c r="EJ57" i="2" s="1"/>
  <c r="EK57" i="2" s="1"/>
  <c r="EL57" i="2" s="1"/>
  <c r="EM57" i="2" s="1"/>
  <c r="EN57" i="2" s="1"/>
  <c r="EO57" i="2" s="1"/>
  <c r="EP57" i="2" s="1"/>
  <c r="EQ57" i="2" s="1"/>
  <c r="CZ79" i="2" s="1"/>
  <c r="CZ81" i="2" l="1"/>
  <c r="CZ83" i="2" l="1"/>
  <c r="DA8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tc={B73E8F09-4483-44D4-8FAB-04B07331A40D}</author>
    <author>tc={FCD57C05-7E15-43F2-9D23-7D89C5835AFE}</author>
    <author>tc={EAA41F25-B890-47BB-BF2F-C44CFB9DAE24}</author>
    <author>tc={26C0E68D-257F-418A-8C95-62FF75E244F1}</author>
    <author>tc={68098368-EB45-4F80-87CC-2A8A02B1EFFE}</author>
    <author>tc={F3689BE9-7E93-4276-A01F-53E0158AD985}</author>
  </authors>
  <commentList>
    <comment ref="CX46" authorId="0" shapeId="0" xr:uid="{B73E8F09-4483-44D4-8FAB-04B07331A40D}">
      <text>
        <t>[Threaded comment]
Your version of Excel allows you to read this threaded comment; however, any edits to it will get removed if the file is opened in a newer version of Excel. Learn more: https://go.microsoft.com/fwlink/?linkid=870924
Comment:
    FYE: $24.77B</t>
      </text>
    </comment>
    <comment ref="CY46" authorId="1" shapeId="0" xr:uid="{FCD57C05-7E15-43F2-9D23-7D89C5835AFE}">
      <text>
        <t>[Threaded comment]
Your version of Excel allows you to read this threaded comment; however, any edits to it will get removed if the file is opened in a newer version of Excel. Learn more: https://go.microsoft.com/fwlink/?linkid=870924
Comment:
    FYE: $26.86B</t>
      </text>
    </comment>
    <comment ref="CX57" authorId="2" shapeId="0" xr:uid="{EAA41F25-B890-47BB-BF2F-C44CFB9DAE24}">
      <text>
        <t>[Threaded comment]
Your version of Excel allows you to read this threaded comment; however, any edits to it will get removed if the file is opened in a newer version of Excel. Learn more: https://go.microsoft.com/fwlink/?linkid=870924
Comment:
    FYE: $4.20B</t>
      </text>
    </comment>
    <comment ref="CY57" authorId="3" shapeId="0" xr:uid="{26C0E68D-257F-418A-8C95-62FF75E244F1}">
      <text>
        <t>[Threaded comment]
Your version of Excel allows you to read this threaded comment; however, any edits to it will get removed if the file is opened in a newer version of Excel. Learn more: https://go.microsoft.com/fwlink/?linkid=870924
Comment:
    FYE: $4.88B</t>
      </text>
    </comment>
    <comment ref="CX59" authorId="4" shapeId="0" xr:uid="{68098368-EB45-4F80-87CC-2A8A02B1EFFE}">
      <text>
        <t>[Threaded comment]
Your version of Excel allows you to read this threaded comment; however, any edits to it will get removed if the file is opened in a newer version of Excel. Learn more: https://go.microsoft.com/fwlink/?linkid=870924
Comment:
    Low: 13.22 High: 13.45 Avg: 13.34</t>
      </text>
    </comment>
    <comment ref="CY59" authorId="5" shapeId="0" xr:uid="{F3689BE9-7E93-4276-A01F-53E0158AD985}">
      <text>
        <t>[Threaded comment]
Your version of Excel allows you to read this threaded comment; however, any edits to it will get removed if the file is opened in a newer version of Excel. Learn more: https://go.microsoft.com/fwlink/?linkid=870924
Comment:
    Low: 14.15 High: 15.25 Avg: 14.82</t>
      </text>
    </comment>
  </commentList>
</comments>
</file>

<file path=xl/sharedStrings.xml><?xml version="1.0" encoding="utf-8"?>
<sst xmlns="http://schemas.openxmlformats.org/spreadsheetml/2006/main" count="1681" uniqueCount="1620">
  <si>
    <t xml:space="preserve">Price </t>
  </si>
  <si>
    <t>FQ1'25</t>
  </si>
  <si>
    <t>MC</t>
  </si>
  <si>
    <t>Cash</t>
  </si>
  <si>
    <t>Debt</t>
  </si>
  <si>
    <t>EV</t>
  </si>
  <si>
    <t>SO</t>
  </si>
  <si>
    <t>SYK</t>
  </si>
  <si>
    <t>Master</t>
  </si>
  <si>
    <t>2000s</t>
  </si>
  <si>
    <t>2010s</t>
  </si>
  <si>
    <t>2020s</t>
  </si>
  <si>
    <t>Institutional Ownership Snapshot (4/14/2025)</t>
  </si>
  <si>
    <t>Stryker’s Major Acquisitions (1990s–Present)</t>
  </si>
  <si>
    <t>SG&amp;A as % of Revenue</t>
  </si>
  <si>
    <t>R&amp;D as % of Revenue</t>
  </si>
  <si>
    <t>Net Profit Margin</t>
  </si>
  <si>
    <t>Operating Profit Margin</t>
  </si>
  <si>
    <t>Gross Profit Margin</t>
  </si>
  <si>
    <t>Net Income</t>
  </si>
  <si>
    <t>Income Taxes</t>
  </si>
  <si>
    <t>Pretax Income</t>
  </si>
  <si>
    <t>Operating Income</t>
  </si>
  <si>
    <t>COGS</t>
  </si>
  <si>
    <t>Q4 2024</t>
  </si>
  <si>
    <t>Q3 2024</t>
  </si>
  <si>
    <t>Q2 2024</t>
  </si>
  <si>
    <t>Q1 2024</t>
  </si>
  <si>
    <t>Q4 2023</t>
  </si>
  <si>
    <t>Q3 2023</t>
  </si>
  <si>
    <t>Q2 2023</t>
  </si>
  <si>
    <t>Q1 2023</t>
  </si>
  <si>
    <t>Q4 2022</t>
  </si>
  <si>
    <t>Q3 2022</t>
  </si>
  <si>
    <t>Q2 2022</t>
  </si>
  <si>
    <t>Q1 2022</t>
  </si>
  <si>
    <t>Q4 2021</t>
  </si>
  <si>
    <t>Q3 2021</t>
  </si>
  <si>
    <t>Q2 2021</t>
  </si>
  <si>
    <t>Q1 2021</t>
  </si>
  <si>
    <t>Q4 2020</t>
  </si>
  <si>
    <t>Q3 2020</t>
  </si>
  <si>
    <t>Q2 2020</t>
  </si>
  <si>
    <t>Q1 2020</t>
  </si>
  <si>
    <t>Q4 2019</t>
  </si>
  <si>
    <t>Q3 2019</t>
  </si>
  <si>
    <t>Q2 2019</t>
  </si>
  <si>
    <t>Q1 2019</t>
  </si>
  <si>
    <t>Q4 2018</t>
  </si>
  <si>
    <t>Q3 2018</t>
  </si>
  <si>
    <t>Q2 2018</t>
  </si>
  <si>
    <t>Q1 2018</t>
  </si>
  <si>
    <t>Q4 2017</t>
  </si>
  <si>
    <t>Q3 2017</t>
  </si>
  <si>
    <t>Q2 2017</t>
  </si>
  <si>
    <t>Q1 2017</t>
  </si>
  <si>
    <t>Q4 2016</t>
  </si>
  <si>
    <t>Q3 2016</t>
  </si>
  <si>
    <t>Q2 2016</t>
  </si>
  <si>
    <t>Q1 2016</t>
  </si>
  <si>
    <t>Q4 2015</t>
  </si>
  <si>
    <t>Q3 2015</t>
  </si>
  <si>
    <t>Q2 2015</t>
  </si>
  <si>
    <t>Q1 2015</t>
  </si>
  <si>
    <t>Q4 2014</t>
  </si>
  <si>
    <t>Q3 2014</t>
  </si>
  <si>
    <t>Q2 2014</t>
  </si>
  <si>
    <t>Q1 2014</t>
  </si>
  <si>
    <t>Q4 2013</t>
  </si>
  <si>
    <t>Q3 2013</t>
  </si>
  <si>
    <t>Q2 2013</t>
  </si>
  <si>
    <t>Q1 2013</t>
  </si>
  <si>
    <t>Q4 2012</t>
  </si>
  <si>
    <t>Q3 2012</t>
  </si>
  <si>
    <t>Q2 2012</t>
  </si>
  <si>
    <t>Q1 2012</t>
  </si>
  <si>
    <t>Q4 2011</t>
  </si>
  <si>
    <t>Q3 2011</t>
  </si>
  <si>
    <t>Q2 2011</t>
  </si>
  <si>
    <t>Q1 2011</t>
  </si>
  <si>
    <t>Q4 2010</t>
  </si>
  <si>
    <t>Q3 2010</t>
  </si>
  <si>
    <t>Q2 2010</t>
  </si>
  <si>
    <t>Q1 2010</t>
  </si>
  <si>
    <t>Q4 2009</t>
  </si>
  <si>
    <t>Q3 2009</t>
  </si>
  <si>
    <t>Q2 2009</t>
  </si>
  <si>
    <t>Q1 2009</t>
  </si>
  <si>
    <t>Q3 2008</t>
  </si>
  <si>
    <t>Q2 2008</t>
  </si>
  <si>
    <t>Quarterly</t>
  </si>
  <si>
    <t>Vocera Communications (2022, ~$3.09B) – Hospital communication systems.</t>
  </si>
  <si>
    <t>Sight Sciences (2023, partial stake) – Glaucoma &amp; ocular surgery tech.</t>
  </si>
  <si>
    <t>Inari Medical (2025, ~$4.9B) – Thrombectomy &amp; embolism mechanical devices</t>
  </si>
  <si>
    <t>Total Revenues, Net Income, FCF</t>
  </si>
  <si>
    <t>Mon, 05 Apr 2021 00:00:00 GMT</t>
  </si>
  <si>
    <t>Tue, 06 Apr 2021 00:00:00 GMT</t>
  </si>
  <si>
    <t>Wed, 07 Apr 2021 00:00:00 GMT</t>
  </si>
  <si>
    <t>Thu, 08 Apr 2021 00:00:00 GMT</t>
  </si>
  <si>
    <t>Fri, 09 Apr 2021 00:00:00 GMT</t>
  </si>
  <si>
    <t>Mon, 12 Apr 2021 00:00:00 GMT</t>
  </si>
  <si>
    <t>Tue, 13 Apr 2021 00:00:00 GMT</t>
  </si>
  <si>
    <t>Wed, 14 Apr 2021 00:00:00 GMT</t>
  </si>
  <si>
    <t>Thu, 15 Apr 2021 00:00:00 GMT</t>
  </si>
  <si>
    <t>Fri, 16 Apr 2021 00:00:00 GMT</t>
  </si>
  <si>
    <t>Mon, 19 Apr 2021 00:00:00 GMT</t>
  </si>
  <si>
    <t>Tue, 20 Apr 2021 00:00:00 GMT</t>
  </si>
  <si>
    <t>Wed, 21 Apr 2021 00:00:00 GMT</t>
  </si>
  <si>
    <t>Thu, 22 Apr 2021 00:00:00 GMT</t>
  </si>
  <si>
    <t>Fri, 23 Apr 2021 00:00:00 GMT</t>
  </si>
  <si>
    <t>Mon, 26 Apr 2021 00:00:00 GMT</t>
  </si>
  <si>
    <t>Tue, 27 Apr 2021 00:00:00 GMT</t>
  </si>
  <si>
    <t>Wed, 28 Apr 2021 00:00:00 GMT</t>
  </si>
  <si>
    <t>Thu, 29 Apr 2021 00:00:00 GMT</t>
  </si>
  <si>
    <t>Fri, 30 Apr 2021 00:00:00 GMT</t>
  </si>
  <si>
    <t>Mon, 03 May 2021 00:00:00 GMT</t>
  </si>
  <si>
    <t>Tue, 04 May 2021 00:00:00 GMT</t>
  </si>
  <si>
    <t>Wed, 05 May 2021 00:00:00 GMT</t>
  </si>
  <si>
    <t>Thu, 06 May 2021 00:00:00 GMT</t>
  </si>
  <si>
    <t>Fri, 07 May 2021 00:00:00 GMT</t>
  </si>
  <si>
    <t>Mon, 10 May 2021 00:00:00 GMT</t>
  </si>
  <si>
    <t>Tue, 11 May 2021 00:00:00 GMT</t>
  </si>
  <si>
    <t>Wed, 12 May 2021 00:00:00 GMT</t>
  </si>
  <si>
    <t>Thu, 13 May 2021 00:00:00 GMT</t>
  </si>
  <si>
    <t>Fri, 14 May 2021 00:00:00 GMT</t>
  </si>
  <si>
    <t>Mon, 17 May 2021 00:00:00 GMT</t>
  </si>
  <si>
    <t>Tue, 18 May 2021 00:00:00 GMT</t>
  </si>
  <si>
    <t>Wed, 19 May 2021 00:00:00 GMT</t>
  </si>
  <si>
    <t>Thu, 20 May 2021 00:00:00 GMT</t>
  </si>
  <si>
    <t>Fri, 21 May 2021 00:00:00 GMT</t>
  </si>
  <si>
    <t>Mon, 24 May 2021 00:00:00 GMT</t>
  </si>
  <si>
    <t>Tue, 25 May 2021 00:00:00 GMT</t>
  </si>
  <si>
    <t>Wed, 26 May 2021 00:00:00 GMT</t>
  </si>
  <si>
    <t>Thu, 27 May 2021 00:00:00 GMT</t>
  </si>
  <si>
    <t>Fri, 28 May 2021 00:00:00 GMT</t>
  </si>
  <si>
    <t>Tue, 01 Jun 2021 00:00:00 GMT</t>
  </si>
  <si>
    <t>Wed, 02 Jun 2021 00:00:00 GMT</t>
  </si>
  <si>
    <t>Thu, 03 Jun 2021 00:00:00 GMT</t>
  </si>
  <si>
    <t>Fri, 04 Jun 2021 00:00:00 GMT</t>
  </si>
  <si>
    <t>Mon, 07 Jun 2021 00:00:00 GMT</t>
  </si>
  <si>
    <t>Tue, 08 Jun 2021 00:00:00 GMT</t>
  </si>
  <si>
    <t>Wed, 09 Jun 2021 00:00:00 GMT</t>
  </si>
  <si>
    <t>Thu, 10 Jun 2021 00:00:00 GMT</t>
  </si>
  <si>
    <t>Fri, 11 Jun 2021 00:00:00 GMT</t>
  </si>
  <si>
    <t>Mon, 14 Jun 2021 00:00:00 GMT</t>
  </si>
  <si>
    <t>Tue, 15 Jun 2021 00:00:00 GMT</t>
  </si>
  <si>
    <t>Wed, 16 Jun 2021 00:00:00 GMT</t>
  </si>
  <si>
    <t>Thu, 17 Jun 2021 00:00:00 GMT</t>
  </si>
  <si>
    <t>Fri, 18 Jun 2021 00:00:00 GMT</t>
  </si>
  <si>
    <t>Mon, 21 Jun 2021 00:00:00 GMT</t>
  </si>
  <si>
    <t>Tue, 22 Jun 2021 00:00:00 GMT</t>
  </si>
  <si>
    <t>Wed, 23 Jun 2021 00:00:00 GMT</t>
  </si>
  <si>
    <t>Thu, 24 Jun 2021 00:00:00 GMT</t>
  </si>
  <si>
    <t>Fri, 25 Jun 2021 00:00:00 GMT</t>
  </si>
  <si>
    <t>Mon, 28 Jun 2021 00:00:00 GMT</t>
  </si>
  <si>
    <t>Tue, 29 Jun 2021 00:00:00 GMT</t>
  </si>
  <si>
    <t>Wed, 30 Jun 2021 00:00:00 GMT</t>
  </si>
  <si>
    <t>Thu, 01 Jul 2021 00:00:00 GMT</t>
  </si>
  <si>
    <t>Fri, 02 Jul 2021 00:00:00 GMT</t>
  </si>
  <si>
    <t>Tue, 06 Jul 2021 00:00:00 GMT</t>
  </si>
  <si>
    <t>Wed, 07 Jul 2021 00:00:00 GMT</t>
  </si>
  <si>
    <t>Thu, 08 Jul 2021 00:00:00 GMT</t>
  </si>
  <si>
    <t>Fri, 09 Jul 2021 00:00:00 GMT</t>
  </si>
  <si>
    <t>Mon, 12 Jul 2021 00:00:00 GMT</t>
  </si>
  <si>
    <t>Tue, 13 Jul 2021 00:00:00 GMT</t>
  </si>
  <si>
    <t>Wed, 14 Jul 2021 00:00:00 GMT</t>
  </si>
  <si>
    <t>Thu, 15 Jul 2021 00:00:00 GMT</t>
  </si>
  <si>
    <t>Fri, 16 Jul 2021 00:00:00 GMT</t>
  </si>
  <si>
    <t>Mon, 19 Jul 2021 00:00:00 GMT</t>
  </si>
  <si>
    <t>Tue, 20 Jul 2021 00:00:00 GMT</t>
  </si>
  <si>
    <t>Wed, 21 Jul 2021 00:00:00 GMT</t>
  </si>
  <si>
    <t>Thu, 22 Jul 2021 00:00:00 GMT</t>
  </si>
  <si>
    <t>Fri, 23 Jul 2021 00:00:00 GMT</t>
  </si>
  <si>
    <t>Mon, 26 Jul 2021 00:00:00 GMT</t>
  </si>
  <si>
    <t>Tue, 27 Jul 2021 00:00:00 GMT</t>
  </si>
  <si>
    <t>Wed, 28 Jul 2021 00:00:00 GMT</t>
  </si>
  <si>
    <t>Thu, 29 Jul 2021 00:00:00 GMT</t>
  </si>
  <si>
    <t>Fri, 30 Jul 2021 00:00:00 GMT</t>
  </si>
  <si>
    <t>Mon, 02 Aug 2021 00:00:00 GMT</t>
  </si>
  <si>
    <t>Tue, 03 Aug 2021 00:00:00 GMT</t>
  </si>
  <si>
    <t>Wed, 04 Aug 2021 00:00:00 GMT</t>
  </si>
  <si>
    <t>Thu, 05 Aug 2021 00:00:00 GMT</t>
  </si>
  <si>
    <t>Fri, 06 Aug 2021 00:00:00 GMT</t>
  </si>
  <si>
    <t>Mon, 09 Aug 2021 00:00:00 GMT</t>
  </si>
  <si>
    <t>Tue, 10 Aug 2021 00:00:00 GMT</t>
  </si>
  <si>
    <t>Wed, 11 Aug 2021 00:00:00 GMT</t>
  </si>
  <si>
    <t>Thu, 12 Aug 2021 00:00:00 GMT</t>
  </si>
  <si>
    <t>Fri, 13 Aug 2021 00:00:00 GMT</t>
  </si>
  <si>
    <t>Mon, 16 Aug 2021 00:00:00 GMT</t>
  </si>
  <si>
    <t>Tue, 17 Aug 2021 00:00:00 GMT</t>
  </si>
  <si>
    <t>Wed, 18 Aug 2021 00:00:00 GMT</t>
  </si>
  <si>
    <t>Thu, 19 Aug 2021 00:00:00 GMT</t>
  </si>
  <si>
    <t>Fri, 20 Aug 2021 00:00:00 GMT</t>
  </si>
  <si>
    <t>Mon, 23 Aug 2021 00:00:00 GMT</t>
  </si>
  <si>
    <t>Tue, 24 Aug 2021 00:00:00 GMT</t>
  </si>
  <si>
    <t>Wed, 25 Aug 2021 00:00:00 GMT</t>
  </si>
  <si>
    <t>Thu, 26 Aug 2021 00:00:00 GMT</t>
  </si>
  <si>
    <t>Fri, 27 Aug 2021 00:00:00 GMT</t>
  </si>
  <si>
    <t>Mon, 30 Aug 2021 00:00:00 GMT</t>
  </si>
  <si>
    <t>Tue, 31 Aug 2021 00:00:00 GMT</t>
  </si>
  <si>
    <t>Wed, 01 Sep 2021 00:00:00 GMT</t>
  </si>
  <si>
    <t>Thu, 02 Sep 2021 00:00:00 GMT</t>
  </si>
  <si>
    <t>Fri, 03 Sep 2021 00:00:00 GMT</t>
  </si>
  <si>
    <t>Tue, 07 Sep 2021 00:00:00 GMT</t>
  </si>
  <si>
    <t>Wed, 08 Sep 2021 00:00:00 GMT</t>
  </si>
  <si>
    <t>Thu, 09 Sep 2021 00:00:00 GMT</t>
  </si>
  <si>
    <t>Fri, 10 Sep 2021 00:00:00 GMT</t>
  </si>
  <si>
    <t>Mon, 13 Sep 2021 00:00:00 GMT</t>
  </si>
  <si>
    <t>Tue, 14 Sep 2021 00:00:00 GMT</t>
  </si>
  <si>
    <t>Wed, 15 Sep 2021 00:00:00 GMT</t>
  </si>
  <si>
    <t>Thu, 16 Sep 2021 00:00:00 GMT</t>
  </si>
  <si>
    <t>Fri, 17 Sep 2021 00:00:00 GMT</t>
  </si>
  <si>
    <t>Mon, 20 Sep 2021 00:00:00 GMT</t>
  </si>
  <si>
    <t>Tue, 21 Sep 2021 00:00:00 GMT</t>
  </si>
  <si>
    <t>Wed, 22 Sep 2021 00:00:00 GMT</t>
  </si>
  <si>
    <t>Thu, 23 Sep 2021 00:00:00 GMT</t>
  </si>
  <si>
    <t>Fri, 24 Sep 2021 00:00:00 GMT</t>
  </si>
  <si>
    <t>Mon, 27 Sep 2021 00:00:00 GMT</t>
  </si>
  <si>
    <t>Tue, 28 Sep 2021 00:00:00 GMT</t>
  </si>
  <si>
    <t>Wed, 29 Sep 2021 00:00:00 GMT</t>
  </si>
  <si>
    <t>Thu, 30 Sep 2021 00:00:00 GMT</t>
  </si>
  <si>
    <t>Fri, 01 Oct 2021 00:00:00 GMT</t>
  </si>
  <si>
    <t>Mon, 04 Oct 2021 00:00:00 GMT</t>
  </si>
  <si>
    <t>Tue, 05 Oct 2021 00:00:00 GMT</t>
  </si>
  <si>
    <t>Wed, 06 Oct 2021 00:00:00 GMT</t>
  </si>
  <si>
    <t>Thu, 07 Oct 2021 00:00:00 GMT</t>
  </si>
  <si>
    <t>Fri, 08 Oct 2021 00:00:00 GMT</t>
  </si>
  <si>
    <t>Mon, 11 Oct 2021 00:00:00 GMT</t>
  </si>
  <si>
    <t>Tue, 12 Oct 2021 00:00:00 GMT</t>
  </si>
  <si>
    <t>Wed, 13 Oct 2021 00:00:00 GMT</t>
  </si>
  <si>
    <t>Thu, 14 Oct 2021 00:00:00 GMT</t>
  </si>
  <si>
    <t>Fri, 15 Oct 2021 00:00:00 GMT</t>
  </si>
  <si>
    <t>Mon, 18 Oct 2021 00:00:00 GMT</t>
  </si>
  <si>
    <t>Tue, 19 Oct 2021 00:00:00 GMT</t>
  </si>
  <si>
    <t>Wed, 20 Oct 2021 00:00:00 GMT</t>
  </si>
  <si>
    <t>Thu, 21 Oct 2021 00:00:00 GMT</t>
  </si>
  <si>
    <t>Fri, 22 Oct 2021 00:00:00 GMT</t>
  </si>
  <si>
    <t>Mon, 25 Oct 2021 00:00:00 GMT</t>
  </si>
  <si>
    <t>Tue, 26 Oct 2021 00:00:00 GMT</t>
  </si>
  <si>
    <t>Wed, 27 Oct 2021 00:00:00 GMT</t>
  </si>
  <si>
    <t>Thu, 28 Oct 2021 00:00:00 GMT</t>
  </si>
  <si>
    <t>Fri, 29 Oct 2021 00:00:00 GMT</t>
  </si>
  <si>
    <t>Mon, 01 Nov 2021 00:00:00 GMT</t>
  </si>
  <si>
    <t>Tue, 02 Nov 2021 00:00:00 GMT</t>
  </si>
  <si>
    <t>Wed, 03 Nov 2021 00:00:00 GMT</t>
  </si>
  <si>
    <t>Thu, 04 Nov 2021 00:00:00 GMT</t>
  </si>
  <si>
    <t>Fri, 05 Nov 2021 00:00:00 GMT</t>
  </si>
  <si>
    <t>Mon, 08 Nov 2021 00:00:00 GMT</t>
  </si>
  <si>
    <t>Tue, 09 Nov 2021 00:00:00 GMT</t>
  </si>
  <si>
    <t>Wed, 10 Nov 2021 00:00:00 GMT</t>
  </si>
  <si>
    <t>Thu, 11 Nov 2021 00:00:00 GMT</t>
  </si>
  <si>
    <t>Fri, 12 Nov 2021 00:00:00 GMT</t>
  </si>
  <si>
    <t>Mon, 15 Nov 2021 00:00:00 GMT</t>
  </si>
  <si>
    <t>Tue, 16 Nov 2021 00:00:00 GMT</t>
  </si>
  <si>
    <t>Wed, 17 Nov 2021 00:00:00 GMT</t>
  </si>
  <si>
    <t>Thu, 18 Nov 2021 00:00:00 GMT</t>
  </si>
  <si>
    <t>Fri, 19 Nov 2021 00:00:00 GMT</t>
  </si>
  <si>
    <t>Mon, 22 Nov 2021 00:00:00 GMT</t>
  </si>
  <si>
    <t>Tue, 23 Nov 2021 00:00:00 GMT</t>
  </si>
  <si>
    <t>Wed, 24 Nov 2021 00:00:00 GMT</t>
  </si>
  <si>
    <t>Fri, 26 Nov 2021 00:00:00 GMT</t>
  </si>
  <si>
    <t>Mon, 29 Nov 2021 00:00:00 GMT</t>
  </si>
  <si>
    <t>Tue, 30 Nov 2021 00:00:00 GMT</t>
  </si>
  <si>
    <t>Wed, 01 Dec 2021 00:00:00 GMT</t>
  </si>
  <si>
    <t>Thu, 02 Dec 2021 00:00:00 GMT</t>
  </si>
  <si>
    <t>Fri, 03 Dec 2021 00:00:00 GMT</t>
  </si>
  <si>
    <t>Mon, 06 Dec 2021 00:00:00 GMT</t>
  </si>
  <si>
    <t>Tue, 07 Dec 2021 00:00:00 GMT</t>
  </si>
  <si>
    <t>Wed, 08 Dec 2021 00:00:00 GMT</t>
  </si>
  <si>
    <t>Thu, 09 Dec 2021 00:00:00 GMT</t>
  </si>
  <si>
    <t>Fri, 10 Dec 2021 00:00:00 GMT</t>
  </si>
  <si>
    <t>Mon, 13 Dec 2021 00:00:00 GMT</t>
  </si>
  <si>
    <t>Tue, 14 Dec 2021 00:00:00 GMT</t>
  </si>
  <si>
    <t>Wed, 15 Dec 2021 00:00:00 GMT</t>
  </si>
  <si>
    <t>Thu, 16 Dec 2021 00:00:00 GMT</t>
  </si>
  <si>
    <t>Fri, 17 Dec 2021 00:00:00 GMT</t>
  </si>
  <si>
    <t>Mon, 20 Dec 2021 00:00:00 GMT</t>
  </si>
  <si>
    <t>Tue, 21 Dec 2021 00:00:00 GMT</t>
  </si>
  <si>
    <t>Wed, 22 Dec 2021 00:00:00 GMT</t>
  </si>
  <si>
    <t>Thu, 23 Dec 2021 00:00:00 GMT</t>
  </si>
  <si>
    <t>Mon, 27 Dec 2021 00:00:00 GMT</t>
  </si>
  <si>
    <t>Tue, 28 Dec 2021 00:00:00 GMT</t>
  </si>
  <si>
    <t>Wed, 29 Dec 2021 00:00:00 GMT</t>
  </si>
  <si>
    <t>Thu, 30 Dec 2021 00:00:00 GMT</t>
  </si>
  <si>
    <t>Fri, 31 Dec 2021 00:00:00 GMT</t>
  </si>
  <si>
    <t>Mon, 03 Jan 2022 00:00:00 GMT</t>
  </si>
  <si>
    <t>Tue, 04 Jan 2022 00:00:00 GMT</t>
  </si>
  <si>
    <t>Wed, 05 Jan 2022 00:00:00 GMT</t>
  </si>
  <si>
    <t>Thu, 06 Jan 2022 00:00:00 GMT</t>
  </si>
  <si>
    <t>Fri, 07 Jan 2022 00:00:00 GMT</t>
  </si>
  <si>
    <t>Mon, 10 Jan 2022 00:00:00 GMT</t>
  </si>
  <si>
    <t>Tue, 11 Jan 2022 00:00:00 GMT</t>
  </si>
  <si>
    <t>Wed, 12 Jan 2022 00:00:00 GMT</t>
  </si>
  <si>
    <t>Thu, 13 Jan 2022 00:00:00 GMT</t>
  </si>
  <si>
    <t>Fri, 14 Jan 2022 00:00:00 GMT</t>
  </si>
  <si>
    <t>Tue, 18 Jan 2022 00:00:00 GMT</t>
  </si>
  <si>
    <t>Wed, 19 Jan 2022 00:00:00 GMT</t>
  </si>
  <si>
    <t>Thu, 20 Jan 2022 00:00:00 GMT</t>
  </si>
  <si>
    <t>Fri, 21 Jan 2022 00:00:00 GMT</t>
  </si>
  <si>
    <t>Mon, 24 Jan 2022 00:00:00 GMT</t>
  </si>
  <si>
    <t>Tue, 25 Jan 2022 00:00:00 GMT</t>
  </si>
  <si>
    <t>Wed, 26 Jan 2022 00:00:00 GMT</t>
  </si>
  <si>
    <t>Thu, 27 Jan 2022 00:00:00 GMT</t>
  </si>
  <si>
    <t>Fri, 28 Jan 2022 00:00:00 GMT</t>
  </si>
  <si>
    <t>Mon, 31 Jan 2022 00:00:00 GMT</t>
  </si>
  <si>
    <t>Tue, 01 Feb 2022 00:00:00 GMT</t>
  </si>
  <si>
    <t>Wed, 02 Feb 2022 00:00:00 GMT</t>
  </si>
  <si>
    <t>Thu, 03 Feb 2022 00:00:00 GMT</t>
  </si>
  <si>
    <t>Fri, 04 Feb 2022 00:00:00 GMT</t>
  </si>
  <si>
    <t>Mon, 07 Feb 2022 00:00:00 GMT</t>
  </si>
  <si>
    <t>Tue, 08 Feb 2022 00:00:00 GMT</t>
  </si>
  <si>
    <t>Wed, 09 Feb 2022 00:00:00 GMT</t>
  </si>
  <si>
    <t>Thu, 10 Feb 2022 00:00:00 GMT</t>
  </si>
  <si>
    <t>Fri, 11 Feb 2022 00:00:00 GMT</t>
  </si>
  <si>
    <t>Mon, 14 Feb 2022 00:00:00 GMT</t>
  </si>
  <si>
    <t>Tue, 15 Feb 2022 00:00:00 GMT</t>
  </si>
  <si>
    <t>Wed, 16 Feb 2022 00:00:00 GMT</t>
  </si>
  <si>
    <t>Thu, 17 Feb 2022 00:00:00 GMT</t>
  </si>
  <si>
    <t>Fri, 18 Feb 2022 00:00:00 GMT</t>
  </si>
  <si>
    <t>Tue, 22 Feb 2022 00:00:00 GMT</t>
  </si>
  <si>
    <t>Wed, 23 Feb 2022 00:00:00 GMT</t>
  </si>
  <si>
    <t>Thu, 24 Feb 2022 00:00:00 GMT</t>
  </si>
  <si>
    <t>Fri, 25 Feb 2022 00:00:00 GMT</t>
  </si>
  <si>
    <t>Mon, 28 Feb 2022 00:00:00 GMT</t>
  </si>
  <si>
    <t>Tue, 01 Mar 2022 00:00:00 GMT</t>
  </si>
  <si>
    <t>Wed, 02 Mar 2022 00:00:00 GMT</t>
  </si>
  <si>
    <t>Thu, 03 Mar 2022 00:00:00 GMT</t>
  </si>
  <si>
    <t>Fri, 04 Mar 2022 00:00:00 GMT</t>
  </si>
  <si>
    <t>Mon, 07 Mar 2022 00:00:00 GMT</t>
  </si>
  <si>
    <t>Tue, 08 Mar 2022 00:00:00 GMT</t>
  </si>
  <si>
    <t>Wed, 09 Mar 2022 00:00:00 GMT</t>
  </si>
  <si>
    <t>Thu, 10 Mar 2022 00:00:00 GMT</t>
  </si>
  <si>
    <t>Fri, 11 Mar 2022 00:00:00 GMT</t>
  </si>
  <si>
    <t>Mon, 14 Mar 2022 00:00:00 GMT</t>
  </si>
  <si>
    <t>Tue, 15 Mar 2022 00:00:00 GMT</t>
  </si>
  <si>
    <t>Wed, 16 Mar 2022 00:00:00 GMT</t>
  </si>
  <si>
    <t>Thu, 17 Mar 2022 00:00:00 GMT</t>
  </si>
  <si>
    <t>Fri, 18 Mar 2022 00:00:00 GMT</t>
  </si>
  <si>
    <t>Mon, 21 Mar 2022 00:00:00 GMT</t>
  </si>
  <si>
    <t>Tue, 22 Mar 2022 00:00:00 GMT</t>
  </si>
  <si>
    <t>Wed, 23 Mar 2022 00:00:00 GMT</t>
  </si>
  <si>
    <t>Thu, 24 Mar 2022 00:00:00 GMT</t>
  </si>
  <si>
    <t>Fri, 25 Mar 2022 00:00:00 GMT</t>
  </si>
  <si>
    <t>Mon, 28 Mar 2022 00:00:00 GMT</t>
  </si>
  <si>
    <t>Tue, 29 Mar 2022 00:00:00 GMT</t>
  </si>
  <si>
    <t>Wed, 30 Mar 2022 00:00:00 GMT</t>
  </si>
  <si>
    <t>Thu, 31 Mar 2022 00:00:00 GMT</t>
  </si>
  <si>
    <t>Fri, 01 Apr 2022 00:00:00 GMT</t>
  </si>
  <si>
    <t>Mon, 04 Apr 2022 00:00:00 GMT</t>
  </si>
  <si>
    <t>Tue, 05 Apr 2022 00:00:00 GMT</t>
  </si>
  <si>
    <t>Wed, 06 Apr 2022 00:00:00 GMT</t>
  </si>
  <si>
    <t>Thu, 07 Apr 2022 00:00:00 GMT</t>
  </si>
  <si>
    <t>Fri, 08 Apr 2022 00:00:00 GMT</t>
  </si>
  <si>
    <t>Mon, 11 Apr 2022 00:00:00 GMT</t>
  </si>
  <si>
    <t>Tue, 12 Apr 2022 00:00:00 GMT</t>
  </si>
  <si>
    <t>Wed, 13 Apr 2022 00:00:00 GMT</t>
  </si>
  <si>
    <t>Thu, 14 Apr 2022 00:00:00 GMT</t>
  </si>
  <si>
    <t>Mon, 18 Apr 2022 00:00:00 GMT</t>
  </si>
  <si>
    <t>Tue, 19 Apr 2022 00:00:00 GMT</t>
  </si>
  <si>
    <t>Wed, 20 Apr 2022 00:00:00 GMT</t>
  </si>
  <si>
    <t>Thu, 21 Apr 2022 00:00:00 GMT</t>
  </si>
  <si>
    <t>Fri, 22 Apr 2022 00:00:00 GMT</t>
  </si>
  <si>
    <t>Mon, 25 Apr 2022 00:00:00 GMT</t>
  </si>
  <si>
    <t>Tue, 26 Apr 2022 00:00:00 GMT</t>
  </si>
  <si>
    <t>Wed, 27 Apr 2022 00:00:00 GMT</t>
  </si>
  <si>
    <t>Thu, 28 Apr 2022 00:00:00 GMT</t>
  </si>
  <si>
    <t>Fri, 29 Apr 2022 00:00:00 GMT</t>
  </si>
  <si>
    <t>Mon, 02 May 2022 00:00:00 GMT</t>
  </si>
  <si>
    <t>Tue, 03 May 2022 00:00:00 GMT</t>
  </si>
  <si>
    <t>Wed, 04 May 2022 00:00:00 GMT</t>
  </si>
  <si>
    <t>Thu, 05 May 2022 00:00:00 GMT</t>
  </si>
  <si>
    <t>Fri, 06 May 2022 00:00:00 GMT</t>
  </si>
  <si>
    <t>Mon, 09 May 2022 00:00:00 GMT</t>
  </si>
  <si>
    <t>Tue, 10 May 2022 00:00:00 GMT</t>
  </si>
  <si>
    <t>Wed, 11 May 2022 00:00:00 GMT</t>
  </si>
  <si>
    <t>Thu, 12 May 2022 00:00:00 GMT</t>
  </si>
  <si>
    <t>Fri, 13 May 2022 00:00:00 GMT</t>
  </si>
  <si>
    <t>Mon, 16 May 2022 00:00:00 GMT</t>
  </si>
  <si>
    <t>Tue, 17 May 2022 00:00:00 GMT</t>
  </si>
  <si>
    <t>Wed, 18 May 2022 00:00:00 GMT</t>
  </si>
  <si>
    <t>Thu, 19 May 2022 00:00:00 GMT</t>
  </si>
  <si>
    <t>Fri, 20 May 2022 00:00:00 GMT</t>
  </si>
  <si>
    <t>Mon, 23 May 2022 00:00:00 GMT</t>
  </si>
  <si>
    <t>Tue, 24 May 2022 00:00:00 GMT</t>
  </si>
  <si>
    <t>Wed, 25 May 2022 00:00:00 GMT</t>
  </si>
  <si>
    <t>Thu, 26 May 2022 00:00:00 GMT</t>
  </si>
  <si>
    <t>Fri, 27 May 2022 00:00:00 GMT</t>
  </si>
  <si>
    <t>Tue, 31 May 2022 00:00:00 GMT</t>
  </si>
  <si>
    <t>Wed, 01 Jun 2022 00:00:00 GMT</t>
  </si>
  <si>
    <t>Thu, 02 Jun 2022 00:00:00 GMT</t>
  </si>
  <si>
    <t>Fri, 03 Jun 2022 00:00:00 GMT</t>
  </si>
  <si>
    <t>Mon, 06 Jun 2022 00:00:00 GMT</t>
  </si>
  <si>
    <t>Tue, 07 Jun 2022 00:00:00 GMT</t>
  </si>
  <si>
    <t>Wed, 08 Jun 2022 00:00:00 GMT</t>
  </si>
  <si>
    <t>Thu, 09 Jun 2022 00:00:00 GMT</t>
  </si>
  <si>
    <t>Fri, 10 Jun 2022 00:00:00 GMT</t>
  </si>
  <si>
    <t>Mon, 13 Jun 2022 00:00:00 GMT</t>
  </si>
  <si>
    <t>Tue, 14 Jun 2022 00:00:00 GMT</t>
  </si>
  <si>
    <t>Wed, 15 Jun 2022 00:00:00 GMT</t>
  </si>
  <si>
    <t>Thu, 16 Jun 2022 00:00:00 GMT</t>
  </si>
  <si>
    <t>Fri, 17 Jun 2022 00:00:00 GMT</t>
  </si>
  <si>
    <t>Tue, 21 Jun 2022 00:00:00 GMT</t>
  </si>
  <si>
    <t>Wed, 22 Jun 2022 00:00:00 GMT</t>
  </si>
  <si>
    <t>Thu, 23 Jun 2022 00:00:00 GMT</t>
  </si>
  <si>
    <t>Fri, 24 Jun 2022 00:00:00 GMT</t>
  </si>
  <si>
    <t>Mon, 27 Jun 2022 00:00:00 GMT</t>
  </si>
  <si>
    <t>Tue, 28 Jun 2022 00:00:00 GMT</t>
  </si>
  <si>
    <t>Wed, 29 Jun 2022 00:00:00 GMT</t>
  </si>
  <si>
    <t>Thu, 30 Jun 2022 00:00:00 GMT</t>
  </si>
  <si>
    <t>Fri, 01 Jul 2022 00:00:00 GMT</t>
  </si>
  <si>
    <t>Tue, 05 Jul 2022 00:00:00 GMT</t>
  </si>
  <si>
    <t>Wed, 06 Jul 2022 00:00:00 GMT</t>
  </si>
  <si>
    <t>Thu, 07 Jul 2022 00:00:00 GMT</t>
  </si>
  <si>
    <t>Fri, 08 Jul 2022 00:00:00 GMT</t>
  </si>
  <si>
    <t>Mon, 11 Jul 2022 00:00:00 GMT</t>
  </si>
  <si>
    <t>Tue, 12 Jul 2022 00:00:00 GMT</t>
  </si>
  <si>
    <t>Wed, 13 Jul 2022 00:00:00 GMT</t>
  </si>
  <si>
    <t>Thu, 14 Jul 2022 00:00:00 GMT</t>
  </si>
  <si>
    <t>Fri, 15 Jul 2022 00:00:00 GMT</t>
  </si>
  <si>
    <t>Mon, 18 Jul 2022 00:00:00 GMT</t>
  </si>
  <si>
    <t>Tue, 19 Jul 2022 00:00:00 GMT</t>
  </si>
  <si>
    <t>Wed, 20 Jul 2022 00:00:00 GMT</t>
  </si>
  <si>
    <t>Thu, 21 Jul 2022 00:00:00 GMT</t>
  </si>
  <si>
    <t>Fri, 22 Jul 2022 00:00:00 GMT</t>
  </si>
  <si>
    <t>Mon, 25 Jul 2022 00:00:00 GMT</t>
  </si>
  <si>
    <t>Tue, 26 Jul 2022 00:00:00 GMT</t>
  </si>
  <si>
    <t>Wed, 27 Jul 2022 00:00:00 GMT</t>
  </si>
  <si>
    <t>Thu, 28 Jul 2022 00:00:00 GMT</t>
  </si>
  <si>
    <t>Fri, 29 Jul 2022 00:00:00 GMT</t>
  </si>
  <si>
    <t>Mon, 01 Aug 2022 00:00:00 GMT</t>
  </si>
  <si>
    <t>Tue, 02 Aug 2022 00:00:00 GMT</t>
  </si>
  <si>
    <t>Wed, 03 Aug 2022 00:00:00 GMT</t>
  </si>
  <si>
    <t>Thu, 04 Aug 2022 00:00:00 GMT</t>
  </si>
  <si>
    <t>Fri, 05 Aug 2022 00:00:00 GMT</t>
  </si>
  <si>
    <t>Mon, 08 Aug 2022 00:00:00 GMT</t>
  </si>
  <si>
    <t>Tue, 09 Aug 2022 00:00:00 GMT</t>
  </si>
  <si>
    <t>Wed, 10 Aug 2022 00:00:00 GMT</t>
  </si>
  <si>
    <t>Thu, 11 Aug 2022 00:00:00 GMT</t>
  </si>
  <si>
    <t>Fri, 12 Aug 2022 00:00:00 GMT</t>
  </si>
  <si>
    <t>Mon, 15 Aug 2022 00:00:00 GMT</t>
  </si>
  <si>
    <t>Tue, 16 Aug 2022 00:00:00 GMT</t>
  </si>
  <si>
    <t>Wed, 17 Aug 2022 00:00:00 GMT</t>
  </si>
  <si>
    <t>Thu, 18 Aug 2022 00:00:00 GMT</t>
  </si>
  <si>
    <t>Fri, 19 Aug 2022 00:00:00 GMT</t>
  </si>
  <si>
    <t>Mon, 22 Aug 2022 00:00:00 GMT</t>
  </si>
  <si>
    <t>Tue, 23 Aug 2022 00:00:00 GMT</t>
  </si>
  <si>
    <t>Wed, 24 Aug 2022 00:00:00 GMT</t>
  </si>
  <si>
    <t>Thu, 25 Aug 2022 00:00:00 GMT</t>
  </si>
  <si>
    <t>Fri, 26 Aug 2022 00:00:00 GMT</t>
  </si>
  <si>
    <t>Mon, 29 Aug 2022 00:00:00 GMT</t>
  </si>
  <si>
    <t>Tue, 30 Aug 2022 00:00:00 GMT</t>
  </si>
  <si>
    <t>Wed, 31 Aug 2022 00:00:00 GMT</t>
  </si>
  <si>
    <t>Thu, 01 Sep 2022 00:00:00 GMT</t>
  </si>
  <si>
    <t>Fri, 02 Sep 2022 00:00:00 GMT</t>
  </si>
  <si>
    <t>Tue, 06 Sep 2022 00:00:00 GMT</t>
  </si>
  <si>
    <t>Wed, 07 Sep 2022 00:00:00 GMT</t>
  </si>
  <si>
    <t>Thu, 08 Sep 2022 00:00:00 GMT</t>
  </si>
  <si>
    <t>Fri, 09 Sep 2022 00:00:00 GMT</t>
  </si>
  <si>
    <t>Mon, 12 Sep 2022 00:00:00 GMT</t>
  </si>
  <si>
    <t>Tue, 13 Sep 2022 00:00:00 GMT</t>
  </si>
  <si>
    <t>Wed, 14 Sep 2022 00:00:00 GMT</t>
  </si>
  <si>
    <t>Thu, 15 Sep 2022 00:00:00 GMT</t>
  </si>
  <si>
    <t>Fri, 16 Sep 2022 00:00:00 GMT</t>
  </si>
  <si>
    <t>Mon, 19 Sep 2022 00:00:00 GMT</t>
  </si>
  <si>
    <t>Tue, 20 Sep 2022 00:00:00 GMT</t>
  </si>
  <si>
    <t>Wed, 21 Sep 2022 00:00:00 GMT</t>
  </si>
  <si>
    <t>Thu, 22 Sep 2022 00:00:00 GMT</t>
  </si>
  <si>
    <t>Fri, 23 Sep 2022 00:00:00 GMT</t>
  </si>
  <si>
    <t>Mon, 26 Sep 2022 00:00:00 GMT</t>
  </si>
  <si>
    <t>Tue, 27 Sep 2022 00:00:00 GMT</t>
  </si>
  <si>
    <t>Wed, 28 Sep 2022 00:00:00 GMT</t>
  </si>
  <si>
    <t>Thu, 29 Sep 2022 00:00:00 GMT</t>
  </si>
  <si>
    <t>Fri, 30 Sep 2022 00:00:00 GMT</t>
  </si>
  <si>
    <t>Mon, 03 Oct 2022 00:00:00 GMT</t>
  </si>
  <si>
    <t>Tue, 04 Oct 2022 00:00:00 GMT</t>
  </si>
  <si>
    <t>Wed, 05 Oct 2022 00:00:00 GMT</t>
  </si>
  <si>
    <t>Thu, 06 Oct 2022 00:00:00 GMT</t>
  </si>
  <si>
    <t>Fri, 07 Oct 2022 00:00:00 GMT</t>
  </si>
  <si>
    <t>Mon, 10 Oct 2022 00:00:00 GMT</t>
  </si>
  <si>
    <t>Tue, 11 Oct 2022 00:00:00 GMT</t>
  </si>
  <si>
    <t>Wed, 12 Oct 2022 00:00:00 GMT</t>
  </si>
  <si>
    <t>Thu, 13 Oct 2022 00:00:00 GMT</t>
  </si>
  <si>
    <t>Fri, 14 Oct 2022 00:00:00 GMT</t>
  </si>
  <si>
    <t>Mon, 17 Oct 2022 00:00:00 GMT</t>
  </si>
  <si>
    <t>Tue, 18 Oct 2022 00:00:00 GMT</t>
  </si>
  <si>
    <t>Wed, 19 Oct 2022 00:00:00 GMT</t>
  </si>
  <si>
    <t>Thu, 20 Oct 2022 00:00:00 GMT</t>
  </si>
  <si>
    <t>Fri, 21 Oct 2022 00:00:00 GMT</t>
  </si>
  <si>
    <t>Mon, 24 Oct 2022 00:00:00 GMT</t>
  </si>
  <si>
    <t>Tue, 25 Oct 2022 00:00:00 GMT</t>
  </si>
  <si>
    <t>Wed, 26 Oct 2022 00:00:00 GMT</t>
  </si>
  <si>
    <t>Thu, 27 Oct 2022 00:00:00 GMT</t>
  </si>
  <si>
    <t>Fri, 28 Oct 2022 00:00:00 GMT</t>
  </si>
  <si>
    <t>Mon, 31 Oct 2022 00:00:00 GMT</t>
  </si>
  <si>
    <t>Tue, 01 Nov 2022 00:00:00 GMT</t>
  </si>
  <si>
    <t>Wed, 02 Nov 2022 00:00:00 GMT</t>
  </si>
  <si>
    <t>Thu, 03 Nov 2022 00:00:00 GMT</t>
  </si>
  <si>
    <t>Fri, 04 Nov 2022 00:00:00 GMT</t>
  </si>
  <si>
    <t>Mon, 07 Nov 2022 00:00:00 GMT</t>
  </si>
  <si>
    <t>Tue, 08 Nov 2022 00:00:00 GMT</t>
  </si>
  <si>
    <t>Wed, 09 Nov 2022 00:00:00 GMT</t>
  </si>
  <si>
    <t>Thu, 10 Nov 2022 00:00:00 GMT</t>
  </si>
  <si>
    <t>Fri, 11 Nov 2022 00:00:00 GMT</t>
  </si>
  <si>
    <t>Mon, 14 Nov 2022 00:00:00 GMT</t>
  </si>
  <si>
    <t>Tue, 15 Nov 2022 00:00:00 GMT</t>
  </si>
  <si>
    <t>Wed, 16 Nov 2022 00:00:00 GMT</t>
  </si>
  <si>
    <t>Thu, 17 Nov 2022 00:00:00 GMT</t>
  </si>
  <si>
    <t>Fri, 18 Nov 2022 00:00:00 GMT</t>
  </si>
  <si>
    <t>Mon, 21 Nov 2022 00:00:00 GMT</t>
  </si>
  <si>
    <t>Tue, 22 Nov 2022 00:00:00 GMT</t>
  </si>
  <si>
    <t>Wed, 23 Nov 2022 00:00:00 GMT</t>
  </si>
  <si>
    <t>Fri, 25 Nov 2022 00:00:00 GMT</t>
  </si>
  <si>
    <t>Mon, 28 Nov 2022 00:00:00 GMT</t>
  </si>
  <si>
    <t>Tue, 29 Nov 2022 00:00:00 GMT</t>
  </si>
  <si>
    <t>Wed, 30 Nov 2022 00:00:00 GMT</t>
  </si>
  <si>
    <t>Thu, 01 Dec 2022 00:00:00 GMT</t>
  </si>
  <si>
    <t>Fri, 02 Dec 2022 00:00:00 GMT</t>
  </si>
  <si>
    <t>Mon, 05 Dec 2022 00:00:00 GMT</t>
  </si>
  <si>
    <t>Tue, 06 Dec 2022 00:00:00 GMT</t>
  </si>
  <si>
    <t>Wed, 07 Dec 2022 00:00:00 GMT</t>
  </si>
  <si>
    <t>Thu, 08 Dec 2022 00:00:00 GMT</t>
  </si>
  <si>
    <t>Fri, 09 Dec 2022 00:00:00 GMT</t>
  </si>
  <si>
    <t>Mon, 12 Dec 2022 00:00:00 GMT</t>
  </si>
  <si>
    <t>Tue, 13 Dec 2022 00:00:00 GMT</t>
  </si>
  <si>
    <t>Wed, 14 Dec 2022 00:00:00 GMT</t>
  </si>
  <si>
    <t>Thu, 15 Dec 2022 00:00:00 GMT</t>
  </si>
  <si>
    <t>Fri, 16 Dec 2022 00:00:00 GMT</t>
  </si>
  <si>
    <t>Mon, 19 Dec 2022 00:00:00 GMT</t>
  </si>
  <si>
    <t>Tue, 20 Dec 2022 00:00:00 GMT</t>
  </si>
  <si>
    <t>Wed, 21 Dec 2022 00:00:00 GMT</t>
  </si>
  <si>
    <t>Thu, 22 Dec 2022 00:00:00 GMT</t>
  </si>
  <si>
    <t>Fri, 23 Dec 2022 00:00:00 GMT</t>
  </si>
  <si>
    <t>Tue, 27 Dec 2022 00:00:00 GMT</t>
  </si>
  <si>
    <t>Wed, 28 Dec 2022 00:00:00 GMT</t>
  </si>
  <si>
    <t>Thu, 29 Dec 2022 00:00:00 GMT</t>
  </si>
  <si>
    <t>Fri, 30 Dec 2022 00:00:00 GMT</t>
  </si>
  <si>
    <t>Tue, 03 Jan 2023 00:00:00 GMT</t>
  </si>
  <si>
    <t>Wed, 04 Jan 2023 00:00:00 GMT</t>
  </si>
  <si>
    <t>Thu, 05 Jan 2023 00:00:00 GMT</t>
  </si>
  <si>
    <t>Fri, 06 Jan 2023 00:00:00 GMT</t>
  </si>
  <si>
    <t>Mon, 09 Jan 2023 00:00:00 GMT</t>
  </si>
  <si>
    <t>Tue, 10 Jan 2023 00:00:00 GMT</t>
  </si>
  <si>
    <t>Wed, 11 Jan 2023 00:00:00 GMT</t>
  </si>
  <si>
    <t>Thu, 12 Jan 2023 00:00:00 GMT</t>
  </si>
  <si>
    <t>Fri, 13 Jan 2023 00:00:00 GMT</t>
  </si>
  <si>
    <t>Tue, 17 Jan 2023 00:00:00 GMT</t>
  </si>
  <si>
    <t>Wed, 18 Jan 2023 00:00:00 GMT</t>
  </si>
  <si>
    <t>Thu, 19 Jan 2023 00:00:00 GMT</t>
  </si>
  <si>
    <t>Fri, 20 Jan 2023 00:00:00 GMT</t>
  </si>
  <si>
    <t>Mon, 23 Jan 2023 00:00:00 GMT</t>
  </si>
  <si>
    <t>Tue, 24 Jan 2023 00:00:00 GMT</t>
  </si>
  <si>
    <t>Wed, 25 Jan 2023 00:00:00 GMT</t>
  </si>
  <si>
    <t>Thu, 26 Jan 2023 00:00:00 GMT</t>
  </si>
  <si>
    <t>Fri, 27 Jan 2023 00:00:00 GMT</t>
  </si>
  <si>
    <t>Mon, 30 Jan 2023 00:00:00 GMT</t>
  </si>
  <si>
    <t>Tue, 31 Jan 2023 00:00:00 GMT</t>
  </si>
  <si>
    <t>Wed, 01 Feb 2023 00:00:00 GMT</t>
  </si>
  <si>
    <t>Thu, 02 Feb 2023 00:00:00 GMT</t>
  </si>
  <si>
    <t>Fri, 03 Feb 2023 00:00:00 GMT</t>
  </si>
  <si>
    <t>Mon, 06 Feb 2023 00:00:00 GMT</t>
  </si>
  <si>
    <t>Tue, 07 Feb 2023 00:00:00 GMT</t>
  </si>
  <si>
    <t>Wed, 08 Feb 2023 00:00:00 GMT</t>
  </si>
  <si>
    <t>Thu, 09 Feb 2023 00:00:00 GMT</t>
  </si>
  <si>
    <t>Fri, 10 Feb 2023 00:00:00 GMT</t>
  </si>
  <si>
    <t>Mon, 13 Feb 2023 00:00:00 GMT</t>
  </si>
  <si>
    <t>Tue, 14 Feb 2023 00:00:00 GMT</t>
  </si>
  <si>
    <t>Wed, 15 Feb 2023 00:00:00 GMT</t>
  </si>
  <si>
    <t>Thu, 16 Feb 2023 00:00:00 GMT</t>
  </si>
  <si>
    <t>Fri, 17 Feb 2023 00:00:00 GMT</t>
  </si>
  <si>
    <t>Tue, 21 Feb 2023 00:00:00 GMT</t>
  </si>
  <si>
    <t>Wed, 22 Feb 2023 00:00:00 GMT</t>
  </si>
  <si>
    <t>Thu, 23 Feb 2023 00:00:00 GMT</t>
  </si>
  <si>
    <t>Fri, 24 Feb 2023 00:00:00 GMT</t>
  </si>
  <si>
    <t>Mon, 27 Feb 2023 00:00:00 GMT</t>
  </si>
  <si>
    <t>Tue, 28 Feb 2023 00:00:00 GMT</t>
  </si>
  <si>
    <t>Wed, 01 Mar 2023 00:00:00 GMT</t>
  </si>
  <si>
    <t>Thu, 02 Mar 2023 00:00:00 GMT</t>
  </si>
  <si>
    <t>Fri, 03 Mar 2023 00:00:00 GMT</t>
  </si>
  <si>
    <t>Mon, 06 Mar 2023 00:00:00 GMT</t>
  </si>
  <si>
    <t>Tue, 07 Mar 2023 00:00:00 GMT</t>
  </si>
  <si>
    <t>Wed, 08 Mar 2023 00:00:00 GMT</t>
  </si>
  <si>
    <t>Thu, 09 Mar 2023 00:00:00 GMT</t>
  </si>
  <si>
    <t>Fri, 10 Mar 2023 00:00:00 GMT</t>
  </si>
  <si>
    <t>Mon, 13 Mar 2023 00:00:00 GMT</t>
  </si>
  <si>
    <t>Tue, 14 Mar 2023 00:00:00 GMT</t>
  </si>
  <si>
    <t>Wed, 15 Mar 2023 00:00:00 GMT</t>
  </si>
  <si>
    <t>Thu, 16 Mar 2023 00:00:00 GMT</t>
  </si>
  <si>
    <t>Fri, 17 Mar 2023 00:00:00 GMT</t>
  </si>
  <si>
    <t>Mon, 20 Mar 2023 00:00:00 GMT</t>
  </si>
  <si>
    <t>Tue, 21 Mar 2023 00:00:00 GMT</t>
  </si>
  <si>
    <t>Wed, 22 Mar 2023 00:00:00 GMT</t>
  </si>
  <si>
    <t>Thu, 23 Mar 2023 00:00:00 GMT</t>
  </si>
  <si>
    <t>Fri, 24 Mar 2023 00:00:00 GMT</t>
  </si>
  <si>
    <t>Mon, 27 Mar 2023 00:00:00 GMT</t>
  </si>
  <si>
    <t>Tue, 28 Mar 2023 00:00:00 GMT</t>
  </si>
  <si>
    <t>Wed, 29 Mar 2023 00:00:00 GMT</t>
  </si>
  <si>
    <t>Thu, 30 Mar 2023 00:00:00 GMT</t>
  </si>
  <si>
    <t>Fri, 31 Mar 2023 00:00:00 GMT</t>
  </si>
  <si>
    <t>Mon, 03 Apr 2023 00:00:00 GMT</t>
  </si>
  <si>
    <t>Tue, 04 Apr 2023 00:00:00 GMT</t>
  </si>
  <si>
    <t>Wed, 05 Apr 2023 00:00:00 GMT</t>
  </si>
  <si>
    <t>Thu, 06 Apr 2023 00:00:00 GMT</t>
  </si>
  <si>
    <t>Mon, 10 Apr 2023 00:00:00 GMT</t>
  </si>
  <si>
    <t>Tue, 11 Apr 2023 00:00:00 GMT</t>
  </si>
  <si>
    <t>Wed, 12 Apr 2023 00:00:00 GMT</t>
  </si>
  <si>
    <t>Thu, 13 Apr 2023 00:00:00 GMT</t>
  </si>
  <si>
    <t>Fri, 14 Apr 2023 00:00:00 GMT</t>
  </si>
  <si>
    <t>Mon, 17 Apr 2023 00:00:00 GMT</t>
  </si>
  <si>
    <t>Tue, 18 Apr 2023 00:00:00 GMT</t>
  </si>
  <si>
    <t>Wed, 19 Apr 2023 00:00:00 GMT</t>
  </si>
  <si>
    <t>Thu, 20 Apr 2023 00:00:00 GMT</t>
  </si>
  <si>
    <t>Fri, 21 Apr 2023 00:00:00 GMT</t>
  </si>
  <si>
    <t>Mon, 24 Apr 2023 00:00:00 GMT</t>
  </si>
  <si>
    <t>Tue, 25 Apr 2023 00:00:00 GMT</t>
  </si>
  <si>
    <t>Wed, 26 Apr 2023 00:00:00 GMT</t>
  </si>
  <si>
    <t>Thu, 27 Apr 2023 00:00:00 GMT</t>
  </si>
  <si>
    <t>Fri, 28 Apr 2023 00:00:00 GMT</t>
  </si>
  <si>
    <t>Mon, 01 May 2023 00:00:00 GMT</t>
  </si>
  <si>
    <t>Tue, 02 May 2023 00:00:00 GMT</t>
  </si>
  <si>
    <t>Wed, 03 May 2023 00:00:00 GMT</t>
  </si>
  <si>
    <t>Thu, 04 May 2023 00:00:00 GMT</t>
  </si>
  <si>
    <t>Fri, 05 May 2023 00:00:00 GMT</t>
  </si>
  <si>
    <t>Mon, 08 May 2023 00:00:00 GMT</t>
  </si>
  <si>
    <t>Tue, 09 May 2023 00:00:00 GMT</t>
  </si>
  <si>
    <t>Wed, 10 May 2023 00:00:00 GMT</t>
  </si>
  <si>
    <t>Thu, 11 May 2023 00:00:00 GMT</t>
  </si>
  <si>
    <t>Fri, 12 May 2023 00:00:00 GMT</t>
  </si>
  <si>
    <t>Mon, 15 May 2023 00:00:00 GMT</t>
  </si>
  <si>
    <t>Tue, 16 May 2023 00:00:00 GMT</t>
  </si>
  <si>
    <t>Wed, 17 May 2023 00:00:00 GMT</t>
  </si>
  <si>
    <t>Thu, 18 May 2023 00:00:00 GMT</t>
  </si>
  <si>
    <t>Fri, 19 May 2023 00:00:00 GMT</t>
  </si>
  <si>
    <t>Mon, 22 May 2023 00:00:00 GMT</t>
  </si>
  <si>
    <t>Tue, 23 May 2023 00:00:00 GMT</t>
  </si>
  <si>
    <t>Wed, 24 May 2023 00:00:00 GMT</t>
  </si>
  <si>
    <t>Thu, 25 May 2023 00:00:00 GMT</t>
  </si>
  <si>
    <t>Fri, 26 May 2023 00:00:00 GMT</t>
  </si>
  <si>
    <t>Tue, 30 May 2023 00:00:00 GMT</t>
  </si>
  <si>
    <t>Wed, 31 May 2023 00:00:00 GMT</t>
  </si>
  <si>
    <t>Thu, 01 Jun 2023 00:00:00 GMT</t>
  </si>
  <si>
    <t>Fri, 02 Jun 2023 00:00:00 GMT</t>
  </si>
  <si>
    <t>Mon, 05 Jun 2023 00:00:00 GMT</t>
  </si>
  <si>
    <t>Tue, 06 Jun 2023 00:00:00 GMT</t>
  </si>
  <si>
    <t>Wed, 07 Jun 2023 00:00:00 GMT</t>
  </si>
  <si>
    <t>Thu, 08 Jun 2023 00:00:00 GMT</t>
  </si>
  <si>
    <t>Fri, 09 Jun 2023 00:00:00 GMT</t>
  </si>
  <si>
    <t>Mon, 12 Jun 2023 00:00:00 GMT</t>
  </si>
  <si>
    <t>Tue, 13 Jun 2023 00:00:00 GMT</t>
  </si>
  <si>
    <t>Wed, 14 Jun 2023 00:00:00 GMT</t>
  </si>
  <si>
    <t>Thu, 15 Jun 2023 00:00:00 GMT</t>
  </si>
  <si>
    <t>Fri, 16 Jun 2023 00:00:00 GMT</t>
  </si>
  <si>
    <t>Tue, 20 Jun 2023 00:00:00 GMT</t>
  </si>
  <si>
    <t>Wed, 21 Jun 2023 00:00:00 GMT</t>
  </si>
  <si>
    <t>Thu, 22 Jun 2023 00:00:00 GMT</t>
  </si>
  <si>
    <t>Fri, 23 Jun 2023 00:00:00 GMT</t>
  </si>
  <si>
    <t>Mon, 26 Jun 2023 00:00:00 GMT</t>
  </si>
  <si>
    <t>Tue, 27 Jun 2023 00:00:00 GMT</t>
  </si>
  <si>
    <t>Wed, 28 Jun 2023 00:00:00 GMT</t>
  </si>
  <si>
    <t>Thu, 29 Jun 2023 00:00:00 GMT</t>
  </si>
  <si>
    <t>Fri, 30 Jun 2023 00:00:00 GMT</t>
  </si>
  <si>
    <t>Mon, 03 Jul 2023 00:00:00 GMT</t>
  </si>
  <si>
    <t>Wed, 05 Jul 2023 00:00:00 GMT</t>
  </si>
  <si>
    <t>Thu, 06 Jul 2023 00:00:00 GMT</t>
  </si>
  <si>
    <t>Fri, 07 Jul 2023 00:00:00 GMT</t>
  </si>
  <si>
    <t>Mon, 10 Jul 2023 00:00:00 GMT</t>
  </si>
  <si>
    <t>Tue, 11 Jul 2023 00:00:00 GMT</t>
  </si>
  <si>
    <t>Wed, 12 Jul 2023 00:00:00 GMT</t>
  </si>
  <si>
    <t>Thu, 13 Jul 2023 00:00:00 GMT</t>
  </si>
  <si>
    <t>Fri, 14 Jul 2023 00:00:00 GMT</t>
  </si>
  <si>
    <t>Mon, 17 Jul 2023 00:00:00 GMT</t>
  </si>
  <si>
    <t>Tue, 18 Jul 2023 00:00:00 GMT</t>
  </si>
  <si>
    <t>Wed, 19 Jul 2023 00:00:00 GMT</t>
  </si>
  <si>
    <t>Thu, 20 Jul 2023 00:00:00 GMT</t>
  </si>
  <si>
    <t>Fri, 21 Jul 2023 00:00:00 GMT</t>
  </si>
  <si>
    <t>Mon, 24 Jul 2023 00:00:00 GMT</t>
  </si>
  <si>
    <t>Tue, 25 Jul 2023 00:00:00 GMT</t>
  </si>
  <si>
    <t>Wed, 26 Jul 2023 00:00:00 GMT</t>
  </si>
  <si>
    <t>Thu, 27 Jul 2023 00:00:00 GMT</t>
  </si>
  <si>
    <t>Fri, 28 Jul 2023 00:00:00 GMT</t>
  </si>
  <si>
    <t>Mon, 31 Jul 2023 00:00:00 GMT</t>
  </si>
  <si>
    <t>Tue, 01 Aug 2023 00:00:00 GMT</t>
  </si>
  <si>
    <t>Wed, 02 Aug 2023 00:00:00 GMT</t>
  </si>
  <si>
    <t>Thu, 03 Aug 2023 00:00:00 GMT</t>
  </si>
  <si>
    <t>Fri, 04 Aug 2023 00:00:00 GMT</t>
  </si>
  <si>
    <t>Mon, 07 Aug 2023 00:00:00 GMT</t>
  </si>
  <si>
    <t>Tue, 08 Aug 2023 00:00:00 GMT</t>
  </si>
  <si>
    <t>Wed, 09 Aug 2023 00:00:00 GMT</t>
  </si>
  <si>
    <t>Thu, 10 Aug 2023 00:00:00 GMT</t>
  </si>
  <si>
    <t>Fri, 11 Aug 2023 00:00:00 GMT</t>
  </si>
  <si>
    <t>Mon, 14 Aug 2023 00:00:00 GMT</t>
  </si>
  <si>
    <t>Tue, 15 Aug 2023 00:00:00 GMT</t>
  </si>
  <si>
    <t>Wed, 16 Aug 2023 00:00:00 GMT</t>
  </si>
  <si>
    <t>Thu, 17 Aug 2023 00:00:00 GMT</t>
  </si>
  <si>
    <t>Fri, 18 Aug 2023 00:00:00 GMT</t>
  </si>
  <si>
    <t>Mon, 21 Aug 2023 00:00:00 GMT</t>
  </si>
  <si>
    <t>Tue, 22 Aug 2023 00:00:00 GMT</t>
  </si>
  <si>
    <t>Wed, 23 Aug 2023 00:00:00 GMT</t>
  </si>
  <si>
    <t>Thu, 24 Aug 2023 00:00:00 GMT</t>
  </si>
  <si>
    <t>Fri, 25 Aug 2023 00:00:00 GMT</t>
  </si>
  <si>
    <t>Mon, 28 Aug 2023 00:00:00 GMT</t>
  </si>
  <si>
    <t>Tue, 29 Aug 2023 00:00:00 GMT</t>
  </si>
  <si>
    <t>Wed, 30 Aug 2023 00:00:00 GMT</t>
  </si>
  <si>
    <t>Thu, 31 Aug 2023 00:00:00 GMT</t>
  </si>
  <si>
    <t>Fri, 01 Sep 2023 00:00:00 GMT</t>
  </si>
  <si>
    <t>Tue, 05 Sep 2023 00:00:00 GMT</t>
  </si>
  <si>
    <t>Wed, 06 Sep 2023 00:00:00 GMT</t>
  </si>
  <si>
    <t>Thu, 07 Sep 2023 00:00:00 GMT</t>
  </si>
  <si>
    <t>Fri, 08 Sep 2023 00:00:00 GMT</t>
  </si>
  <si>
    <t>Mon, 11 Sep 2023 00:00:00 GMT</t>
  </si>
  <si>
    <t>Tue, 12 Sep 2023 00:00:00 GMT</t>
  </si>
  <si>
    <t>Wed, 13 Sep 2023 00:00:00 GMT</t>
  </si>
  <si>
    <t>Thu, 14 Sep 2023 00:00:00 GMT</t>
  </si>
  <si>
    <t>Fri, 15 Sep 2023 00:00:00 GMT</t>
  </si>
  <si>
    <t>Mon, 18 Sep 2023 00:00:00 GMT</t>
  </si>
  <si>
    <t>Tue, 19 Sep 2023 00:00:00 GMT</t>
  </si>
  <si>
    <t>Wed, 20 Sep 2023 00:00:00 GMT</t>
  </si>
  <si>
    <t>Thu, 21 Sep 2023 00:00:00 GMT</t>
  </si>
  <si>
    <t>Fri, 22 Sep 2023 00:00:00 GMT</t>
  </si>
  <si>
    <t>Mon, 25 Sep 2023 00:00:00 GMT</t>
  </si>
  <si>
    <t>Tue, 26 Sep 2023 00:00:00 GMT</t>
  </si>
  <si>
    <t>Wed, 27 Sep 2023 00:00:00 GMT</t>
  </si>
  <si>
    <t>Thu, 28 Sep 2023 00:00:00 GMT</t>
  </si>
  <si>
    <t>Fri, 29 Sep 2023 00:00:00 GMT</t>
  </si>
  <si>
    <t>Mon, 02 Oct 2023 00:00:00 GMT</t>
  </si>
  <si>
    <t>Tue, 03 Oct 2023 00:00:00 GMT</t>
  </si>
  <si>
    <t>Wed, 04 Oct 2023 00:00:00 GMT</t>
  </si>
  <si>
    <t>Thu, 05 Oct 2023 00:00:00 GMT</t>
  </si>
  <si>
    <t>Fri, 06 Oct 2023 00:00:00 GMT</t>
  </si>
  <si>
    <t>Mon, 09 Oct 2023 00:00:00 GMT</t>
  </si>
  <si>
    <t>Tue, 10 Oct 2023 00:00:00 GMT</t>
  </si>
  <si>
    <t>Wed, 11 Oct 2023 00:00:00 GMT</t>
  </si>
  <si>
    <t>Thu, 12 Oct 2023 00:00:00 GMT</t>
  </si>
  <si>
    <t>Fri, 13 Oct 2023 00:00:00 GMT</t>
  </si>
  <si>
    <t>Mon, 16 Oct 2023 00:00:00 GMT</t>
  </si>
  <si>
    <t>Tue, 17 Oct 2023 00:00:00 GMT</t>
  </si>
  <si>
    <t>Wed, 18 Oct 2023 00:00:00 GMT</t>
  </si>
  <si>
    <t>Thu, 19 Oct 2023 00:00:00 GMT</t>
  </si>
  <si>
    <t>Fri, 20 Oct 2023 00:00:00 GMT</t>
  </si>
  <si>
    <t>Mon, 23 Oct 2023 00:00:00 GMT</t>
  </si>
  <si>
    <t>Tue, 24 Oct 2023 00:00:00 GMT</t>
  </si>
  <si>
    <t>Wed, 25 Oct 2023 00:00:00 GMT</t>
  </si>
  <si>
    <t>Thu, 26 Oct 2023 00:00:00 GMT</t>
  </si>
  <si>
    <t>Fri, 27 Oct 2023 00:00:00 GMT</t>
  </si>
  <si>
    <t>Mon, 30 Oct 2023 00:00:00 GMT</t>
  </si>
  <si>
    <t>Tue, 31 Oct 2023 00:00:00 GMT</t>
  </si>
  <si>
    <t>Wed, 01 Nov 2023 00:00:00 GMT</t>
  </si>
  <si>
    <t>Thu, 02 Nov 2023 00:00:00 GMT</t>
  </si>
  <si>
    <t>Fri, 03 Nov 2023 00:00:00 GMT</t>
  </si>
  <si>
    <t>Mon, 06 Nov 2023 00:00:00 GMT</t>
  </si>
  <si>
    <t>Tue, 07 Nov 2023 00:00:00 GMT</t>
  </si>
  <si>
    <t>Wed, 08 Nov 2023 00:00:00 GMT</t>
  </si>
  <si>
    <t>Thu, 09 Nov 2023 00:00:00 GMT</t>
  </si>
  <si>
    <t>Fri, 10 Nov 2023 00:00:00 GMT</t>
  </si>
  <si>
    <t>Mon, 13 Nov 2023 00:00:00 GMT</t>
  </si>
  <si>
    <t>Tue, 14 Nov 2023 00:00:00 GMT</t>
  </si>
  <si>
    <t>Wed, 15 Nov 2023 00:00:00 GMT</t>
  </si>
  <si>
    <t>Thu, 16 Nov 2023 00:00:00 GMT</t>
  </si>
  <si>
    <t>Fri, 17 Nov 2023 00:00:00 GMT</t>
  </si>
  <si>
    <t>Mon, 20 Nov 2023 00:00:00 GMT</t>
  </si>
  <si>
    <t>Tue, 21 Nov 2023 00:00:00 GMT</t>
  </si>
  <si>
    <t>Wed, 22 Nov 2023 00:00:00 GMT</t>
  </si>
  <si>
    <t>Fri, 24 Nov 2023 00:00:00 GMT</t>
  </si>
  <si>
    <t>Mon, 27 Nov 2023 00:00:00 GMT</t>
  </si>
  <si>
    <t>Tue, 28 Nov 2023 00:00:00 GMT</t>
  </si>
  <si>
    <t>Wed, 29 Nov 2023 00:00:00 GMT</t>
  </si>
  <si>
    <t>Thu, 30 Nov 2023 00:00:00 GMT</t>
  </si>
  <si>
    <t>Fri, 01 Dec 2023 00:00:00 GMT</t>
  </si>
  <si>
    <t>Mon, 04 Dec 2023 00:00:00 GMT</t>
  </si>
  <si>
    <t>Tue, 05 Dec 2023 00:00:00 GMT</t>
  </si>
  <si>
    <t>Wed, 06 Dec 2023 00:00:00 GMT</t>
  </si>
  <si>
    <t>Thu, 07 Dec 2023 00:00:00 GMT</t>
  </si>
  <si>
    <t>Fri, 08 Dec 2023 00:00:00 GMT</t>
  </si>
  <si>
    <t>Mon, 11 Dec 2023 00:00:00 GMT</t>
  </si>
  <si>
    <t>Tue, 12 Dec 2023 00:00:00 GMT</t>
  </si>
  <si>
    <t>Wed, 13 Dec 2023 00:00:00 GMT</t>
  </si>
  <si>
    <t>Thu, 14 Dec 2023 00:00:00 GMT</t>
  </si>
  <si>
    <t>Fri, 15 Dec 2023 00:00:00 GMT</t>
  </si>
  <si>
    <t>Mon, 18 Dec 2023 00:00:00 GMT</t>
  </si>
  <si>
    <t>Tue, 19 Dec 2023 00:00:00 GMT</t>
  </si>
  <si>
    <t>Wed, 20 Dec 2023 00:00:00 GMT</t>
  </si>
  <si>
    <t>Thu, 21 Dec 2023 00:00:00 GMT</t>
  </si>
  <si>
    <t>Fri, 22 Dec 2023 00:00:00 GMT</t>
  </si>
  <si>
    <t>Tue, 26 Dec 2023 00:00:00 GMT</t>
  </si>
  <si>
    <t>Wed, 27 Dec 2023 00:00:00 GMT</t>
  </si>
  <si>
    <t>Thu, 28 Dec 2023 00:00:00 GMT</t>
  </si>
  <si>
    <t>Fri, 29 Dec 2023 00:00:00 GMT</t>
  </si>
  <si>
    <t>Tue, 02 Jan 2024 00:00:00 GMT</t>
  </si>
  <si>
    <t>Wed, 03 Jan 2024 00:00:00 GMT</t>
  </si>
  <si>
    <t>Thu, 04 Jan 2024 00:00:00 GMT</t>
  </si>
  <si>
    <t>Fri, 05 Jan 2024 00:00:00 GMT</t>
  </si>
  <si>
    <t>Mon, 08 Jan 2024 00:00:00 GMT</t>
  </si>
  <si>
    <t>Tue, 09 Jan 2024 00:00:00 GMT</t>
  </si>
  <si>
    <t>Wed, 10 Jan 2024 00:00:00 GMT</t>
  </si>
  <si>
    <t>Thu, 11 Jan 2024 00:00:00 GMT</t>
  </si>
  <si>
    <t>Fri, 12 Jan 2024 00:00:00 GMT</t>
  </si>
  <si>
    <t>Tue, 16 Jan 2024 00:00:00 GMT</t>
  </si>
  <si>
    <t>Wed, 17 Jan 2024 00:00:00 GMT</t>
  </si>
  <si>
    <t>Thu, 18 Jan 2024 00:00:00 GMT</t>
  </si>
  <si>
    <t>Fri, 19 Jan 2024 00:00:00 GMT</t>
  </si>
  <si>
    <t>Mon, 22 Jan 2024 00:00:00 GMT</t>
  </si>
  <si>
    <t>Tue, 23 Jan 2024 00:00:00 GMT</t>
  </si>
  <si>
    <t>Wed, 24 Jan 2024 00:00:00 GMT</t>
  </si>
  <si>
    <t>Thu, 25 Jan 2024 00:00:00 GMT</t>
  </si>
  <si>
    <t>Fri, 26 Jan 2024 00:00:00 GMT</t>
  </si>
  <si>
    <t>Mon, 29 Jan 2024 00:00:00 GMT</t>
  </si>
  <si>
    <t>Tue, 30 Jan 2024 00:00:00 GMT</t>
  </si>
  <si>
    <t>Wed, 31 Jan 2024 00:00:00 GMT</t>
  </si>
  <si>
    <t>Thu, 01 Feb 2024 00:00:00 GMT</t>
  </si>
  <si>
    <t>Fri, 02 Feb 2024 00:00:00 GMT</t>
  </si>
  <si>
    <t>Mon, 05 Feb 2024 00:00:00 GMT</t>
  </si>
  <si>
    <t>Tue, 06 Feb 2024 00:00:00 GMT</t>
  </si>
  <si>
    <t>Wed, 07 Feb 2024 00:00:00 GMT</t>
  </si>
  <si>
    <t>Thu, 08 Feb 2024 00:00:00 GMT</t>
  </si>
  <si>
    <t>Fri, 09 Feb 2024 00:00:00 GMT</t>
  </si>
  <si>
    <t>Mon, 12 Feb 2024 00:00:00 GMT</t>
  </si>
  <si>
    <t>Tue, 13 Feb 2024 00:00:00 GMT</t>
  </si>
  <si>
    <t>Wed, 14 Feb 2024 00:00:00 GMT</t>
  </si>
  <si>
    <t>Thu, 15 Feb 2024 00:00:00 GMT</t>
  </si>
  <si>
    <t>Fri, 16 Feb 2024 00:00:00 GMT</t>
  </si>
  <si>
    <t>Tue, 20 Feb 2024 00:00:00 GMT</t>
  </si>
  <si>
    <t>Wed, 21 Feb 2024 00:00:00 GMT</t>
  </si>
  <si>
    <t>Thu, 22 Feb 2024 00:00:00 GMT</t>
  </si>
  <si>
    <t>Fri, 23 Feb 2024 00:00:00 GMT</t>
  </si>
  <si>
    <t>Mon, 26 Feb 2024 00:00:00 GMT</t>
  </si>
  <si>
    <t>Tue, 27 Feb 2024 00:00:00 GMT</t>
  </si>
  <si>
    <t>Wed, 28 Feb 2024 00:00:00 GMT</t>
  </si>
  <si>
    <t>Thu, 29 Feb 2024 00:00:00 GMT</t>
  </si>
  <si>
    <t>Fri, 01 Mar 2024 00:00:00 GMT</t>
  </si>
  <si>
    <t>Mon, 04 Mar 2024 00:00:00 GMT</t>
  </si>
  <si>
    <t>Tue, 05 Mar 2024 00:00:00 GMT</t>
  </si>
  <si>
    <t>Wed, 06 Mar 2024 00:00:00 GMT</t>
  </si>
  <si>
    <t>Thu, 07 Mar 2024 00:00:00 GMT</t>
  </si>
  <si>
    <t>Fri, 08 Mar 2024 00:00:00 GMT</t>
  </si>
  <si>
    <t>Mon, 11 Mar 2024 00:00:00 GMT</t>
  </si>
  <si>
    <t>Tue, 12 Mar 2024 00:00:00 GMT</t>
  </si>
  <si>
    <t>Wed, 13 Mar 2024 00:00:00 GMT</t>
  </si>
  <si>
    <t>Thu, 14 Mar 2024 00:00:00 GMT</t>
  </si>
  <si>
    <t>Fri, 15 Mar 2024 00:00:00 GMT</t>
  </si>
  <si>
    <t>Mon, 18 Mar 2024 00:00:00 GMT</t>
  </si>
  <si>
    <t>Tue, 19 Mar 2024 00:00:00 GMT</t>
  </si>
  <si>
    <t>Wed, 20 Mar 2024 00:00:00 GMT</t>
  </si>
  <si>
    <t>Thu, 21 Mar 2024 00:00:00 GMT</t>
  </si>
  <si>
    <t>Fri, 22 Mar 2024 00:00:00 GMT</t>
  </si>
  <si>
    <t>Mon, 25 Mar 2024 00:00:00 GMT</t>
  </si>
  <si>
    <t>Tue, 26 Mar 2024 00:00:00 GMT</t>
  </si>
  <si>
    <t>Wed, 27 Mar 2024 00:00:00 GMT</t>
  </si>
  <si>
    <t>Thu, 28 Mar 2024 00:00:00 GMT</t>
  </si>
  <si>
    <t>Mon, 01 Apr 2024 00:00:00 GMT</t>
  </si>
  <si>
    <t>Tue, 02 Apr 2024 00:00:00 GMT</t>
  </si>
  <si>
    <t>Wed, 03 Apr 2024 00:00:00 GMT</t>
  </si>
  <si>
    <t>Thu, 04 Apr 2024 00:00:00 GMT</t>
  </si>
  <si>
    <t>Fri, 05 Apr 2024 00:00:00 GMT</t>
  </si>
  <si>
    <t>Mon, 08 Apr 2024 00:00:00 GMT</t>
  </si>
  <si>
    <t>Tue, 09 Apr 2024 00:00:00 GMT</t>
  </si>
  <si>
    <t>Wed, 10 Apr 2024 00:00:00 GMT</t>
  </si>
  <si>
    <t>Thu, 11 Apr 2024 00:00:00 GMT</t>
  </si>
  <si>
    <t>Fri, 12 Apr 2024 00:00:00 GMT</t>
  </si>
  <si>
    <t>Mon, 15 Apr 2024 00:00:00 GMT</t>
  </si>
  <si>
    <t>Tue, 16 Apr 2024 00:00:00 GMT</t>
  </si>
  <si>
    <t>Wed, 17 Apr 2024 00:00:00 GMT</t>
  </si>
  <si>
    <t>Thu, 18 Apr 2024 00:00:00 GMT</t>
  </si>
  <si>
    <t>Fri, 19 Apr 2024 00:00:00 GMT</t>
  </si>
  <si>
    <t>Mon, 22 Apr 2024 00:00:00 GMT</t>
  </si>
  <si>
    <t>Tue, 23 Apr 2024 00:00:00 GMT</t>
  </si>
  <si>
    <t>Wed, 24 Apr 2024 00:00:00 GMT</t>
  </si>
  <si>
    <t>Thu, 25 Apr 2024 00:00:00 GMT</t>
  </si>
  <si>
    <t>Fri, 26 Apr 2024 00:00:00 GMT</t>
  </si>
  <si>
    <t>Mon, 29 Apr 2024 00:00:00 GMT</t>
  </si>
  <si>
    <t>Tue, 30 Apr 2024 00:00:00 GMT</t>
  </si>
  <si>
    <t>Wed, 01 May 2024 00:00:00 GMT</t>
  </si>
  <si>
    <t>Thu, 02 May 2024 00:00:00 GMT</t>
  </si>
  <si>
    <t>Fri, 03 May 2024 00:00:00 GMT</t>
  </si>
  <si>
    <t>Mon, 06 May 2024 00:00:00 GMT</t>
  </si>
  <si>
    <t>Tue, 07 May 2024 00:00:00 GMT</t>
  </si>
  <si>
    <t>Wed, 08 May 2024 00:00:00 GMT</t>
  </si>
  <si>
    <t>Thu, 09 May 2024 00:00:00 GMT</t>
  </si>
  <si>
    <t>Fri, 10 May 2024 00:00:00 GMT</t>
  </si>
  <si>
    <t>Mon, 13 May 2024 00:00:00 GMT</t>
  </si>
  <si>
    <t>Tue, 14 May 2024 00:00:00 GMT</t>
  </si>
  <si>
    <t>Wed, 15 May 2024 00:00:00 GMT</t>
  </si>
  <si>
    <t>Thu, 16 May 2024 00:00:00 GMT</t>
  </si>
  <si>
    <t>Fri, 17 May 2024 00:00:00 GMT</t>
  </si>
  <si>
    <t>Mon, 20 May 2024 00:00:00 GMT</t>
  </si>
  <si>
    <t>Tue, 21 May 2024 00:00:00 GMT</t>
  </si>
  <si>
    <t>Wed, 22 May 2024 00:00:00 GMT</t>
  </si>
  <si>
    <t>Thu, 23 May 2024 00:00:00 GMT</t>
  </si>
  <si>
    <t>Fri, 24 May 2024 00:00:00 GMT</t>
  </si>
  <si>
    <t>Tue, 28 May 2024 00:00:00 GMT</t>
  </si>
  <si>
    <t>Wed, 29 May 2024 00:00:00 GMT</t>
  </si>
  <si>
    <t>Thu, 30 May 2024 00:00:00 GMT</t>
  </si>
  <si>
    <t>Fri, 31 May 2024 00:00:00 GMT</t>
  </si>
  <si>
    <t>Mon, 03 Jun 2024 00:00:00 GMT</t>
  </si>
  <si>
    <t>Tue, 04 Jun 2024 00:00:00 GMT</t>
  </si>
  <si>
    <t>Wed, 05 Jun 2024 00:00:00 GMT</t>
  </si>
  <si>
    <t>Thu, 06 Jun 2024 00:00:00 GMT</t>
  </si>
  <si>
    <t>Fri, 07 Jun 2024 00:00:00 GMT</t>
  </si>
  <si>
    <t>Mon, 10 Jun 2024 00:00:00 GMT</t>
  </si>
  <si>
    <t>Tue, 11 Jun 2024 00:00:00 GMT</t>
  </si>
  <si>
    <t>Wed, 12 Jun 2024 00:00:00 GMT</t>
  </si>
  <si>
    <t>Thu, 13 Jun 2024 00:00:00 GMT</t>
  </si>
  <si>
    <t>Fri, 14 Jun 2024 00:00:00 GMT</t>
  </si>
  <si>
    <t>Mon, 17 Jun 2024 00:00:00 GMT</t>
  </si>
  <si>
    <t>Tue, 18 Jun 2024 00:00:00 GMT</t>
  </si>
  <si>
    <t>Thu, 20 Jun 2024 00:00:00 GMT</t>
  </si>
  <si>
    <t>Fri, 21 Jun 2024 00:00:00 GMT</t>
  </si>
  <si>
    <t>Mon, 24 Jun 2024 00:00:00 GMT</t>
  </si>
  <si>
    <t>Tue, 25 Jun 2024 00:00:00 GMT</t>
  </si>
  <si>
    <t>Wed, 26 Jun 2024 00:00:00 GMT</t>
  </si>
  <si>
    <t>Thu, 27 Jun 2024 00:00:00 GMT</t>
  </si>
  <si>
    <t>Fri, 28 Jun 2024 00:00:00 GMT</t>
  </si>
  <si>
    <t>Mon, 01 Jul 2024 00:00:00 GMT</t>
  </si>
  <si>
    <t>Tue, 02 Jul 2024 00:00:00 GMT</t>
  </si>
  <si>
    <t>Wed, 03 Jul 2024 00:00:00 GMT</t>
  </si>
  <si>
    <t>Fri, 05 Jul 2024 00:00:00 GMT</t>
  </si>
  <si>
    <t>Mon, 08 Jul 2024 00:00:00 GMT</t>
  </si>
  <si>
    <t>Tue, 09 Jul 2024 00:00:00 GMT</t>
  </si>
  <si>
    <t>Wed, 10 Jul 2024 00:00:00 GMT</t>
  </si>
  <si>
    <t>Thu, 11 Jul 2024 00:00:00 GMT</t>
  </si>
  <si>
    <t>Fri, 12 Jul 2024 00:00:00 GMT</t>
  </si>
  <si>
    <t>Mon, 15 Jul 2024 00:00:00 GMT</t>
  </si>
  <si>
    <t>Tue, 16 Jul 2024 00:00:00 GMT</t>
  </si>
  <si>
    <t>Wed, 17 Jul 2024 00:00:00 GMT</t>
  </si>
  <si>
    <t>Thu, 18 Jul 2024 00:00:00 GMT</t>
  </si>
  <si>
    <t>Fri, 19 Jul 2024 00:00:00 GMT</t>
  </si>
  <si>
    <t>Mon, 22 Jul 2024 00:00:00 GMT</t>
  </si>
  <si>
    <t>Tue, 23 Jul 2024 00:00:00 GMT</t>
  </si>
  <si>
    <t>Wed, 24 Jul 2024 00:00:00 GMT</t>
  </si>
  <si>
    <t>Thu, 25 Jul 2024 00:00:00 GMT</t>
  </si>
  <si>
    <t>Fri, 26 Jul 2024 00:00:00 GMT</t>
  </si>
  <si>
    <t>Mon, 29 Jul 2024 00:00:00 GMT</t>
  </si>
  <si>
    <t>Tue, 30 Jul 2024 00:00:00 GMT</t>
  </si>
  <si>
    <t>Wed, 31 Jul 2024 00:00:00 GMT</t>
  </si>
  <si>
    <t>Thu, 01 Aug 2024 00:00:00 GMT</t>
  </si>
  <si>
    <t>Fri, 02 Aug 2024 00:00:00 GMT</t>
  </si>
  <si>
    <t>Mon, 05 Aug 2024 00:00:00 GMT</t>
  </si>
  <si>
    <t>Tue, 06 Aug 2024 00:00:00 GMT</t>
  </si>
  <si>
    <t>Wed, 07 Aug 2024 00:00:00 GMT</t>
  </si>
  <si>
    <t>Thu, 08 Aug 2024 00:00:00 GMT</t>
  </si>
  <si>
    <t>Fri, 09 Aug 2024 00:00:00 GMT</t>
  </si>
  <si>
    <t>Mon, 12 Aug 2024 00:00:00 GMT</t>
  </si>
  <si>
    <t>Tue, 13 Aug 2024 00:00:00 GMT</t>
  </si>
  <si>
    <t>Wed, 14 Aug 2024 00:00:00 GMT</t>
  </si>
  <si>
    <t>Thu, 15 Aug 2024 00:00:00 GMT</t>
  </si>
  <si>
    <t>Fri, 16 Aug 2024 00:00:00 GMT</t>
  </si>
  <si>
    <t>Mon, 19 Aug 2024 00:00:00 GMT</t>
  </si>
  <si>
    <t>Tue, 20 Aug 2024 00:00:00 GMT</t>
  </si>
  <si>
    <t>Wed, 21 Aug 2024 00:00:00 GMT</t>
  </si>
  <si>
    <t>Thu, 22 Aug 2024 00:00:00 GMT</t>
  </si>
  <si>
    <t>Fri, 23 Aug 2024 00:00:00 GMT</t>
  </si>
  <si>
    <t>Mon, 26 Aug 2024 00:00:00 GMT</t>
  </si>
  <si>
    <t>Tue, 27 Aug 2024 00:00:00 GMT</t>
  </si>
  <si>
    <t>Wed, 28 Aug 2024 00:00:00 GMT</t>
  </si>
  <si>
    <t>Thu, 29 Aug 2024 00:00:00 GMT</t>
  </si>
  <si>
    <t>Fri, 30 Aug 2024 00:00:00 GMT</t>
  </si>
  <si>
    <t>Tue, 03 Sep 2024 00:00:00 GMT</t>
  </si>
  <si>
    <t>Wed, 04 Sep 2024 00:00:00 GMT</t>
  </si>
  <si>
    <t>Thu, 05 Sep 2024 00:00:00 GMT</t>
  </si>
  <si>
    <t>Fri, 06 Sep 2024 00:00:00 GMT</t>
  </si>
  <si>
    <t>Mon, 09 Sep 2024 00:00:00 GMT</t>
  </si>
  <si>
    <t>Tue, 10 Sep 2024 00:00:00 GMT</t>
  </si>
  <si>
    <t>Wed, 11 Sep 2024 00:00:00 GMT</t>
  </si>
  <si>
    <t>Thu, 12 Sep 2024 00:00:00 GMT</t>
  </si>
  <si>
    <t>Fri, 13 Sep 2024 00:00:00 GMT</t>
  </si>
  <si>
    <t>Mon, 16 Sep 2024 00:00:00 GMT</t>
  </si>
  <si>
    <t>Tue, 17 Sep 2024 00:00:00 GMT</t>
  </si>
  <si>
    <t>Wed, 18 Sep 2024 00:00:00 GMT</t>
  </si>
  <si>
    <t>Thu, 19 Sep 2024 00:00:00 GMT</t>
  </si>
  <si>
    <t>Fri, 20 Sep 2024 00:00:00 GMT</t>
  </si>
  <si>
    <t>Mon, 23 Sep 2024 00:00:00 GMT</t>
  </si>
  <si>
    <t>Tue, 24 Sep 2024 00:00:00 GMT</t>
  </si>
  <si>
    <t>Wed, 25 Sep 2024 00:00:00 GMT</t>
  </si>
  <si>
    <t>Thu, 26 Sep 2024 00:00:00 GMT</t>
  </si>
  <si>
    <t>Fri, 27 Sep 2024 00:00:00 GMT</t>
  </si>
  <si>
    <t>Mon, 30 Sep 2024 00:00:00 GMT</t>
  </si>
  <si>
    <t>Tue, 01 Oct 2024 00:00:00 GMT</t>
  </si>
  <si>
    <t>Wed, 02 Oct 2024 00:00:00 GMT</t>
  </si>
  <si>
    <t>Thu, 03 Oct 2024 00:00:00 GMT</t>
  </si>
  <si>
    <t>Fri, 04 Oct 2024 00:00:00 GMT</t>
  </si>
  <si>
    <t>Mon, 07 Oct 2024 00:00:00 GMT</t>
  </si>
  <si>
    <t>Tue, 08 Oct 2024 00:00:00 GMT</t>
  </si>
  <si>
    <t>Wed, 09 Oct 2024 00:00:00 GMT</t>
  </si>
  <si>
    <t>Thu, 10 Oct 2024 00:00:00 GMT</t>
  </si>
  <si>
    <t>Fri, 11 Oct 2024 00:00:00 GMT</t>
  </si>
  <si>
    <t>Mon, 14 Oct 2024 00:00:00 GMT</t>
  </si>
  <si>
    <t>Tue, 15 Oct 2024 00:00:00 GMT</t>
  </si>
  <si>
    <t>Wed, 16 Oct 2024 00:00:00 GMT</t>
  </si>
  <si>
    <t>Thu, 17 Oct 2024 00:00:00 GMT</t>
  </si>
  <si>
    <t>Fri, 18 Oct 2024 00:00:00 GMT</t>
  </si>
  <si>
    <t>Mon, 21 Oct 2024 00:00:00 GMT</t>
  </si>
  <si>
    <t>Tue, 22 Oct 2024 00:00:00 GMT</t>
  </si>
  <si>
    <t>Wed, 23 Oct 2024 00:00:00 GMT</t>
  </si>
  <si>
    <t>Thu, 24 Oct 2024 00:00:00 GMT</t>
  </si>
  <si>
    <t>Fri, 25 Oct 2024 00:00:00 GMT</t>
  </si>
  <si>
    <t>Mon, 28 Oct 2024 00:00:00 GMT</t>
  </si>
  <si>
    <t>Tue, 29 Oct 2024 00:00:00 GMT</t>
  </si>
  <si>
    <t>Wed, 30 Oct 2024 00:00:00 GMT</t>
  </si>
  <si>
    <t>Thu, 31 Oct 2024 00:00:00 GMT</t>
  </si>
  <si>
    <t>Fri, 01 Nov 2024 00:00:00 GMT</t>
  </si>
  <si>
    <t>Mon, 04 Nov 2024 00:00:00 GMT</t>
  </si>
  <si>
    <t>Tue, 05 Nov 2024 00:00:00 GMT</t>
  </si>
  <si>
    <t>Wed, 06 Nov 2024 00:00:00 GMT</t>
  </si>
  <si>
    <t>Thu, 07 Nov 2024 00:00:00 GMT</t>
  </si>
  <si>
    <t>Fri, 08 Nov 2024 00:00:00 GMT</t>
  </si>
  <si>
    <t>Mon, 11 Nov 2024 00:00:00 GMT</t>
  </si>
  <si>
    <t>Tue, 12 Nov 2024 00:00:00 GMT</t>
  </si>
  <si>
    <t>Wed, 13 Nov 2024 00:00:00 GMT</t>
  </si>
  <si>
    <t>Thu, 14 Nov 2024 00:00:00 GMT</t>
  </si>
  <si>
    <t>Fri, 15 Nov 2024 00:00:00 GMT</t>
  </si>
  <si>
    <t>Mon, 18 Nov 2024 00:00:00 GMT</t>
  </si>
  <si>
    <t>Tue, 19 Nov 2024 00:00:00 GMT</t>
  </si>
  <si>
    <t>Wed, 20 Nov 2024 00:00:00 GMT</t>
  </si>
  <si>
    <t>Thu, 21 Nov 2024 00:00:00 GMT</t>
  </si>
  <si>
    <t>Fri, 22 Nov 2024 00:00:00 GMT</t>
  </si>
  <si>
    <t>Mon, 25 Nov 2024 00:00:00 GMT</t>
  </si>
  <si>
    <t>Tue, 26 Nov 2024 00:00:00 GMT</t>
  </si>
  <si>
    <t>Wed, 27 Nov 2024 00:00:00 GMT</t>
  </si>
  <si>
    <t>Fri, 29 Nov 2024 00:00:00 GMT</t>
  </si>
  <si>
    <t>Mon, 02 Dec 2024 00:00:00 GMT</t>
  </si>
  <si>
    <t>Tue, 03 Dec 2024 00:00:00 GMT</t>
  </si>
  <si>
    <t>Wed, 04 Dec 2024 00:00:00 GMT</t>
  </si>
  <si>
    <t>Thu, 05 Dec 2024 00:00:00 GMT</t>
  </si>
  <si>
    <t>Fri, 06 Dec 2024 00:00:00 GMT</t>
  </si>
  <si>
    <t>Mon, 09 Dec 2024 00:00:00 GMT</t>
  </si>
  <si>
    <t>Tue, 10 Dec 2024 00:00:00 GMT</t>
  </si>
  <si>
    <t>Wed, 11 Dec 2024 00:00:00 GMT</t>
  </si>
  <si>
    <t>Thu, 12 Dec 2024 00:00:00 GMT</t>
  </si>
  <si>
    <t>Fri, 13 Dec 2024 00:00:00 GMT</t>
  </si>
  <si>
    <t>Mon, 16 Dec 2024 00:00:00 GMT</t>
  </si>
  <si>
    <t>Tue, 17 Dec 2024 00:00:00 GMT</t>
  </si>
  <si>
    <t>Wed, 18 Dec 2024 00:00:00 GMT</t>
  </si>
  <si>
    <t>Thu, 19 Dec 2024 00:00:00 GMT</t>
  </si>
  <si>
    <t>Fri, 20 Dec 2024 00:00:00 GMT</t>
  </si>
  <si>
    <t>Mon, 23 Dec 2024 00:00:00 GMT</t>
  </si>
  <si>
    <t>Tue, 24 Dec 2024 00:00:00 GMT</t>
  </si>
  <si>
    <t>Thu, 26 Dec 2024 00:00:00 GMT</t>
  </si>
  <si>
    <t>Fri, 27 Dec 2024 00:00:00 GMT</t>
  </si>
  <si>
    <t>Mon, 30 Dec 2024 00:00:00 GMT</t>
  </si>
  <si>
    <t>Tue, 31 Dec 2024 00:00:00 GMT</t>
  </si>
  <si>
    <t>Thu, 02 Jan 2025 00:00:00 GMT</t>
  </si>
  <si>
    <t>Fri, 03 Jan 2025 00:00:00 GMT</t>
  </si>
  <si>
    <t>Mon, 06 Jan 2025 00:00:00 GMT</t>
  </si>
  <si>
    <t>Tue, 07 Jan 2025 00:00:00 GMT</t>
  </si>
  <si>
    <t>Wed, 08 Jan 2025 00:00:00 GMT</t>
  </si>
  <si>
    <t>Fri, 10 Jan 2025 00:00:00 GMT</t>
  </si>
  <si>
    <t>Mon, 13 Jan 2025 00:00:00 GMT</t>
  </si>
  <si>
    <t>Tue, 14 Jan 2025 00:00:00 GMT</t>
  </si>
  <si>
    <t>Wed, 15 Jan 2025 00:00:00 GMT</t>
  </si>
  <si>
    <t>Thu, 16 Jan 2025 00:00:00 GMT</t>
  </si>
  <si>
    <t>Fri, 17 Jan 2025 00:00:00 GMT</t>
  </si>
  <si>
    <t>Tue, 21 Jan 2025 00:00:00 GMT</t>
  </si>
  <si>
    <t>Wed, 22 Jan 2025 00:00:00 GMT</t>
  </si>
  <si>
    <t>Thu, 23 Jan 2025 00:00:00 GMT</t>
  </si>
  <si>
    <t>Fri, 24 Jan 2025 00:00:00 GMT</t>
  </si>
  <si>
    <t>Mon, 27 Jan 2025 00:00:00 GMT</t>
  </si>
  <si>
    <t>Tue, 28 Jan 2025 00:00:00 GMT</t>
  </si>
  <si>
    <t>Wed, 29 Jan 2025 00:00:00 GMT</t>
  </si>
  <si>
    <t>Thu, 30 Jan 2025 00:00:00 GMT</t>
  </si>
  <si>
    <t>Fri, 31 Jan 2025 00:00:00 GMT</t>
  </si>
  <si>
    <t>Mon, 03 Feb 2025 00:00:00 GMT</t>
  </si>
  <si>
    <t>Tue, 04 Feb 2025 00:00:00 GMT</t>
  </si>
  <si>
    <t>Wed, 05 Feb 2025 00:00:00 GMT</t>
  </si>
  <si>
    <t>Thu, 06 Feb 2025 00:00:00 GMT</t>
  </si>
  <si>
    <t>Fri, 07 Feb 2025 00:00:00 GMT</t>
  </si>
  <si>
    <t>Mon, 10 Feb 2025 00:00:00 GMT</t>
  </si>
  <si>
    <t>Tue, 11 Feb 2025 00:00:00 GMT</t>
  </si>
  <si>
    <t>Wed, 12 Feb 2025 00:00:00 GMT</t>
  </si>
  <si>
    <t>Thu, 13 Feb 2025 00:00:00 GMT</t>
  </si>
  <si>
    <t>Fri, 14 Feb 2025 00:00:00 GMT</t>
  </si>
  <si>
    <t>Tue, 18 Feb 2025 00:00:00 GMT</t>
  </si>
  <si>
    <t>Wed, 19 Feb 2025 00:00:00 GMT</t>
  </si>
  <si>
    <t>Thu, 20 Feb 2025 00:00:00 GMT</t>
  </si>
  <si>
    <t>Fri, 21 Feb 2025 00:00:00 GMT</t>
  </si>
  <si>
    <t>Mon, 24 Feb 2025 00:00:00 GMT</t>
  </si>
  <si>
    <t>Tue, 25 Feb 2025 00:00:00 GMT</t>
  </si>
  <si>
    <t>Wed, 26 Feb 2025 00:00:00 GMT</t>
  </si>
  <si>
    <t>Thu, 27 Feb 2025 00:00:00 GMT</t>
  </si>
  <si>
    <t>Fri, 28 Feb 2025 00:00:00 GMT</t>
  </si>
  <si>
    <t>Mon, 03 Mar 2025 00:00:00 GMT</t>
  </si>
  <si>
    <t>Tue, 04 Mar 2025 00:00:00 GMT</t>
  </si>
  <si>
    <t>Wed, 05 Mar 2025 00:00:00 GMT</t>
  </si>
  <si>
    <t>Thu, 06 Mar 2025 00:00:00 GMT</t>
  </si>
  <si>
    <t>Fri, 07 Mar 2025 00:00:00 GMT</t>
  </si>
  <si>
    <t>Mon, 10 Mar 2025 00:00:00 GMT</t>
  </si>
  <si>
    <t>Tue, 11 Mar 2025 00:00:00 GMT</t>
  </si>
  <si>
    <t>Wed, 12 Mar 2025 00:00:00 GMT</t>
  </si>
  <si>
    <t>Thu, 13 Mar 2025 00:00:00 GMT</t>
  </si>
  <si>
    <t>Fri, 14 Mar 2025 00:00:00 GMT</t>
  </si>
  <si>
    <t>Mon, 17 Mar 2025 00:00:00 GMT</t>
  </si>
  <si>
    <t>Tue, 18 Mar 2025 00:00:00 GMT</t>
  </si>
  <si>
    <t>Wed, 19 Mar 2025 00:00:00 GMT</t>
  </si>
  <si>
    <t>Thu, 20 Mar 2025 00:00:00 GMT</t>
  </si>
  <si>
    <t>Fri, 21 Mar 2025 00:00:00 GMT</t>
  </si>
  <si>
    <t>Mon, 24 Mar 2025 00:00:00 GMT</t>
  </si>
  <si>
    <t>Tue, 25 Mar 2025 00:00:00 GMT</t>
  </si>
  <si>
    <t>Wed, 26 Mar 2025 00:00:00 GMT</t>
  </si>
  <si>
    <t>Thu, 27 Mar 2025 00:00:00 GMT</t>
  </si>
  <si>
    <t>Fri, 28 Mar 2025 00:00:00 GMT</t>
  </si>
  <si>
    <t>Mon, 31 Mar 2025 00:00:00 GMT</t>
  </si>
  <si>
    <t>Tue, 01 Apr 2025 00:00:00 GMT</t>
  </si>
  <si>
    <t>Wed, 02 Apr 2025 00:00:00 GMT</t>
  </si>
  <si>
    <t>Thu, 03 Apr 2025 00:00:00 GMT</t>
  </si>
  <si>
    <t>Fri, 04 Apr 2025 00:00:00 GMT</t>
  </si>
  <si>
    <t>Mon, 07 Apr 2025 00:00:00 GMT</t>
  </si>
  <si>
    <t>Tue, 08 Apr 2025 00:00:00 GMT</t>
  </si>
  <si>
    <t>Wed, 09 Apr 2025 00:00:00 GMT</t>
  </si>
  <si>
    <t>Thu, 10 Apr 2025 00:00:00 GMT</t>
  </si>
  <si>
    <t>Fri, 11 Apr 2025 00:00:00 GMT</t>
  </si>
  <si>
    <t>Mon, 14 Apr 2025 00:00:00 GMT</t>
  </si>
  <si>
    <t>Tue, 15 Apr 2025 00:00:00 GMT</t>
  </si>
  <si>
    <t>Wed, 16 Apr 2025 00:00:00 GMT</t>
  </si>
  <si>
    <t>Thu, 17 Apr 2025 00:00:00 GMT</t>
  </si>
  <si>
    <t>Mon, 21 Apr 2025 00:00:00 GMT</t>
  </si>
  <si>
    <t>Tue, 22 Apr 2025 00:00:00 GMT</t>
  </si>
  <si>
    <t>Wed, 23 Apr 2025 00:00:00 GMT</t>
  </si>
  <si>
    <t>Thu, 24 Apr 2025 00:00:00 GMT</t>
  </si>
  <si>
    <t>Fri, 25 Apr 2025 00:00:00 GMT</t>
  </si>
  <si>
    <t>Mon, 28 Apr 2025 00:00:00 GMT</t>
  </si>
  <si>
    <t>Tue, 29 Apr 2025 00:00:00 GMT</t>
  </si>
  <si>
    <t>Wed, 30 Apr 2025 00:00:00 GMT</t>
  </si>
  <si>
    <t>Thu, 01 May 2025 00:00:00 GMT</t>
  </si>
  <si>
    <t>Fri, 02 May 2025 00:00:00 GMT</t>
  </si>
  <si>
    <t>UTC Date</t>
  </si>
  <si>
    <t>Volume</t>
  </si>
  <si>
    <t>Open</t>
  </si>
  <si>
    <t>Low</t>
  </si>
  <si>
    <t>High</t>
  </si>
  <si>
    <t>Close</t>
  </si>
  <si>
    <t>1490 Days, 1000 trading days? (from May 3rd 2021)</t>
  </si>
  <si>
    <t>SYK Historical Return Histogram (5/3/25)</t>
  </si>
  <si>
    <t>Change</t>
  </si>
  <si>
    <t>Min</t>
  </si>
  <si>
    <t>Max</t>
  </si>
  <si>
    <t>There is slight implied upside to mean 1-day returns</t>
  </si>
  <si>
    <t>Mean μ</t>
  </si>
  <si>
    <t>Median</t>
  </si>
  <si>
    <t>SD σ</t>
  </si>
  <si>
    <t xml:space="preserve">  3σ 1-Day Δ: ±</t>
  </si>
  <si>
    <t>β (1-year avg.)</t>
  </si>
  <si>
    <t>&lt;- Sortino Ratio (Downside Risk Adjusted Return)</t>
  </si>
  <si>
    <t>Bin</t>
  </si>
  <si>
    <t>More</t>
  </si>
  <si>
    <t>Frequency</t>
  </si>
  <si>
    <t>Mean</t>
  </si>
  <si>
    <t>-3σ</t>
  </si>
  <si>
    <t>-2σ</t>
  </si>
  <si>
    <t>-1σ</t>
  </si>
  <si>
    <t>1σ</t>
  </si>
  <si>
    <t>2σ</t>
  </si>
  <si>
    <t>3σ</t>
  </si>
  <si>
    <r>
      <rPr>
        <i/>
        <sz val="11"/>
        <color theme="1"/>
        <rFont val="Calibre"/>
      </rPr>
      <t>n</t>
    </r>
    <r>
      <rPr>
        <sz val="11"/>
        <color theme="1"/>
        <rFont val="Calibre"/>
      </rPr>
      <t xml:space="preserve"> =</t>
    </r>
  </si>
  <si>
    <t xml:space="preserve">The return distribution fits a Gaussian curve well, implying that daily change follows a roughly normal distribution </t>
  </si>
  <si>
    <r>
      <t xml:space="preserve"> (X) 1-Day</t>
    </r>
    <r>
      <rPr>
        <b/>
        <i/>
        <sz val="11"/>
        <color theme="1"/>
        <rFont val="Calibri"/>
        <family val="2"/>
        <scheme val="minor"/>
      </rPr>
      <t xml:space="preserve"> Δ </t>
    </r>
    <r>
      <rPr>
        <i/>
        <sz val="11"/>
        <color theme="1"/>
        <rFont val="Calibri"/>
        <family val="2"/>
        <scheme val="minor"/>
      </rPr>
      <t xml:space="preserve"> </t>
    </r>
  </si>
  <si>
    <t xml:space="preserve">(Y) Pop. Density </t>
  </si>
  <si>
    <t>X</t>
  </si>
  <si>
    <t>Y</t>
  </si>
  <si>
    <t>Histogram Data</t>
  </si>
  <si>
    <t>Distribution Overlay</t>
  </si>
  <si>
    <t>SD Lines</t>
  </si>
  <si>
    <t>Revenues</t>
  </si>
  <si>
    <t>Instruments</t>
  </si>
  <si>
    <t>Endoscopy</t>
  </si>
  <si>
    <t>Medical</t>
  </si>
  <si>
    <t>Vascular</t>
  </si>
  <si>
    <t>Neuro Cranial</t>
  </si>
  <si>
    <t>MedSurg and Neuro Ttl Revenues</t>
  </si>
  <si>
    <t>Knees</t>
  </si>
  <si>
    <t>Hips</t>
  </si>
  <si>
    <t>Trauma and Extremities</t>
  </si>
  <si>
    <t>Spinal Implants</t>
  </si>
  <si>
    <t>Other</t>
  </si>
  <si>
    <t>Orthopaedics Ttl Revenues</t>
  </si>
  <si>
    <t>Ttl Revenues</t>
  </si>
  <si>
    <t>Instruments Growth Y/y</t>
  </si>
  <si>
    <t>Endoscopy Growth Y/y</t>
  </si>
  <si>
    <t>Medical Growth Y/y</t>
  </si>
  <si>
    <t>Vascular Growth Y/y</t>
  </si>
  <si>
    <t>Neuro Cranial Growth Y/y</t>
  </si>
  <si>
    <t>Knees Growth Y/y</t>
  </si>
  <si>
    <t>Hips Growth Y/y</t>
  </si>
  <si>
    <t>Trauma and Extremities Growth Y/y</t>
  </si>
  <si>
    <t>Spinal Implants Growth Y/y</t>
  </si>
  <si>
    <t>Other Growth Y/y</t>
  </si>
  <si>
    <t>Ttl Revenues Growth Y/y</t>
  </si>
  <si>
    <t>U.S. Revenues</t>
  </si>
  <si>
    <t>International Revenues</t>
  </si>
  <si>
    <t>Ttl. Revenues</t>
  </si>
  <si>
    <t>Ttl. Revenue Growth Y/y</t>
  </si>
  <si>
    <t>U.S. Growth Y/y</t>
  </si>
  <si>
    <t>International Growth Y/y</t>
  </si>
  <si>
    <t>Q1 2025</t>
  </si>
  <si>
    <t>Q2 2025</t>
  </si>
  <si>
    <t>Q3 2025</t>
  </si>
  <si>
    <t>Q4 2025</t>
  </si>
  <si>
    <t>Q1 2026</t>
  </si>
  <si>
    <t>Q2 2026</t>
  </si>
  <si>
    <t>Q3 2026</t>
  </si>
  <si>
    <t>Q4 2026</t>
  </si>
  <si>
    <t>MedSurg and Neuro % of Ttl Revenues</t>
  </si>
  <si>
    <t>U.S. % of Revenues</t>
  </si>
  <si>
    <t>International % of Revenues</t>
  </si>
  <si>
    <t>GP</t>
  </si>
  <si>
    <t>SG&amp;A</t>
  </si>
  <si>
    <t>R&amp;D</t>
  </si>
  <si>
    <t>Amortization of Intangibles</t>
  </si>
  <si>
    <t>Other Income (Expenses)</t>
  </si>
  <si>
    <t>Taxes</t>
  </si>
  <si>
    <t>Effective Tax Rate</t>
  </si>
  <si>
    <t>Orthopaedics Ttl Revenues % of Ttl Revenues</t>
  </si>
  <si>
    <t>SC</t>
  </si>
  <si>
    <t>EPS</t>
  </si>
  <si>
    <t>Impairment</t>
  </si>
  <si>
    <t xml:space="preserve">Cash &amp; CEs </t>
  </si>
  <si>
    <t>ST Investments</t>
  </si>
  <si>
    <t>Marketable Securities</t>
  </si>
  <si>
    <t>Inventories</t>
  </si>
  <si>
    <t>Prepaid Expenses</t>
  </si>
  <si>
    <t>PP&amp;E, net</t>
  </si>
  <si>
    <t>Goodwill</t>
  </si>
  <si>
    <t>Intangibles</t>
  </si>
  <si>
    <t>Tax Assets</t>
  </si>
  <si>
    <t>Other Noncurrent Assets</t>
  </si>
  <si>
    <t>A/P</t>
  </si>
  <si>
    <t>Accrued Compensation</t>
  </si>
  <si>
    <t>Dividends Payable</t>
  </si>
  <si>
    <t>Accrued Expenses</t>
  </si>
  <si>
    <t>Tax Liabilities</t>
  </si>
  <si>
    <t>Ttl Assets</t>
  </si>
  <si>
    <t>Total Liabilities</t>
  </si>
  <si>
    <t>SE</t>
  </si>
  <si>
    <t>Ttl L + SE</t>
  </si>
  <si>
    <t>Other LT Liabilities</t>
  </si>
  <si>
    <t>CFFO</t>
  </si>
  <si>
    <t>CapEx, net</t>
  </si>
  <si>
    <t>FCF</t>
  </si>
  <si>
    <t>FCF per Share</t>
  </si>
  <si>
    <t>A/R, net</t>
  </si>
  <si>
    <t>LT Debt</t>
  </si>
  <si>
    <t>ST Portion of Debt</t>
  </si>
  <si>
    <t>Current Ratio</t>
  </si>
  <si>
    <t>Quick Ratio</t>
  </si>
  <si>
    <t>Cash Ratio</t>
  </si>
  <si>
    <t>Ttl Asset Turnover</t>
  </si>
  <si>
    <t>Inventory Turnover Ratio</t>
  </si>
  <si>
    <t>Return on Assets</t>
  </si>
  <si>
    <t>Return on Equity</t>
  </si>
  <si>
    <t>Revenue Breakdown by Segment</t>
  </si>
  <si>
    <t>Company Overview:</t>
  </si>
  <si>
    <t>Registered Exchange: NYSE</t>
  </si>
  <si>
    <t>SEC filings</t>
  </si>
  <si>
    <t>Godel Terminal</t>
  </si>
  <si>
    <t>Stryker Corp. (SYK)</t>
  </si>
  <si>
    <t>Founded: 1941</t>
  </si>
  <si>
    <t>Current CEO: Kevin A. Lobo</t>
  </si>
  <si>
    <t>Financial Stmts. Notes/Observations (Updated Q1'25)</t>
  </si>
  <si>
    <t>Revenues:</t>
  </si>
  <si>
    <t>Earnings Scope:</t>
  </si>
  <si>
    <t>Balance Sheet Scope:</t>
  </si>
  <si>
    <t>Address: 1941 STRYKER WAY, PORTAGE, MI, 49002</t>
  </si>
  <si>
    <t>Investor Relations Contact :</t>
  </si>
  <si>
    <t xml:space="preserve">Jason Beach, Vice President, Finance and Investor Relations </t>
  </si>
  <si>
    <t>(269) 385-2600</t>
  </si>
  <si>
    <t>Phone:</t>
  </si>
  <si>
    <r>
      <rPr>
        <b/>
        <sz val="11"/>
        <color theme="1"/>
        <rFont val="Calibre"/>
      </rPr>
      <t>Stryker Corporation is a global leader in medical technologies</t>
    </r>
    <r>
      <rPr>
        <sz val="11"/>
        <color theme="1"/>
        <rFont val="Calibre"/>
      </rPr>
      <t xml:space="preserve">, offering innovative </t>
    </r>
    <r>
      <rPr>
        <b/>
        <sz val="11"/>
        <color theme="1"/>
        <rFont val="Calibre"/>
      </rPr>
      <t>products and services</t>
    </r>
    <r>
      <rPr>
        <sz val="11"/>
        <color theme="1"/>
        <rFont val="Calibre"/>
      </rPr>
      <t xml:space="preserve"> in </t>
    </r>
    <r>
      <rPr>
        <b/>
        <sz val="11"/>
        <color theme="1"/>
        <rFont val="Calibre"/>
      </rPr>
      <t>MedSurg, Neurotechnology and Orthopaedics</t>
    </r>
    <r>
      <rPr>
        <sz val="11"/>
        <color theme="1"/>
        <rFont val="Calibre"/>
      </rPr>
      <t xml:space="preserve"> that help improve patient and healthcare outcomes. The Company has an impact on more than 150 million patients annually</t>
    </r>
  </si>
  <si>
    <t>The Company was incorporated in Michigan in 1946 as the successor company to a business founded in 1941 by Dr. Homer H. Stryker, a prominent orthopaedic surgeon and inventor of several medical products</t>
  </si>
  <si>
    <t>Products are sold in approximately 75 countries through company-owned subsidiaries and branches as well as third-party dealers and distributors, and include</t>
  </si>
  <si>
    <t>Mako Robotic-Arm Assisted technology</t>
  </si>
  <si>
    <t>Surgical equipment and surgical navigation systems</t>
  </si>
  <si>
    <t>Endoscopic and communications systems</t>
  </si>
  <si>
    <t>Patient handling, emergency medical equipment and intensive care disposable products</t>
  </si>
  <si>
    <t>Clinical communication and artificial intelligence-assisted virtual care platform technology</t>
  </si>
  <si>
    <t>Neurosurgical and neurovascular devices</t>
  </si>
  <si>
    <t>Implants used in joint replacement and trauma surgeries</t>
  </si>
  <si>
    <t>Spinal devices</t>
  </si>
  <si>
    <t>[other products used in a variety of medical specialties]</t>
  </si>
  <si>
    <t>!!! Build full product scope + IP pipeline/expiry schedule!!!</t>
  </si>
  <si>
    <t>(ii) Orthopaedics</t>
  </si>
  <si>
    <t>Employees: 53,000 (~ same as BSX)</t>
  </si>
  <si>
    <t>General Notes/Observations (Updated Q1'25)</t>
  </si>
  <si>
    <t>In the fourth quarter 2024, The Company reorganized the Spine business to align with certain updates to internal reporting structure</t>
  </si>
  <si>
    <t>The spine enabling technologies portfolio (Enabling Technologies) was reclassified to Other Orthopaedics and Spine, the Interventional Spine (IVS) portfolio was reclassified to Neuro Cranial and the remaining Spine business was renamed to Spinal Implants</t>
  </si>
  <si>
    <t>In addition, The Business changed the name of the  “Orthopaedics and Spine” operating segment to “Orthopaedics.”</t>
  </si>
  <si>
    <t>MedSurg and Neurotechnology</t>
  </si>
  <si>
    <t xml:space="preserve">MedSurg includes: </t>
  </si>
  <si>
    <t>Neurotechnology offering includes:</t>
  </si>
  <si>
    <t>Neurovascular and craniomaxillofacial implant products</t>
  </si>
  <si>
    <t>Products used for minimally invasive endovascular procedures; a comprehensive line of products for traditional brain and open skull based surgical procedures</t>
  </si>
  <si>
    <t>Intensive care disposable products and clinical communication and artificial intelligence-assisted virtual care platform technology (Medical)</t>
  </si>
  <si>
    <t>Endoscopic and Communications Systems (Endoscopy)</t>
  </si>
  <si>
    <t>Navigation Systems (Instruments)</t>
  </si>
  <si>
    <t>Patient and Caregiver Safety Technologies</t>
  </si>
  <si>
    <t>Surgical Equipment</t>
  </si>
  <si>
    <t>Patient Handling</t>
  </si>
  <si>
    <t>Emergency Medical Equipment</t>
  </si>
  <si>
    <t>The Company is one of seven leading global competitors in Endoscopy; the other six being Karl Storz GmbH &amp; Co., Olympus Optical Co. Ltd., Smith &amp; Nephew plc (Smith &amp; Nephew), ConMed Linvatec, Arthrex, Inc. and STERIS plc</t>
  </si>
  <si>
    <t>Ticker:</t>
  </si>
  <si>
    <t>ZBH</t>
  </si>
  <si>
    <t>MDT</t>
  </si>
  <si>
    <t>JNJ</t>
  </si>
  <si>
    <t>CNMD</t>
  </si>
  <si>
    <t xml:space="preserve">Karl Stors GmbH </t>
  </si>
  <si>
    <t>OLYMY</t>
  </si>
  <si>
    <t>SNN</t>
  </si>
  <si>
    <t>Arthrex</t>
  </si>
  <si>
    <t>Private (U.S.)</t>
  </si>
  <si>
    <t>Private (German)</t>
  </si>
  <si>
    <t>STE</t>
  </si>
  <si>
    <t>Japanese Listing</t>
  </si>
  <si>
    <t>UK Listing</t>
  </si>
  <si>
    <t>BAX</t>
  </si>
  <si>
    <t>Zoll Medical</t>
  </si>
  <si>
    <t>Private (Japanese)</t>
  </si>
  <si>
    <t>Medline</t>
  </si>
  <si>
    <t>Ferno-Washington</t>
  </si>
  <si>
    <t>Terumo</t>
  </si>
  <si>
    <t>PEN</t>
  </si>
  <si>
    <t>-</t>
  </si>
  <si>
    <t>care.ai adds complementary technology that is expected to integrate seamlessly with the Vocera platform (Vocera) and Stryker’s devices, providing customers with an enterprise-wide ecosystem that is intended to deliver dynamic clinical workflows and further the development of smart care facilities</t>
  </si>
  <si>
    <t>Neurovascular initiated a targeted launch of the Surpass Elite Flow Diverting Stent (FDS) in the U.S. and South Korea</t>
  </si>
  <si>
    <t>Surpass Elite FDS is designed to reduce thrombin generation when compared to unmodified stents</t>
  </si>
  <si>
    <t>Additionally, Neurovascular launched Surpass Evolve FDS in Japan</t>
  </si>
  <si>
    <t>The Stryker FDS platform is designed to effectively treat aneurysms by redirecting blood flow away from the aneurysm to promote healing</t>
  </si>
  <si>
    <t>Orthopaedics</t>
  </si>
  <si>
    <t>Triathlon Hinge received approval in August of 2023 and is now released in the U.S., Canada and New Zealand</t>
  </si>
  <si>
    <t>Also continued delivering growth in total hip arthroplasty, particularly in the primary segment where Direct Anterior Reconstructive Technology and Mako Total Hip can help to reduce, if not eliminate, a surgeon's use of intraoperative fluoroscopy during direct anterior hip procedures</t>
  </si>
  <si>
    <t>To date more than one million robotic Mako Total Knees and 1.5 million robotic procedures across Total Hips, Total Knees and Partial Knees have been performed globally</t>
  </si>
  <si>
    <t>Stryker’s Joint Replacement division also launched the “Scan. Plan. Mako Can.” direct to patient campaign, accelerating awareness of Mako technology in the U.S.</t>
  </si>
  <si>
    <t>In 2024 Trauma launched Pangea, a comprehensive variable angle plating portfolio designed to optimize plate fit to bone utilizing simple, intuitive instrumentation that enhances ease of use and reproducibility</t>
  </si>
  <si>
    <t>These combined solutions empower Stryker to deliver a complete portfolio across all trauma segments</t>
  </si>
  <si>
    <t>Raw Materials and Inventory</t>
  </si>
  <si>
    <t>[Build full product list in separate tab]</t>
  </si>
  <si>
    <t>Patents and Trademarks</t>
  </si>
  <si>
    <t>Patent protection of such products restricts competitors from duplicating these unique designs and features</t>
  </si>
  <si>
    <t>A truly immense sum of IP to sift through… a bunch of it may not be currently utilized/commercialized but is still worth looking into</t>
  </si>
  <si>
    <t>[Begin building out IP scope]</t>
  </si>
  <si>
    <t>Seasonality</t>
  </si>
  <si>
    <t>Core business is generally not seasonal in nature; however, the number of orthopaedic implant surgeries is typically lower in the summer months, and sales of capital equipment are generally higher in the fourth quarter</t>
  </si>
  <si>
    <t>Competition</t>
  </si>
  <si>
    <t>Competition in research involving the development and improvement of new and existing products and processes is particularly significant</t>
  </si>
  <si>
    <t>The competitive environment requires substantial investments in continuing research and maintaining sales forces</t>
  </si>
  <si>
    <t>Investigate R&amp;D spend and comps with peers… Build pipeline</t>
  </si>
  <si>
    <t>Potential Motes</t>
  </si>
  <si>
    <t>[Bogus corporate speak from filing… look at what has set Stryker up for 80 years of successful operations]</t>
  </si>
  <si>
    <r>
      <rPr>
        <b/>
        <sz val="11"/>
        <color theme="1"/>
        <rFont val="Calibre"/>
      </rPr>
      <t>Competition</t>
    </r>
    <r>
      <rPr>
        <sz val="11"/>
        <color theme="1"/>
        <rFont val="Calibre"/>
      </rPr>
      <t xml:space="preserve"> in </t>
    </r>
    <r>
      <rPr>
        <b/>
        <sz val="11"/>
        <color theme="1"/>
        <rFont val="Calibre"/>
      </rPr>
      <t>MedSurg</t>
    </r>
    <r>
      <rPr>
        <sz val="11"/>
        <color theme="1"/>
        <rFont val="Calibre"/>
      </rPr>
      <t xml:space="preserve"> and </t>
    </r>
    <r>
      <rPr>
        <b/>
        <sz val="11"/>
        <color theme="1"/>
        <rFont val="Calibre"/>
      </rPr>
      <t>Neurotechnology</t>
    </r>
    <r>
      <rPr>
        <sz val="11"/>
        <color theme="1"/>
        <rFont val="Calibre"/>
      </rPr>
      <t>:</t>
    </r>
  </si>
  <si>
    <r>
      <rPr>
        <b/>
        <sz val="11"/>
        <color theme="1"/>
        <rFont val="Calibre"/>
      </rPr>
      <t>Competition</t>
    </r>
    <r>
      <rPr>
        <sz val="11"/>
        <color theme="1"/>
        <rFont val="Calibre"/>
      </rPr>
      <t xml:space="preserve"> in </t>
    </r>
    <r>
      <rPr>
        <b/>
        <sz val="11"/>
        <color theme="1"/>
        <rFont val="Calibre"/>
      </rPr>
      <t>Orthopaedics</t>
    </r>
    <r>
      <rPr>
        <sz val="11"/>
        <color theme="1"/>
        <rFont val="Calibre"/>
      </rPr>
      <t>:</t>
    </r>
  </si>
  <si>
    <t>Research patent pipeline, build expiry schedule, and compare portfolio to other firms to identify competitive overlap</t>
  </si>
  <si>
    <t>Regulation</t>
  </si>
  <si>
    <t>The European Union enacted the European Union Medical Device Regulation in May 2017 with an original effective date of May 2022, which imposes stricter requirements for the marketing and sale of medical devices, including in the areas of clinical evaluation requirements, quality systems, labeling and post-market surveillance</t>
  </si>
  <si>
    <t>These initiatives are sponsored by government agencies, legislative bodies and the private sector and include price regulation and competitive pricing</t>
  </si>
  <si>
    <t>In addition, business practices in the healthcare industry are scrutinized, particularly in the United States, by federal and state government agencies</t>
  </si>
  <si>
    <t>Any resulting investigations and prosecutions potentially carry the risk of significant civil and criminal penalties</t>
  </si>
  <si>
    <t>Employees</t>
  </si>
  <si>
    <t>Category</t>
  </si>
  <si>
    <t>Brief description of role</t>
  </si>
  <si>
    <t>Sales &amp; Clinical Support appx. 20-25%</t>
  </si>
  <si>
    <t xml:space="preserve">Engineering &amp; R&amp;D appx. 20-25% </t>
  </si>
  <si>
    <t>&lt;-- Biomedical engineers, mechanical engineers, software developers, R&amp;D scientists, product designers focused on developing medical devices, surgical equipment, and digital health solutions.</t>
  </si>
  <si>
    <t>&lt;-- Production workers, quality assurance, supply chain, logistics, plant managers focused on Medical device manufacturing, assembly, and distribution</t>
  </si>
  <si>
    <t xml:space="preserve">Manufacturing &amp; Operations appx. 25-30% </t>
  </si>
  <si>
    <t xml:space="preserve">Regulatory, Quality &amp; Clinical appx. 10-15% </t>
  </si>
  <si>
    <t>Corporate &amp; Support Functions 10-15%</t>
  </si>
  <si>
    <t>Service &amp; Field Support 5-10%</t>
  </si>
  <si>
    <t>&lt;-- Medical device sales reps, account managers, market access specialists focused on selling to hospitals, surgeons, and healthcare systems</t>
  </si>
  <si>
    <t>&lt;-- Regulatory affairs specialists, QA/QC analysts, clinical research associates focused on FDA/EMA compliance, clinical trials, post-market surveillance</t>
  </si>
  <si>
    <t>China Segment?</t>
  </si>
  <si>
    <t>&lt;-- HR, finance, IT, legal, marketing, executive leadership focused on Business operations, strategy, and employee support (a standard for large multinationals)</t>
  </si>
  <si>
    <t>&lt;-- Field service technicians, customer support, training specialists focused on maintaining surgical equipment, training healthcare providers</t>
  </si>
  <si>
    <t>Executive Officers Scope</t>
  </si>
  <si>
    <t>Primary Corporate Website</t>
  </si>
  <si>
    <t>www.stryker.com</t>
  </si>
  <si>
    <t>https://investors.stryker.com/home/default.aspx</t>
  </si>
  <si>
    <t>Business Risks</t>
  </si>
  <si>
    <t>[Insert all disclosed risks]</t>
  </si>
  <si>
    <t>Revenue Recognition</t>
  </si>
  <si>
    <t>"Products &amp; Services" … Look into individual revenue centers; are there any recurring revenue centers? Could help diversify the business beyond pure IP commercialization, adding "bondified" long term cash flows beyond the patented tech plays</t>
  </si>
  <si>
    <r>
      <t xml:space="preserve">Products and services are </t>
    </r>
    <r>
      <rPr>
        <sz val="11"/>
        <color theme="1"/>
        <rFont val="Calibre"/>
      </rPr>
      <t>primarily transferred to customers at a</t>
    </r>
    <r>
      <rPr>
        <b/>
        <sz val="11"/>
        <color theme="1"/>
        <rFont val="Calibre"/>
      </rPr>
      <t xml:space="preserve"> point in time, </t>
    </r>
    <r>
      <rPr>
        <sz val="11"/>
        <color theme="1"/>
        <rFont val="Calibre"/>
      </rPr>
      <t>with</t>
    </r>
    <r>
      <rPr>
        <b/>
        <sz val="11"/>
        <color theme="1"/>
        <rFont val="Calibre"/>
      </rPr>
      <t xml:space="preserve"> some transfers of services taking place over time</t>
    </r>
  </si>
  <si>
    <t>A provision for estimated sales returns, discounts and rebates is recognized as a reduction of sales in the same period that the sales are recognized</t>
  </si>
  <si>
    <t>Shipping and handling costs charged to customers are included in net sales</t>
  </si>
  <si>
    <t>Business Environment</t>
  </si>
  <si>
    <t>R&amp;D Spend FY24:</t>
  </si>
  <si>
    <t>Research, development and engineering expenses as a percentage of net sales in 2024 decreased to 6.5% from 6.8% in 2023 primarily due to lower spend on medical device regulations in the European Union</t>
  </si>
  <si>
    <t>Research, development and engineering expenses as a percentage of net sales in 2023 decreased to 6.8% from 7.9% in 2022 primarily due to increased spending for product launches, the write-off of certain intangible assets and higher spend related to the new medical device regulations in the European Union in 2022</t>
  </si>
  <si>
    <t>SG&amp;A Costs:</t>
  </si>
  <si>
    <r>
      <rPr>
        <b/>
        <sz val="11"/>
        <color theme="1"/>
        <rFont val="Calibre"/>
      </rPr>
      <t>Selling, general and administrative expenses as a percentage of net sales in 2024 decreased to 34.0% from 34.7% in 2023</t>
    </r>
    <r>
      <rPr>
        <sz val="11"/>
        <color theme="1"/>
        <rFont val="Calibre"/>
      </rPr>
      <t xml:space="preserve"> primarily due to continued spend discipline and lower charges for structural optimization and certain legal matters partially offset by higher acquisition-related costs</t>
    </r>
  </si>
  <si>
    <t>NARI</t>
  </si>
  <si>
    <t>SG&amp;A Costs FY24:</t>
  </si>
  <si>
    <r>
      <rPr>
        <b/>
        <sz val="11"/>
        <color theme="1"/>
        <rFont val="Calibre"/>
      </rPr>
      <t>Research, development and engineering expenses as a percentage of net sales in 2024 decreased to 6.5% from 6.8% in 2023</t>
    </r>
    <r>
      <rPr>
        <sz val="11"/>
        <color theme="1"/>
        <rFont val="Calibre"/>
      </rPr>
      <t xml:space="preserve"> primarily due to lower spend on medical device regulations in the European Union</t>
    </r>
  </si>
  <si>
    <r>
      <rPr>
        <b/>
        <sz val="11"/>
        <color theme="1"/>
        <rFont val="Calibre"/>
      </rPr>
      <t xml:space="preserve">Consolidated net sales in 2024 increased 10.2% </t>
    </r>
    <r>
      <rPr>
        <sz val="11"/>
        <color theme="1"/>
        <rFont val="Calibre"/>
      </rPr>
      <t>as reported and 10.7% in constant currency, as foreign currency exchange rates negatively impacted net sales by 0.5%</t>
    </r>
  </si>
  <si>
    <t>Excluding the 0.5% impact of acquisitions and divestitures, net sales in constant currency increased by 9.1% from increased unit volume and 1.1% due to higher prices</t>
  </si>
  <si>
    <t>The unit volume increase was primarily due to higher shipments across all businesses</t>
  </si>
  <si>
    <t>Consolidated net sales in 2023 increased 11.1% as reported and 11.6% in constant currency, as foreign currency exchange rates negatively impacted net sales by 0.5%</t>
  </si>
  <si>
    <t>Excluding the 0.1% impact of acquisitions and divestitures, net sales in constant currency increased by 10.9% from increased unit volume and 0.6% due to higher prices</t>
  </si>
  <si>
    <t>The unit volume increase was due to higher shipments across all MedSurg and Neurotechnology businesses and most Orthopaedics businesses</t>
  </si>
  <si>
    <t>MedSurg and Neurotechnology net sales in 2024 increased 11.1% as reported and 11.6% in constant currency, as foreign currency exchange rates negatively impacted net sales by 0.5%</t>
  </si>
  <si>
    <t>Excluding the 0.4% impact of acquisitions and divestitures, net sales in constant currency increased by 9.5% from increased unit volume and 1.7% due to higher prices</t>
  </si>
  <si>
    <t>The unit volume increase was due to higher shipments across all MedSurg and Neurotechnology businesses</t>
  </si>
  <si>
    <t>MedSurg and Neurotechnology net sales in 2023 increased 11.7% as reported and 12.2% in constant currency, as foreign currency exchange rates negatively impacted net sales by 0.5%</t>
  </si>
  <si>
    <t>Excluding the 0.3% impact of acquisitions and divestitures, net sales in constant currency increased by 10.2% from increased unit volume and 1.7% due to higher prices</t>
  </si>
  <si>
    <t xml:space="preserve">Consistent, abnormally high Endoscopy and Neuro Cranial revenues during Q4 period … </t>
  </si>
  <si>
    <t>Hospital budgets pass EOY and that money is immediately put to work to benefit the hospital... --&gt; higher dispersions rate EOY because of this?</t>
  </si>
  <si>
    <t>Orthopaedics net sales in 2024 increased 8.9% as reported and 9.4% in constant currency, as foreign currency exchange rates negatively impacted net sales by 0.5%</t>
  </si>
  <si>
    <t>Excluding the 0.7% impact of acquisitions and divestitures, net sales in constant currency increased by 8.7% from increased unit volume</t>
  </si>
  <si>
    <t>The unit volume increase was due to higher shipments across all Orthopaedics businesses</t>
  </si>
  <si>
    <t>Orthopaedics net sales in 2023 increased 10.3% as reported and 10.9% in constant currency, as foreign currency exchange rates negatively impacted net sales by 0.6%</t>
  </si>
  <si>
    <t>Excluding the 0.1% impact of acquisitions and divestitures, net sales in constant currency increased by 11.9% from increased unit volume partially offset by 1.1% due to lower prices</t>
  </si>
  <si>
    <t>The unit volume increase was due to higher shipments across most Orthopaedics businesses</t>
  </si>
  <si>
    <t>Gross profit as a percentage of net sales increased to 63.9% in 2024 from 63.7% in 2023</t>
  </si>
  <si>
    <t>This is due to higher sales pricing and favorable volume partially offset by higher manufacturing and supply chain costs primarily due to inflationary pressures impacting fixed and variable manufacturing costs as well as higher amortization of inventory stepped up to fair value</t>
  </si>
  <si>
    <t>Gross profit as a percentage of net sales increased to 63.7% in 2023 from 62.8% in 2022 due to higher sales pricing and favorable volume offset by higher manufacturing and supply chain costs primarily due to higher raw material costs in the first six months of 2023 and supply chain inefficiencies</t>
  </si>
  <si>
    <t xml:space="preserve">Evaluate margins across segments… quantify </t>
  </si>
  <si>
    <t>Gross Profit FY24:</t>
  </si>
  <si>
    <t>Orthopaedics Net Sales FY24:</t>
  </si>
  <si>
    <t>MedSurg and Neurotechnology Net Sales FY24:</t>
  </si>
  <si>
    <t>Amortization of Intangible Assets</t>
  </si>
  <si>
    <t>Amortization of intangible assets was $623, $635 and $627 in 2024, 2023 and 2022</t>
  </si>
  <si>
    <t>These amounts include amortization related to intangible assets acquired in 2024 from various acquisitions, 2023 from Cerus Endovascular Limited (Cerus) and 2022 from Vocera</t>
  </si>
  <si>
    <t>Goodwill and Other Impairments</t>
  </si>
  <si>
    <t>Net Earnings</t>
  </si>
  <si>
    <t>Net earnings for 2024 increased to $2,993 or $7.76 per diluted share from $3,165 or $8.25 per diluted share in 2023 and $2,358 or $6.17 per diluted share in 2022</t>
  </si>
  <si>
    <t>Operating income was $3,689, $3,888 and $2,841 in 2024, 2023 and 2022</t>
  </si>
  <si>
    <t>Operating income decreased as a percentage of sales to 16.3% in 2024 from 19.0% in 2023 and increased from 15.4% in 2022</t>
  </si>
  <si>
    <t>MedSurg and Neurotechnology operating income as a percentage of net sales increased to 29.6% in 2024 from 28.5% in 2023</t>
  </si>
  <si>
    <t>MedSurg and Neurotechnology operating income as a percentage of net sales increased to 28.5% in 2023 from 26.0% in 2022</t>
  </si>
  <si>
    <t>Orthopaedics operating income as a percentage of net sales increased to 28.5% in 2024 from 27.2% in 2023</t>
  </si>
  <si>
    <t>Orthopaedics operating income as a percentage of net sales increased to 27.2% in 2023 from 29.1% in 2022</t>
  </si>
  <si>
    <t>The increase in MedSurg and Neurotechnology operating income as a percentage of net sales in 2024 from 2023 was primarily driven by higher unit volumes, higher prices and a decrease in selling, general and administrative expenses as a percentage of sales partially offset by higher manufacturing and supply chain costs</t>
  </si>
  <si>
    <t>The increase in Orthopaedics operating income as a percentage of net sales for 2024 from 2023 was primarily driven by higher sales volumes and a decrease in selling, general and administrative expenses as a percentage of sales partially offset by higher manufacturing and supply chain costs</t>
  </si>
  <si>
    <t>In the fourth quarter 2024, The Company  reorganized The Company Spine business to align with certain updates to The Company internal reporting structure</t>
  </si>
  <si>
    <t>While segment mix was not a significant driver of the change in gross profit as a percent of net sales between 2024, 2023 and 2022, The Company generally expect segment mix to have an unfavorable impact for the foreseeable future as The Company anticipate more rapid sales growth in The Company lower gross margin MedSurg and Neurotechnology segment than The Company Orthopaedics segment</t>
  </si>
  <si>
    <t>Selling, general and administrative expenses as a percentage of net sales in 2023 of 34.7% remained relatively flat with 34.6% in 2022 as charges of $132 related to share-based awards for Vocera employees that vested upon The Company acquisition in 2022 were partially offset by disciplined increases in spend and investments in 2023 to support The Company growth, including sales growth incentives and increased spend on travel and meetings</t>
  </si>
  <si>
    <t>In addition, in 2022 The Company determined that certain commercial and regulatory milestones related to technology acquired in the purchase of Mobius Imaging and Cardan Robotics were no longer probable of being achieved and recorded $110 to reduce the fair value of contingent consideration</t>
  </si>
  <si>
    <t>In 2024 and 2022 The Company recorded goodwill impairment charges of $456 and $216 related to The Company Spine business</t>
  </si>
  <si>
    <t>In 2024 The Company recognized an estimated loss of $362 as a result of classifying certain assets in The Company Spinal Implants business as held for sale</t>
  </si>
  <si>
    <t>In 2024, 2023 and 2022 The Company recorded other impairments of $159, $36 and $54</t>
  </si>
  <si>
    <t>With the acquisition of SERF SAS, The Company strengthened distribution in key European markets and continue to scale differentiated solutions such as the Novae monolithic dual mobility cup engineered to deliver greater hip stability and reduce dislocation risk</t>
  </si>
  <si>
    <t>Substantially all products The Company manufacture are stocked in inventory, while certain MedSurg products are assembled to order</t>
  </si>
  <si>
    <t>Initiatives to limit the growth of general healthcare expenses and hospital costs are ongoing in the markets The Company do business</t>
  </si>
  <si>
    <t>The Company are subject to various rules and regulation in the United States and internationally related to the protection of human health and the environment</t>
  </si>
  <si>
    <t>The Company do not expect compliance with these requirements to have a material effect on purchases of property, plant and equipment, cash flows, net earnings or competitive position</t>
  </si>
  <si>
    <t>On December 31, 2024 The Company had approximately 53,000 employees globally, with approximately 27,000 employees in the United States</t>
  </si>
  <si>
    <t>Sales are recognized as the performance obligations to deliver products or services (including services under extended warranty service contracts) are satisfied and are recorded based on the amount of consideration The Company expect to receive in exchange for satisfying the performance obligations</t>
  </si>
  <si>
    <t xml:space="preserve"> Sales are recognized primarily when The Company transfer control to the customer, which can be on the date of shipment, the date of receipt by the customer or, for most Orthopaedics products, when The Company have received a purchase order and appropriate notification the product has been used or implanted</t>
  </si>
  <si>
    <t>Sales represent the amount of consideration The Company expect to receive from customers in exchange for transferring products and services</t>
  </si>
  <si>
    <t>Net sales exclude sales, value added and other taxes The Company collect from customers</t>
  </si>
  <si>
    <t>The Company continued to expand The Company global footprint of Mako SmartRobotics™ in 2024 which is now sold in more than 45 countries</t>
  </si>
  <si>
    <t>In December 2024 The Company performed The Company first Mako Shoulder procedure using robotic-arm assistance to remove bone, prepare the glenoid surface and enable positioning and placement of the Perform Reversed Glenoid implant</t>
  </si>
  <si>
    <t>The Company spine enabling technologies portfolio includes best in class imaging solutions, image-guided surgical technology, patient specific implants and digital health solutions supporting surgeons and their patients throughout the continuum of care</t>
  </si>
  <si>
    <t>Raw materials essential to The Company business are generally readily available from multiple sources; however, certain of The Company raw materials are currently sourced from single suppliers</t>
  </si>
  <si>
    <t>Patents and trademarks are significant to The Company business to the extent that a product or an attribute of a product represents a unique design or process</t>
  </si>
  <si>
    <t>The Company seek to obtain patent protection on The Company products whenever appropriate for protecting The Company competitive advantage. On December 31, 2024 The Company owned approximately 5,600 United States patents and approximately 8,600 patents in other countries</t>
  </si>
  <si>
    <t>In each of The Company product lines The Company compete with local and global companies</t>
  </si>
  <si>
    <t>The development of innovative products is important to The Company success in all areas of The Company business</t>
  </si>
  <si>
    <t>The Company believe that The Company competitive position in the future will depend to a large degree on The Company ability to develop new products and make improvements to existing products</t>
  </si>
  <si>
    <t>The Company believe The Company commitment to innovation, quality and service and The Company reputation differentiates us in the highly competitive product categories in which The Company operate and enables us to compete effectively</t>
  </si>
  <si>
    <t>The Company businesses are subject to varying degrees of governmental regulation in the countries in which The Company operate, and the general trend is toward increasingly stringent regulation</t>
  </si>
  <si>
    <t>The Company are required to comply with the unique regulatory requirements of each country in which The Company market and sell The Company products</t>
  </si>
  <si>
    <t>In the United States the Medical Device Amendments of 1976 to the Federal Food, Drug and Cosmetic Act and its subsequent amendments and the regulations issued and proposed thereunder provide for federal regulation by the United States Food and Drug Administration (FDA) of the design, manufacture and marketing of medical devices, including most of The Company products</t>
  </si>
  <si>
    <t>state licensing requirements often apply to certain of The Company business operations and products</t>
  </si>
  <si>
    <t>On the federal level, many of The Company new products fall into FDA classifications that require notification submitted as a 510(k) and review by the FDA before The Company begin marketing them</t>
  </si>
  <si>
    <t>Certain of The Company products require extensive clinical testing, consisting of safety and efficacy studies, followed by pre-market approval applications for specific surgical indications</t>
  </si>
  <si>
    <t>Certain of The Company products also fall under other FDA classifications, such as drugs and Human Cells, Tissues, and Cellular and Tissue-Based Products</t>
  </si>
  <si>
    <t>The FDA's Quality System regulations set forth standards for The Company product design and manufacturing processes, require the maintenance of certain records and provide for inspections of The Company facilities by the FDA</t>
  </si>
  <si>
    <t>There are also certain requirements of state, local and foreign governments that must be complied with in the manufacture and marketing of The Company products</t>
  </si>
  <si>
    <t>Extended transition timelines were published in 2023 which range from May 2026 through December 2028 depending on the type of device and The Company implementation is on track to meet these timelines</t>
  </si>
  <si>
    <t>It is not possible to predict at this time the long-term impact of such cost containment measures on The Company future business</t>
  </si>
  <si>
    <t>The Company operations involve the use of substances regulated under environmental laws, primarily in manufacturing and sterilization processes</t>
  </si>
  <si>
    <t>The Company believe The Company policies, practices and procedures are properly designed to comply, in all material respects, with applicable environmental laws and regulations</t>
  </si>
  <si>
    <t>The Company success depends on The Company ability to attract the best talent</t>
  </si>
  <si>
    <t>Other costs to obtain and fulfill contracts are generally expensed as incurred due to the short-term nature of most of The Company sales</t>
  </si>
  <si>
    <t>The Company extend terms of payment to The Company customers based on commercially reasonable terms for the markets of The Company customers, while also considering their credit quality</t>
  </si>
  <si>
    <t>The Company estimate of the provision for sales returns has been established based on contract terms with The Company customers and historical business practices and current trends</t>
  </si>
  <si>
    <r>
      <t xml:space="preserve">The Company </t>
    </r>
    <r>
      <rPr>
        <b/>
        <sz val="11"/>
        <color theme="1"/>
        <rFont val="Calibre"/>
      </rPr>
      <t>segregates operations into two reportable business segments:</t>
    </r>
  </si>
  <si>
    <t>EU Segment shrinking?</t>
  </si>
  <si>
    <t>In the first quarter 2025 The Company changed the name of the Neurovascular business to Vascular due the acquisition of Inari Medical, Inc. (Inari)</t>
  </si>
  <si>
    <t>The Company brings patients and physicians advanced implant designs and specialized instrumentation that make orthopaedic surgery and recovery simpler, faster and more effective</t>
  </si>
  <si>
    <t>The Company supports surgeons with the technologies, products and services they need to support each patient’s clinical challenge</t>
  </si>
  <si>
    <t>In 2024 The Company continued the full commercial launch of Triathlon Hinge revision knee system</t>
  </si>
  <si>
    <r>
      <t xml:space="preserve">The craniomaxillofacial implant offering includes </t>
    </r>
    <r>
      <rPr>
        <b/>
        <sz val="11"/>
        <color theme="1"/>
        <rFont val="Calibre"/>
      </rPr>
      <t>cranial, maxillofacial and chest wall devices</t>
    </r>
    <r>
      <rPr>
        <sz val="11"/>
        <color theme="1"/>
        <rFont val="Calibre"/>
      </rPr>
      <t xml:space="preserve"> as well as </t>
    </r>
    <r>
      <rPr>
        <b/>
        <sz val="11"/>
        <color theme="1"/>
        <rFont val="Calibre"/>
      </rPr>
      <t>dural substitutes and sealants</t>
    </r>
  </si>
  <si>
    <r>
      <t xml:space="preserve">Orthobiologic and biosurgery products, including </t>
    </r>
    <r>
      <rPr>
        <b/>
        <sz val="11"/>
        <color theme="1"/>
        <rFont val="Calibre"/>
      </rPr>
      <t>synthetic bone grafts</t>
    </r>
    <r>
      <rPr>
        <sz val="11"/>
        <color theme="1"/>
        <rFont val="Calibre"/>
      </rPr>
      <t xml:space="preserve"> and </t>
    </r>
    <r>
      <rPr>
        <b/>
        <sz val="11"/>
        <color theme="1"/>
        <rFont val="Calibre"/>
      </rPr>
      <t xml:space="preserve">vertebral augmentation </t>
    </r>
    <r>
      <rPr>
        <sz val="11"/>
        <color theme="1"/>
        <rFont val="Calibre"/>
      </rPr>
      <t>products (</t>
    </r>
    <r>
      <rPr>
        <b/>
        <sz val="11"/>
        <color theme="1"/>
        <rFont val="Calibre"/>
      </rPr>
      <t>Neuro Cranial</t>
    </r>
    <r>
      <rPr>
        <sz val="11"/>
        <color theme="1"/>
        <rFont val="Calibre"/>
      </rPr>
      <t>)</t>
    </r>
  </si>
  <si>
    <r>
      <t xml:space="preserve">Minimally invasive products for the treatment of </t>
    </r>
    <r>
      <rPr>
        <b/>
        <sz val="11"/>
        <color theme="1"/>
        <rFont val="Calibre"/>
      </rPr>
      <t>acute ischemic</t>
    </r>
    <r>
      <rPr>
        <sz val="11"/>
        <color theme="1"/>
        <rFont val="Calibre"/>
      </rPr>
      <t xml:space="preserve"> and </t>
    </r>
    <r>
      <rPr>
        <b/>
        <sz val="11"/>
        <color theme="1"/>
        <rFont val="Calibre"/>
      </rPr>
      <t>hemorrhagic stroke</t>
    </r>
    <r>
      <rPr>
        <sz val="11"/>
        <color theme="1"/>
        <rFont val="Calibre"/>
      </rPr>
      <t xml:space="preserve"> (</t>
    </r>
    <r>
      <rPr>
        <b/>
        <sz val="11"/>
        <color theme="1"/>
        <rFont val="Calibre"/>
      </rPr>
      <t>Neurovascular</t>
    </r>
    <r>
      <rPr>
        <sz val="11"/>
        <color theme="1"/>
        <rFont val="Calibre"/>
      </rPr>
      <t xml:space="preserve">) </t>
    </r>
    <r>
      <rPr>
        <b/>
        <sz val="11"/>
        <color theme="1"/>
        <rFont val="Calibre"/>
      </rPr>
      <t>(Does NARI fit into this sleeve?)</t>
    </r>
  </si>
  <si>
    <r>
      <rPr>
        <b/>
        <sz val="11"/>
        <color theme="1"/>
        <rFont val="Calibre"/>
      </rPr>
      <t>In 2024 Instruments launched SurgiCount+ powered by Triton</t>
    </r>
    <r>
      <rPr>
        <sz val="11"/>
        <color theme="1"/>
        <rFont val="Calibre"/>
      </rPr>
      <t xml:space="preserve">, which </t>
    </r>
    <r>
      <rPr>
        <b/>
        <sz val="11"/>
        <color theme="1"/>
        <rFont val="Calibre"/>
      </rPr>
      <t xml:space="preserve">combines existing sponge counting technology </t>
    </r>
    <r>
      <rPr>
        <sz val="11"/>
        <color theme="1"/>
        <rFont val="Calibre"/>
      </rPr>
      <t>with</t>
    </r>
    <r>
      <rPr>
        <b/>
        <sz val="11"/>
        <color theme="1"/>
        <rFont val="Calibre"/>
      </rPr>
      <t xml:space="preserve"> artificial intelligence </t>
    </r>
    <r>
      <rPr>
        <sz val="11"/>
        <color theme="1"/>
        <rFont val="Calibre"/>
      </rPr>
      <t xml:space="preserve">and </t>
    </r>
    <r>
      <rPr>
        <b/>
        <sz val="11"/>
        <color theme="1"/>
        <rFont val="Calibre"/>
      </rPr>
      <t>quantifying blood loss software</t>
    </r>
  </si>
  <si>
    <r>
      <rPr>
        <b/>
        <sz val="11"/>
        <color theme="1"/>
        <rFont val="Calibre"/>
      </rPr>
      <t>The Company also launched CoPilot</t>
    </r>
    <r>
      <rPr>
        <sz val="11"/>
        <color theme="1"/>
        <rFont val="Calibre"/>
      </rPr>
      <t xml:space="preserve">, which </t>
    </r>
    <r>
      <rPr>
        <b/>
        <sz val="11"/>
        <color theme="1"/>
        <rFont val="Calibre"/>
      </rPr>
      <t>combines with Spine Q guidance system</t>
    </r>
    <r>
      <rPr>
        <sz val="11"/>
        <color theme="1"/>
        <rFont val="Calibre"/>
      </rPr>
      <t xml:space="preserve"> </t>
    </r>
    <r>
      <rPr>
        <b/>
        <sz val="11"/>
        <color theme="1"/>
        <rFont val="Calibre"/>
      </rPr>
      <t xml:space="preserve">to help </t>
    </r>
    <r>
      <rPr>
        <sz val="11"/>
        <color theme="1"/>
        <rFont val="Calibre"/>
      </rPr>
      <t xml:space="preserve">surgeons plan and perform </t>
    </r>
    <r>
      <rPr>
        <b/>
        <sz val="11"/>
        <color theme="1"/>
        <rFont val="Calibre"/>
      </rPr>
      <t>certain spinal procedures</t>
    </r>
    <r>
      <rPr>
        <sz val="11"/>
        <color theme="1"/>
        <rFont val="Calibre"/>
      </rPr>
      <t xml:space="preserve">, including </t>
    </r>
    <r>
      <rPr>
        <b/>
        <sz val="11"/>
        <color theme="1"/>
        <rFont val="Calibre"/>
      </rPr>
      <t>supporting bone resection, pedicle preparation and screw delivery</t>
    </r>
  </si>
  <si>
    <r>
      <t xml:space="preserve">In addition </t>
    </r>
    <r>
      <rPr>
        <b/>
        <sz val="11"/>
        <color theme="1"/>
        <rFont val="Calibre"/>
      </rPr>
      <t>The Company completed the acquisition of Vertos Medical, Inc. (Oct. 1, 2024)</t>
    </r>
    <r>
      <rPr>
        <sz val="11"/>
        <color theme="1"/>
        <rFont val="Calibre"/>
      </rPr>
      <t>, a leader in interventional pain management solutions for chronic lower back pain caused by lumbar spinal stenosis</t>
    </r>
  </si>
  <si>
    <r>
      <rPr>
        <b/>
        <sz val="11"/>
        <color theme="1"/>
        <rFont val="Calibre"/>
      </rPr>
      <t> The acquisition of Vertos is complementary to The Company Interventional Spine business</t>
    </r>
    <r>
      <rPr>
        <sz val="11"/>
        <color theme="1"/>
        <rFont val="Calibre"/>
      </rPr>
      <t xml:space="preserve"> as The Company continue to focus on advanced pain procedures</t>
    </r>
  </si>
  <si>
    <r>
      <rPr>
        <b/>
        <sz val="11"/>
        <color theme="1"/>
        <rFont val="Calibre"/>
      </rPr>
      <t xml:space="preserve">Endoscopy </t>
    </r>
    <r>
      <rPr>
        <sz val="11"/>
        <color theme="1"/>
        <rFont val="Calibre"/>
      </rPr>
      <t xml:space="preserve">continued to </t>
    </r>
    <r>
      <rPr>
        <b/>
        <sz val="11"/>
        <color theme="1"/>
        <rFont val="Calibre"/>
      </rPr>
      <t>deliver its 4K 1788 Camera platform to the market</t>
    </r>
  </si>
  <si>
    <r>
      <rPr>
        <b/>
        <sz val="11"/>
        <color theme="1"/>
        <rFont val="Calibre"/>
      </rPr>
      <t>The Company's 1788 Camera platform features several enhancements for a broader range of clinical applications and specialties</t>
    </r>
    <r>
      <rPr>
        <sz val="11"/>
        <color theme="1"/>
        <rFont val="Calibre"/>
      </rPr>
      <t>, including urology, neurology and ear, nose and throat and can be used to visualize indocyanine green and Cytalux</t>
    </r>
  </si>
  <si>
    <r>
      <rPr>
        <b/>
        <sz val="11"/>
        <color theme="1"/>
        <rFont val="Calibre"/>
      </rPr>
      <t>Medical launched the LIFEPAK 35 monitor/defibrillator</t>
    </r>
    <r>
      <rPr>
        <sz val="11"/>
        <color theme="1"/>
        <rFont val="Calibre"/>
      </rPr>
      <t>, The Company next generation platform designed to optimize care with new clinical features such as the new Glasgow 30.4 algorithm, cprINSIGHT, 15-lead monitoring capabilities, and STJ insight and mapping</t>
    </r>
  </si>
  <si>
    <r>
      <t xml:space="preserve">Medical also </t>
    </r>
    <r>
      <rPr>
        <b/>
        <sz val="11"/>
        <color theme="1"/>
        <rFont val="Calibre"/>
      </rPr>
      <t>completed the acquisition of care.ai, a virtual care and ambient intelligence solutions platform</t>
    </r>
  </si>
  <si>
    <t>[Bold = Potential competitive overlap with Penumbra]</t>
  </si>
  <si>
    <t>19--'s</t>
  </si>
  <si>
    <t>Dizzying Amount of M&amp;A</t>
  </si>
  <si>
    <t>Will be important to follow up on the durability of organic revenue/earnings, Intelligent M&amp;A is well rewarded by the market in the long run</t>
  </si>
  <si>
    <t>Follow up on management scope</t>
  </si>
  <si>
    <t>[Build M&amp;A scope]</t>
  </si>
  <si>
    <t xml:space="preserve">Patient Safety Technologies (2014, ~$120M) – Surgical safety solutions/General surgical equipment (SurgiCount) </t>
  </si>
  <si>
    <t>Headquarters: Kalamazoo, MI</t>
  </si>
  <si>
    <t>Business Segments and Geographic Info</t>
  </si>
  <si>
    <t>Q1 2027</t>
  </si>
  <si>
    <t>Other Income (Expense), Net</t>
  </si>
  <si>
    <t>Other income (expense), net was ($197), ($215) and ($158) in 2024, 2023 and 2022</t>
  </si>
  <si>
    <t>The decrease in net expense in 2024 from 2023 was primarily due to higher interest income partially offset by lower interest expense in 2024</t>
  </si>
  <si>
    <t>Our effective tax rate was 14.3%, 13.8% and 12.1% for 2024, 2023 and 2022</t>
  </si>
  <si>
    <t>The effective income tax rate for 2024 decreased from 2023 due to the 2024 deferred tax benefit on the outside basis difference related to the anticipated sale of the Spinal Implants business partially offset by the 2023 tax effect related to transfers of intellectual property between tax jurisdictions</t>
  </si>
  <si>
    <t>Additionally, the effective income tax rates for 2024, 2023 and 2022 reflect the continued lower effective income tax rates as a result of our European operations and certain discrete tax items</t>
  </si>
  <si>
    <t>On December 12, 2022 the European Union member states agreed to implement the Inclusive Framework’s global corporate minimum tax rate of 15%, and various countries within and outside the European Union have either enacted or proposed new tax laws implementing Pillar Two in 2024</t>
  </si>
  <si>
    <t>The OECD continues to release additional guidance and we anticipate more countries will enact similar tax laws</t>
  </si>
  <si>
    <t>Some of the new tax laws became effective in 2024 while others will be effective in future years</t>
  </si>
  <si>
    <t>These tax law changes and any additional contemplated tax law changes could increase tax expense in future periods</t>
  </si>
  <si>
    <t>--&gt;</t>
  </si>
  <si>
    <t>Additional 10-K/Q Revenue Analysis</t>
  </si>
  <si>
    <t>FCF Scope [Build FCF Charting, Capex projections, D &amp; A schedules and graph them out] + Additional Comments</t>
  </si>
  <si>
    <t>Net Sales FY24 Comments:</t>
  </si>
  <si>
    <r>
      <t>Neurovascular Division of Boston Scientific (2011, ~$1.5B) – Expanded neurotech business</t>
    </r>
    <r>
      <rPr>
        <sz val="11"/>
        <color theme="1"/>
        <rFont val="Calibre"/>
      </rPr>
      <t xml:space="preserve">, adding interventional </t>
    </r>
    <r>
      <rPr>
        <b/>
        <sz val="11"/>
        <color theme="1"/>
        <rFont val="Calibre"/>
      </rPr>
      <t>devices for stroke care</t>
    </r>
    <r>
      <rPr>
        <sz val="11"/>
        <color theme="1"/>
        <rFont val="Calibre"/>
      </rPr>
      <t xml:space="preserve"> and </t>
    </r>
    <r>
      <rPr>
        <b/>
        <sz val="11"/>
        <color theme="1"/>
        <rFont val="Calibre"/>
      </rPr>
      <t>cerebral aneurysm</t>
    </r>
    <r>
      <rPr>
        <sz val="11"/>
        <color theme="1"/>
        <rFont val="Calibre"/>
      </rPr>
      <t xml:space="preserve"> management</t>
    </r>
  </si>
  <si>
    <r>
      <t xml:space="preserve">Surpass Medical (2012) (neurovascular devices) -- </t>
    </r>
    <r>
      <rPr>
        <sz val="11"/>
        <color theme="1"/>
        <rFont val="Calibre"/>
      </rPr>
      <t>IP has probably been competed away through market innovation… double check...</t>
    </r>
    <r>
      <rPr>
        <b/>
        <sz val="11"/>
        <color theme="1"/>
        <rFont val="Calibre"/>
      </rPr>
      <t xml:space="preserve"> look into old filings and investigate further</t>
    </r>
  </si>
  <si>
    <t>MAKO Surgical Corp. (2013, ~$1.65B) – Robotic-assisted surgeries for orthopedics; expanded Stryker's capabilities in robotic-assisted procedures</t>
  </si>
  <si>
    <t>Pivot Medical (2014) Firm specialized in hip arthroscopy products and procedures</t>
  </si>
  <si>
    <t>CoAlign Innovation (2014) -- Specialized in spinal implant technologies</t>
  </si>
  <si>
    <t>K2M (2018, ~$1.4B) – Reinforced Stryker's spine portfolio, particularly in complex and minimally invasive segments</t>
  </si>
  <si>
    <t>Howmedica (1998, from Pfizer) – Purchased for ~$1.65B, significantly expanding Stryker’s orthopaedics divisions</t>
  </si>
  <si>
    <t>SpineCore (2004) – Entry into the spinal disc replacement market</t>
  </si>
  <si>
    <t>Memometal (2011, ~$150M) – French company specializing in small bone fixation</t>
  </si>
  <si>
    <t>Concentric Medical (2011, ~$135M) – Neurovascular devices for stroke treatment</t>
  </si>
  <si>
    <t>Berchtold Holding AG (2014, ~$172M) – Surgical equipment and tables</t>
  </si>
  <si>
    <t>NOVODAQ (2017, ~$701M) – Fluorescence imaging for surgeries/surgical visualization (PINPOINT, SPY)</t>
  </si>
  <si>
    <t>Entellus Medical (2018, ~$662M) – Minimally invasive ENT (ear, nose, throat) devices</t>
  </si>
  <si>
    <t>Mobius Imaging &amp; Cardan Robotics (2019, ~$500M combined) – Advanced imaging &amp; robotics for spine procedures</t>
  </si>
  <si>
    <t>Gauss Surgical (2021) – AI-based blood loss monitoring (Triton system); applications in maternal care and hemorrhage management</t>
  </si>
  <si>
    <t>Small Bone Innovations (2014, ~$285M after tax credits) – Enhanced foot &amp; ankle orthopedic offerings (specialized in small bone and joint orthopedic implants and devices).</t>
  </si>
  <si>
    <t>NICO Corporation (2024)  Provider of minimally invasive surgical solutions for brain tumor removal and intracerebral hemorrhage (ICH) treatment; key products include BrainPath and Myriad</t>
  </si>
  <si>
    <t>4WEB Medical, partial stake (2024) --  Acquisition of new Foot &amp; Ankle portfolio products</t>
  </si>
  <si>
    <t>Care.ai (2024) AI-powered virtual care and ambient monitoring solutions for healthcare facilities</t>
  </si>
  <si>
    <t>Different technology/methodology for removing thrombi/emboli?</t>
  </si>
  <si>
    <t>Different pricing/market position?</t>
  </si>
  <si>
    <t>Amortization of Intangibles scope:</t>
  </si>
  <si>
    <t>Osteo SA (1996) – Key acquisition that provided The Company entry into the orthopaedics trauma market (Swiss-based trauma implant company)</t>
  </si>
  <si>
    <t>Stryker basically jumped the R&amp;D cycle and payed big $ to play in an expanding VTE/Thrombectomy portfolio … Compare qualitative measures of NARI vs PEN offerings</t>
  </si>
  <si>
    <t>Surgical Dynamics Inc. from Tyco Int. Ltd. (2002, $135M) lead products Ray Threaded Fusion Cage(TM) along with thoracolumbar and cervical spinal fixation devices</t>
  </si>
  <si>
    <t>eTrauma (2006, $50M) – Added trauma-related software solutions for digital imaging and electronic medical records</t>
  </si>
  <si>
    <t>Ascent (2009, $525M) -- Market leader in reprocessing and remanufacturing of medical devices in the U.S</t>
  </si>
  <si>
    <t xml:space="preserve">Gaymar (2010, $150M) -- support surface and pressure ulcer management solutions + temperature management segment </t>
  </si>
  <si>
    <t>Orthovita (2011, ~$316M to complete remaining stake acquisition) – Biomaterials for spine and orthopedics</t>
  </si>
  <si>
    <t>Trauson Holdings Co. (2013) China-based trauma and spine implants</t>
  </si>
  <si>
    <t>Artelon (2024) -- privately held company specializing in innovative soft tissue fixation products for foot and ankle and sports medicine procedures</t>
  </si>
  <si>
    <t>Vertos Medical (2024) -- Leader in interventional pain management solutions for chronic lower back pain caused by lumbar spinal stenosis</t>
  </si>
  <si>
    <t>Email:</t>
  </si>
  <si>
    <t>Preston Wells, Vice President, Investor Relations</t>
  </si>
  <si>
    <t>Sage Products (2016, $2.78B) Provider of preventative care products aimed at reducing hospital-acquired conditions</t>
  </si>
  <si>
    <t>Physio-Control (2016, ~$1.28B) – Defibrillators &amp; emergency medical products; purchase from Bain Capital</t>
  </si>
  <si>
    <t>Stanmore Implants (2016, £35.6 million) -- Innovative orthopaedic oncology business</t>
  </si>
  <si>
    <t xml:space="preserve">Wright Medical (2020, ~$5.4B) – Major acquisition in extremities: shoulder, ankle, foot; biologics (completed remaining stake acquisition from 2019) </t>
  </si>
  <si>
    <t>Molli Surgical (2024) -- Advancing surgical solutions in breast cancer care</t>
  </si>
  <si>
    <r>
      <t xml:space="preserve">Orthopaedics products primarily include </t>
    </r>
    <r>
      <rPr>
        <b/>
        <sz val="11"/>
        <color theme="1"/>
        <rFont val="Calibre"/>
      </rPr>
      <t>implants</t>
    </r>
    <r>
      <rPr>
        <sz val="11"/>
        <color theme="1"/>
        <rFont val="Calibre"/>
      </rPr>
      <t xml:space="preserve"> used in </t>
    </r>
    <r>
      <rPr>
        <b/>
        <sz val="11"/>
        <color theme="1"/>
        <rFont val="Calibre"/>
      </rPr>
      <t>total joint replacements, such as hip, knee and shoulder</t>
    </r>
    <r>
      <rPr>
        <sz val="11"/>
        <color theme="1"/>
        <rFont val="Calibre"/>
      </rPr>
      <t xml:space="preserve">, and </t>
    </r>
    <r>
      <rPr>
        <b/>
        <sz val="11"/>
        <color theme="1"/>
        <rFont val="Calibre"/>
      </rPr>
      <t>trauma and extremities surgeries</t>
    </r>
  </si>
  <si>
    <t>(I) MedSurg and Neurotechnology</t>
  </si>
  <si>
    <t>From the financials, Stryker is a large company with domestic and international reach … look into education model and how they support new product commercialization … could be used as a blue print in the future??</t>
  </si>
  <si>
    <t>Quantify human capital distribution across the organization (Sales, manufacturing, research, engineers, etc.)</t>
  </si>
  <si>
    <t>EU really was swinging hard at American tech firms (both software and medical in 2022) … There is an understanding that non-monetary trade barriers do block out American enterprises from Euro markets</t>
  </si>
  <si>
    <t>The Company is one of five leading global competitors in Instruments; the other the Company being Zimmer Biomet Holdings, Inc. (ZBH), Medtronic plc (MDT), Johnson &amp; Johnson MedTech (JNJ) and ConMed Linvatec, Inc. (CNMD)</t>
  </si>
  <si>
    <t>The Company is one of five leading global competitors in Medical; the other the Company being Baxter International Inc., Zoll Medical Corporation, Medline Industries and Ferno-Washington, Inc.</t>
  </si>
  <si>
    <t>The Company is one of five leading global competitors in Neurotechnology; the other the Company being Medtronic, Johnson &amp; Johnson Medtech, Terumo Corporation and Penumbra, Inc.</t>
  </si>
  <si>
    <t>The Company are one of the Company leading global competitors for joint replacement and trauma and extremities products and robotics; the other three being Zimmer, Johnson &amp; Johnson MedTech and Smith &amp; Nephew</t>
  </si>
  <si>
    <t>In the future, it's going to be necessary to build out a full cash flow statement. M&amp;A activity demands tracking investing/financing figures just as closely as standard operating figures</t>
  </si>
  <si>
    <t>SERF SAS (2024, completed remaining stake acquisition) -- France-based joint replacement company, from Menix</t>
  </si>
  <si>
    <t>Build PEN and NARI model out further … find cross comparable</t>
  </si>
  <si>
    <t>EU really was swinging hard at American tech firm's (both software and medical in 2022) … There is an understanding that non-monetary trade barriers do block out American enterprises from Euro markets</t>
  </si>
  <si>
    <t>(these impressive operating incomes -- at least in aggregate -- have cooled off in recent quarters … I imagine management had some foresight of this bomb in operating effeciency/product mix which has since switched back to less profitable volume (MedSurg/neurotech))</t>
  </si>
  <si>
    <t>[LT goal in feeding models into Tableau… Data visualization + charting is sooo much better on that platform]</t>
  </si>
  <si>
    <t>The Organization for Economic Cooperation and Development (OECD), which represents a coalition of member countries, has put forth two proposed base erosion and profit shifting frameworks that revise the existing profit allocation and nexus rules (Pillar One) and ensure a minimal level of taxation (Pillar Two)</t>
  </si>
  <si>
    <t>&lt;- Sharpe Ratio (Risk Adjusted Return)</t>
  </si>
  <si>
    <t>2025 step-up growth "assumption"  in vascular revenue due to Inari acquisition and the revenue recognition (+ new growth base) associated with acquiring the subsidiary … 2025 organic revenue growth targeted at a FYE of 9% (8.5-9.5% low/high)</t>
  </si>
  <si>
    <t>ROIC</t>
  </si>
  <si>
    <t>Terminal</t>
  </si>
  <si>
    <t>RFR (10-year yield)</t>
  </si>
  <si>
    <t>ERP 
(Avg. market return - (less) RFR)</t>
  </si>
  <si>
    <t>Equity β (1-year avg.)</t>
  </si>
  <si>
    <t>Discount (Cost of Equity)</t>
  </si>
  <si>
    <t>NPV</t>
  </si>
  <si>
    <t>FV</t>
  </si>
  <si>
    <t>CP</t>
  </si>
  <si>
    <t>Change Δ:</t>
  </si>
  <si>
    <t>In March 2015 we announced that our Board of Directors had authorized us to purchase up to $2,000 of our common stock</t>
  </si>
  <si>
    <t>The manner, timing and amount of repurchases are determined by management based on an evaluation of market conditions, stock price, and other factors and are subject to regulatory considerations</t>
  </si>
  <si>
    <t>Purchases are made from time-to-time in the open market, in privately negotiated transactions or otherwise</t>
  </si>
  <si>
    <t>In the three months 2025 we did not repurchase any shares of our common stock under our authorized repurchase program</t>
  </si>
  <si>
    <t>The total dollar value of shares of our common stock that could be acquired under our authorized repurchase program was $1,033 as of March 31, 2025</t>
  </si>
  <si>
    <t>Ortho Revenue Growth Y/y</t>
  </si>
  <si>
    <t>MedSurg and Neuro Growth Y/y</t>
  </si>
  <si>
    <t>Resources:</t>
  </si>
  <si>
    <t>Stryker IR Page</t>
  </si>
  <si>
    <t>Earnings Calls</t>
  </si>
  <si>
    <t>Stryker Homepage</t>
  </si>
  <si>
    <t>https://www.fda.gov/medical-devices</t>
  </si>
  <si>
    <t>U.S. Patent Office Search</t>
  </si>
  <si>
    <t>https://ppubs.uspto.gov/pubThe Companybapp/static/pages/ppubsbasic.html</t>
  </si>
  <si>
    <t>Stryker IP Catalog</t>
  </si>
  <si>
    <t>Thrombecotomy News</t>
  </si>
  <si>
    <t>https://evtoday.com/</t>
  </si>
  <si>
    <t>MedTech News</t>
  </si>
  <si>
    <t>https://www.medtechdive.com/news/stryker-inari-medical-acquisition/736615/</t>
  </si>
  <si>
    <t>https://www.stryker.com/us/en/about/patents.html</t>
  </si>
  <si>
    <t>https://app.godelterminal.com/</t>
  </si>
  <si>
    <t xml:space="preserve">Email: </t>
  </si>
  <si>
    <t>preston.wells@stryker.com</t>
  </si>
  <si>
    <t>Capital Structure Snapshot:</t>
  </si>
  <si>
    <r>
      <t>Cerus Endovascular (2023) – Neurovascular devices for treatment of intracranial aneurysms;</t>
    </r>
    <r>
      <rPr>
        <sz val="11"/>
        <color theme="1"/>
        <rFont val="Calibre"/>
      </rPr>
      <t xml:space="preserve"> </t>
    </r>
    <r>
      <rPr>
        <b/>
        <sz val="11"/>
        <color theme="1"/>
        <rFont val="Calibre"/>
      </rPr>
      <t xml:space="preserve">Contour Neurovascular System </t>
    </r>
    <r>
      <rPr>
        <sz val="11"/>
        <color theme="1"/>
        <rFont val="Calibre"/>
      </rPr>
      <t>and</t>
    </r>
    <r>
      <rPr>
        <b/>
        <sz val="11"/>
        <color theme="1"/>
        <rFont val="Calibre"/>
      </rPr>
      <t xml:space="preserve"> Neqstent Coil Assisted Flow Diverter</t>
    </r>
  </si>
  <si>
    <t>Stryker to sell spinal implants business -- Announced Jan. 29, 2025</t>
  </si>
  <si>
    <t>CFO Glenn Boehnlein, who has worked at Stryker for 22 years, will retire</t>
  </si>
  <si>
    <t>Preston Wells, who is currently CFO of Stryker’s orthopedics group, will become the new CFO of the company starting on April 1 2025</t>
  </si>
  <si>
    <t>Inari update</t>
  </si>
  <si>
    <t>Stryker also used Tuesday’s call to provide an update on its $4.9 billion planned purchase of Inari Medical, which makes mechanical thrombectomy systems to treat vascular disease</t>
  </si>
  <si>
    <t>Pierce said the acquisition would make Stryker a leader in the fast-growing market for mechanical thrombectomy treatment for venous thromboembolism (VTE), a condition where blood clots form in the veins</t>
  </si>
  <si>
    <t>Stryker sees mechanical thrombectomy for VTE as a $15 billion total addressable market globally, with the U.S. accounting for nearly $6 billion of that opportunity, Pierce said</t>
  </si>
  <si>
    <t>EPS Growth</t>
  </si>
  <si>
    <t>https://www.sec.gov/edgar/browse/?CIK=310764&amp;owner=exclude</t>
  </si>
  <si>
    <t>https://seekingalpha.com/symbol/SYK/earnings/transcripts</t>
  </si>
  <si>
    <t>FDA Med Device Reporting's</t>
  </si>
  <si>
    <t>Fiscal Year: January-December</t>
  </si>
  <si>
    <t>Stryker Corporation Employee Snapshot</t>
  </si>
  <si>
    <t>https://stockanalysis.com/stocks/syk/company/</t>
  </si>
  <si>
    <t>Equity Analysis</t>
  </si>
  <si>
    <t>https://stockanalysis.com/stocks/syk/employees/</t>
  </si>
  <si>
    <t>SYK has both debt and equity. Model could be delivering a lower NPV than the current trading price because Debt rate may be lower than equity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</si>
</sst>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
    <numFmt numFmtId="165" formatCode="_(&quot;$&quot;* #,##0_);_(&quot;$&quot;* \(#,##0\);_(&quot;$&quot;* &quot;-&quot;??_);_(@_)"/>
  </numFmts>
  <fonts count="21">
    <font>
      <sz val="11"/>
      <color theme="1"/>
      <name val="Calibri"/>
      <family val="2"/>
      <scheme val="minor"/>
    </font>
    <font>
      <b/>
      <sz val="11"/>
      <color theme="1"/>
      <name val="Calibre"/>
    </font>
    <font>
      <sz val="11"/>
      <color theme="1"/>
      <name val="Calibre"/>
    </font>
    <font>
      <u/>
      <sz val="11"/>
      <color theme="10"/>
      <name val="Calibri"/>
      <family val="2"/>
      <scheme val="minor"/>
    </font>
    <font>
      <sz val="10"/>
      <name val="Arial"/>
      <family val="2"/>
    </font>
    <font>
      <b/>
      <sz val="10"/>
      <name val="Arial"/>
      <family val="2"/>
    </font>
    <font>
      <sz val="11"/>
      <color theme="1"/>
      <name val="Calibri"/>
      <family val="2"/>
      <scheme val="minor"/>
    </font>
    <font>
      <u/>
      <sz val="11"/>
      <color theme="10"/>
      <name val="Calibre"/>
    </font>
    <font>
      <b/>
      <sz val="10"/>
      <name val="Calibre"/>
    </font>
    <font>
      <i/>
      <sz val="11"/>
      <color theme="1"/>
      <name val="Calibri"/>
      <family val="2"/>
      <scheme val="minor"/>
    </font>
    <font>
      <i/>
      <sz val="11"/>
      <color theme="1"/>
      <name val="Calibre"/>
    </font>
    <font>
      <b/>
      <i/>
      <sz val="11"/>
      <color theme="1"/>
      <name val="Calibri"/>
      <family val="2"/>
      <scheme val="minor"/>
    </font>
    <font>
      <sz val="11"/>
      <color theme="8" tint="-0.249977111117893"/>
      <name val="Calibre"/>
    </font>
    <font>
      <sz val="11"/>
      <name val="Calibre"/>
    </font>
    <font>
      <b/>
      <sz val="11"/>
      <name val="Calibre"/>
    </font>
    <font>
      <b/>
      <sz val="11"/>
      <color theme="8" tint="-0.249977111117893"/>
      <name val="Calibre"/>
    </font>
    <font>
      <sz val="11"/>
      <color theme="10"/>
      <name val="Calibri"/>
      <family val="2"/>
      <scheme val="minor"/>
    </font>
    <font>
      <b/>
      <sz val="11"/>
      <color theme="0"/>
      <name val="Calibre"/>
    </font>
    <font>
      <sz val="11"/>
      <color theme="0"/>
      <name val="Calibre"/>
    </font>
    <font>
      <sz val="11"/>
      <color rgb="FF0070C0"/>
      <name val="Calibre"/>
    </font>
    <font>
      <u/>
      <sz val="11"/>
      <color rgb="FF00B0F0"/>
      <name val="Calibre"/>
    </font>
  </fonts>
  <fills count="6">
    <fill>
      <patternFill patternType="none"/>
    </fill>
    <fill>
      <patternFill patternType="gray125"/>
    </fill>
    <fill>
      <patternFill patternType="solid">
        <fgColor rgb="FFF5F5F5"/>
      </patternFill>
    </fill>
    <fill>
      <patternFill patternType="solid">
        <fgColor rgb="FF002060"/>
        <bgColor indexed="64"/>
      </patternFill>
    </fill>
    <fill>
      <patternFill patternType="solid">
        <fgColor theme="4" tint="0.79998168889431442"/>
        <bgColor theme="4" tint="0.79998168889431442"/>
      </patternFill>
    </fill>
    <fill>
      <patternFill patternType="solid">
        <fgColor theme="8" tint="-0.249977111117893"/>
        <bgColor indexed="64"/>
      </patternFill>
    </fill>
  </fills>
  <borders count="19">
    <border>
      <left/>
      <right/>
      <top/>
      <bottom/>
      <diagonal/>
    </border>
    <border>
      <left/>
      <right/>
      <top/>
      <bottom style="medium">
        <color indexed="64"/>
      </bottom>
      <diagonal/>
    </border>
    <border>
      <left/>
      <right/>
      <top style="thin">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theme="4" tint="0.39997558519241921"/>
      </bottom>
      <diagonal/>
    </border>
    <border>
      <left/>
      <right style="thin">
        <color indexed="64"/>
      </right>
      <top style="thin">
        <color indexed="64"/>
      </top>
      <bottom style="thin">
        <color theme="4" tint="0.39997558519241921"/>
      </bottom>
      <diagonal/>
    </border>
    <border>
      <left style="thin">
        <color indexed="64"/>
      </left>
      <right/>
      <top/>
      <bottom/>
      <diagonal/>
    </border>
    <border>
      <left/>
      <right style="thin">
        <color indexed="64"/>
      </right>
      <top/>
      <bottom/>
      <diagonal/>
    </border>
    <border>
      <left/>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int="0.39997558519241921"/>
      </top>
      <bottom style="thin">
        <color indexed="64"/>
      </bottom>
      <diagonal/>
    </border>
    <border>
      <left/>
      <right style="thin">
        <color indexed="64"/>
      </right>
      <top style="thin">
        <color theme="4" tint="0.39997558519241921"/>
      </top>
      <bottom style="thin">
        <color indexed="64"/>
      </bottom>
      <diagonal/>
    </border>
  </borders>
  <cellStyleXfs count="4">
    <xf numFmtId="0" fontId="0" fillId="0" borderId="0"/>
    <xf numFmtId="0" fontId="3" fillId="0" borderId="0" applyNumberFormat="0" applyFill="0" applyBorder="0" applyAlignment="0" applyProtection="0"/>
    <xf numFmtId="9" fontId="6" fillId="0" borderId="0" applyFont="0" applyFill="0" applyBorder="0" applyAlignment="0" applyProtection="0"/>
    <xf numFmtId="44" fontId="6" fillId="0" borderId="0" applyFont="0" applyFill="0" applyBorder="0" applyAlignment="0" applyProtection="0"/>
  </cellStyleXfs>
  <cellXfs count="85">
    <xf numFmtId="0" fontId="0" fillId="0" borderId="0" xfId="0"/>
    <xf numFmtId="0" fontId="1" fillId="0" borderId="0" xfId="0" applyFont="1"/>
    <xf numFmtId="0" fontId="2" fillId="0" borderId="0" xfId="0" applyFont="1"/>
    <xf numFmtId="14" fontId="2" fillId="0" borderId="0" xfId="0" applyNumberFormat="1" applyFont="1"/>
    <xf numFmtId="0" fontId="3" fillId="0" borderId="0" xfId="1"/>
    <xf numFmtId="0" fontId="4" fillId="0" borderId="0" xfId="0" applyFont="1"/>
    <xf numFmtId="0" fontId="7" fillId="0" borderId="0" xfId="1" applyFont="1"/>
    <xf numFmtId="0" fontId="5" fillId="2" borderId="0" xfId="0" applyFont="1" applyFill="1" applyAlignment="1">
      <alignment horizontal="center" vertical="center"/>
    </xf>
    <xf numFmtId="164" fontId="2" fillId="0" borderId="0" xfId="2" applyNumberFormat="1" applyFont="1"/>
    <xf numFmtId="10" fontId="2" fillId="0" borderId="0" xfId="2" applyNumberFormat="1" applyFont="1"/>
    <xf numFmtId="0" fontId="8" fillId="2" borderId="0" xfId="0" applyFont="1" applyFill="1" applyAlignment="1">
      <alignment horizontal="center" vertical="center"/>
    </xf>
    <xf numFmtId="10" fontId="8" fillId="2" borderId="0" xfId="0" applyNumberFormat="1" applyFont="1" applyFill="1" applyAlignment="1">
      <alignment horizontal="center" vertical="center"/>
    </xf>
    <xf numFmtId="0" fontId="8" fillId="2" borderId="0" xfId="0" applyFont="1" applyFill="1" applyAlignment="1">
      <alignment horizontal="right" vertical="center"/>
    </xf>
    <xf numFmtId="10" fontId="0" fillId="0" borderId="0" xfId="0" applyNumberFormat="1"/>
    <xf numFmtId="0" fontId="0" fillId="0" borderId="1" xfId="0" applyBorder="1"/>
    <xf numFmtId="0" fontId="9" fillId="0" borderId="3" xfId="0" applyFont="1" applyBorder="1" applyAlignment="1">
      <alignment horizontal="center"/>
    </xf>
    <xf numFmtId="10" fontId="2" fillId="0" borderId="0" xfId="0" applyNumberFormat="1" applyFont="1"/>
    <xf numFmtId="2" fontId="2" fillId="0" borderId="0" xfId="2" quotePrefix="1" applyNumberFormat="1" applyFont="1"/>
    <xf numFmtId="2" fontId="2" fillId="0" borderId="0" xfId="0" applyNumberFormat="1" applyFont="1"/>
    <xf numFmtId="2" fontId="2" fillId="0" borderId="0" xfId="0" quotePrefix="1" applyNumberFormat="1" applyFont="1"/>
    <xf numFmtId="0" fontId="2" fillId="0" borderId="0" xfId="2" applyNumberFormat="1" applyFont="1"/>
    <xf numFmtId="0" fontId="2" fillId="0" borderId="0" xfId="0" applyFont="1" applyAlignment="1">
      <alignment horizontal="right"/>
    </xf>
    <xf numFmtId="3" fontId="2" fillId="0" borderId="0" xfId="0" applyNumberFormat="1" applyFont="1" applyAlignment="1">
      <alignment horizontal="left"/>
    </xf>
    <xf numFmtId="0" fontId="9" fillId="0" borderId="3" xfId="0" applyFont="1" applyBorder="1" applyAlignment="1">
      <alignment horizontal="left"/>
    </xf>
    <xf numFmtId="0" fontId="9" fillId="0" borderId="3" xfId="0" applyFont="1" applyBorder="1" applyAlignment="1">
      <alignment horizontal="center" wrapText="1"/>
    </xf>
    <xf numFmtId="0" fontId="12" fillId="0" borderId="0" xfId="0" applyFont="1"/>
    <xf numFmtId="0" fontId="13" fillId="0" borderId="0" xfId="0" applyFont="1"/>
    <xf numFmtId="0" fontId="14" fillId="0" borderId="0" xfId="0" applyFont="1"/>
    <xf numFmtId="0" fontId="15" fillId="0" borderId="0" xfId="0" applyFont="1"/>
    <xf numFmtId="0" fontId="13" fillId="0" borderId="0" xfId="0" applyFont="1" applyAlignment="1">
      <alignment horizontal="left" indent="1"/>
    </xf>
    <xf numFmtId="164" fontId="13" fillId="0" borderId="0" xfId="2" applyNumberFormat="1" applyFont="1"/>
    <xf numFmtId="10" fontId="13" fillId="0" borderId="0" xfId="0" applyNumberFormat="1" applyFont="1"/>
    <xf numFmtId="0" fontId="13" fillId="0" borderId="0" xfId="0" applyFont="1" applyAlignment="1">
      <alignment horizontal="left"/>
    </xf>
    <xf numFmtId="10" fontId="13" fillId="0" borderId="0" xfId="2" applyNumberFormat="1" applyFont="1"/>
    <xf numFmtId="0" fontId="14" fillId="0" borderId="0" xfId="0" applyFont="1" applyAlignment="1">
      <alignment horizontal="left"/>
    </xf>
    <xf numFmtId="1" fontId="14" fillId="0" borderId="0" xfId="0" applyNumberFormat="1" applyFont="1"/>
    <xf numFmtId="1" fontId="13" fillId="0" borderId="0" xfId="0" applyNumberFormat="1" applyFont="1"/>
    <xf numFmtId="1" fontId="2" fillId="0" borderId="0" xfId="0" applyNumberFormat="1" applyFont="1"/>
    <xf numFmtId="2" fontId="13" fillId="0" borderId="0" xfId="0" applyNumberFormat="1" applyFont="1"/>
    <xf numFmtId="1" fontId="1" fillId="0" borderId="0" xfId="0" applyNumberFormat="1" applyFont="1"/>
    <xf numFmtId="49" fontId="2" fillId="0" borderId="0" xfId="0" applyNumberFormat="1" applyFont="1"/>
    <xf numFmtId="0" fontId="16" fillId="0" borderId="0" xfId="1" applyFont="1"/>
    <xf numFmtId="0" fontId="18" fillId="3" borderId="2" xfId="0" applyFont="1" applyFill="1" applyBorder="1"/>
    <xf numFmtId="0" fontId="18" fillId="3" borderId="4" xfId="0" applyFont="1" applyFill="1" applyBorder="1"/>
    <xf numFmtId="10" fontId="2" fillId="4" borderId="8" xfId="0" applyNumberFormat="1" applyFont="1" applyFill="1" applyBorder="1"/>
    <xf numFmtId="10" fontId="2" fillId="4" borderId="9" xfId="0" applyNumberFormat="1" applyFont="1" applyFill="1" applyBorder="1"/>
    <xf numFmtId="10" fontId="2" fillId="0" borderId="12" xfId="0" applyNumberFormat="1" applyFont="1" applyBorder="1"/>
    <xf numFmtId="10" fontId="2" fillId="0" borderId="13" xfId="0" applyNumberFormat="1" applyFont="1" applyBorder="1"/>
    <xf numFmtId="10" fontId="2" fillId="4" borderId="12" xfId="0" applyNumberFormat="1" applyFont="1" applyFill="1" applyBorder="1"/>
    <xf numFmtId="10" fontId="2" fillId="4" borderId="13" xfId="0" applyNumberFormat="1" applyFont="1" applyFill="1" applyBorder="1"/>
    <xf numFmtId="10" fontId="2" fillId="0" borderId="17" xfId="0" applyNumberFormat="1" applyFont="1" applyBorder="1"/>
    <xf numFmtId="10" fontId="2" fillId="0" borderId="18" xfId="0" applyNumberFormat="1" applyFont="1" applyBorder="1"/>
    <xf numFmtId="0" fontId="17" fillId="5" borderId="5" xfId="0" applyFont="1" applyFill="1" applyBorder="1" applyAlignment="1">
      <alignment horizontal="left"/>
    </xf>
    <xf numFmtId="0" fontId="18" fillId="5" borderId="6" xfId="0" applyFont="1" applyFill="1" applyBorder="1" applyAlignment="1">
      <alignment horizontal="center"/>
    </xf>
    <xf numFmtId="0" fontId="18" fillId="5" borderId="7" xfId="0" applyFont="1" applyFill="1" applyBorder="1" applyAlignment="1">
      <alignment horizontal="center"/>
    </xf>
    <xf numFmtId="0" fontId="17" fillId="5" borderId="10" xfId="0" applyFont="1" applyFill="1" applyBorder="1" applyAlignment="1">
      <alignment horizontal="left"/>
    </xf>
    <xf numFmtId="0" fontId="18" fillId="5" borderId="11" xfId="0" applyFont="1" applyFill="1" applyBorder="1" applyAlignment="1">
      <alignment horizontal="center"/>
    </xf>
    <xf numFmtId="0" fontId="17" fillId="5" borderId="14" xfId="0" applyFont="1" applyFill="1" applyBorder="1" applyAlignment="1">
      <alignment horizontal="left"/>
    </xf>
    <xf numFmtId="0" fontId="18" fillId="5" borderId="15" xfId="0" applyFont="1" applyFill="1" applyBorder="1" applyAlignment="1">
      <alignment horizontal="center"/>
    </xf>
    <xf numFmtId="0" fontId="18" fillId="5" borderId="16" xfId="0" applyFont="1" applyFill="1" applyBorder="1" applyAlignment="1">
      <alignment horizontal="center"/>
    </xf>
    <xf numFmtId="0" fontId="18" fillId="5" borderId="0" xfId="0" applyFont="1" applyFill="1" applyAlignment="1">
      <alignment horizontal="center"/>
    </xf>
    <xf numFmtId="0" fontId="17" fillId="3" borderId="5" xfId="0" applyFont="1" applyFill="1" applyBorder="1"/>
    <xf numFmtId="0" fontId="18" fillId="3" borderId="6" xfId="0" applyFont="1" applyFill="1" applyBorder="1"/>
    <xf numFmtId="0" fontId="1" fillId="0" borderId="0" xfId="0" applyFont="1" applyAlignment="1">
      <alignment horizontal="right"/>
    </xf>
    <xf numFmtId="49" fontId="1" fillId="0" borderId="0" xfId="0" applyNumberFormat="1" applyFont="1"/>
    <xf numFmtId="0" fontId="2" fillId="0" borderId="0" xfId="0" applyFont="1" applyAlignment="1">
      <alignment horizontal="left"/>
    </xf>
    <xf numFmtId="164" fontId="12" fillId="0" borderId="0" xfId="2" applyNumberFormat="1" applyFont="1"/>
    <xf numFmtId="1" fontId="12" fillId="0" borderId="0" xfId="0" applyNumberFormat="1" applyFont="1"/>
    <xf numFmtId="1" fontId="15" fillId="0" borderId="0" xfId="0" applyNumberFormat="1" applyFont="1"/>
    <xf numFmtId="2" fontId="12" fillId="0" borderId="0" xfId="0" applyNumberFormat="1" applyFont="1"/>
    <xf numFmtId="0" fontId="19" fillId="0" borderId="0" xfId="0" applyFont="1"/>
    <xf numFmtId="0" fontId="19" fillId="0" borderId="0" xfId="0" applyFont="1" applyAlignment="1">
      <alignment vertical="top" wrapText="1"/>
    </xf>
    <xf numFmtId="10" fontId="19" fillId="0" borderId="0" xfId="0" applyNumberFormat="1" applyFont="1"/>
    <xf numFmtId="2" fontId="19" fillId="0" borderId="0" xfId="0" applyNumberFormat="1" applyFont="1"/>
    <xf numFmtId="1" fontId="19" fillId="0" borderId="0" xfId="0" applyNumberFormat="1" applyFont="1"/>
    <xf numFmtId="10" fontId="14" fillId="0" borderId="0" xfId="2" applyNumberFormat="1" applyFont="1"/>
    <xf numFmtId="164" fontId="1" fillId="0" borderId="0" xfId="2" applyNumberFormat="1" applyFont="1"/>
    <xf numFmtId="164" fontId="15" fillId="0" borderId="0" xfId="2" applyNumberFormat="1" applyFont="1"/>
    <xf numFmtId="10" fontId="1" fillId="0" borderId="0" xfId="2" applyNumberFormat="1" applyFont="1"/>
    <xf numFmtId="0" fontId="19" fillId="0" borderId="0" xfId="0" applyFont="1" applyAlignment="1">
      <alignment horizontal="right"/>
    </xf>
    <xf numFmtId="0" fontId="20" fillId="0" borderId="0" xfId="1" applyFont="1"/>
    <xf numFmtId="44" fontId="2" fillId="0" borderId="0" xfId="0" applyNumberFormat="1" applyFont="1" applyAlignment="1">
      <alignment horizontal="right" indent="1"/>
    </xf>
    <xf numFmtId="1" fontId="2" fillId="0" borderId="0" xfId="0" applyNumberFormat="1" applyFont="1" applyAlignment="1">
      <alignment horizontal="left" indent="5"/>
    </xf>
    <xf numFmtId="165" fontId="2" fillId="0" borderId="0" xfId="3" applyNumberFormat="1" applyFont="1" applyAlignment="1">
      <alignment horizontal="right" indent="1"/>
    </xf>
    <xf numFmtId="165" fontId="2" fillId="0" borderId="0" xfId="0" applyNumberFormat="1" applyFont="1" applyAlignment="1">
      <alignment horizontal="right" indent="1"/>
    </xf>
  </cellXfs>
  <cellStyles count="4">
    <cellStyle name="Currency" xfId="3" builtinId="4"/>
    <cellStyle name="Hyperlink" xfId="1" builtinId="8"/>
    <cellStyle name="Normal" xfId="0" builtinId="0"/>
    <cellStyle name="Percent" xfId="2" builtinId="5"/>
  </cellStyles>
  <dxfs count="0"/>
  <tableStyles count="0" defaultTableStyle="TableStyleMedium2" defaultPivotStyle="PivotStyleLight16"/>
  <colors>
    <mruColors>
      <color rgb="FFCF73AA"/>
      <color rgb="FFE1A9CA"/>
      <color rgb="FFF0D4E5"/>
      <color rgb="FF5881CC"/>
      <color rgb="FF406FC4"/>
      <color rgb="FF94346D"/>
      <color rgb="FFB03E82"/>
      <color rgb="FFD890BB"/>
      <color rgb="FFD482B3"/>
      <color rgb="FFC553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(SYK) Historical Return Histogram + Normal Distribution Overlay</a:t>
            </a:r>
          </a:p>
        </c:rich>
      </c:tx>
      <c:layout>
        <c:manualLayout>
          <c:xMode val="edge"/>
          <c:yMode val="edge"/>
          <c:x val="0.24577732698575983"/>
          <c:y val="1.60680470496743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175978805032912E-2"/>
          <c:y val="7.821657723270635E-2"/>
          <c:w val="0.94254640971811998"/>
          <c:h val="0.8723512307833301"/>
        </c:manualLayout>
      </c:layout>
      <c:scatterChart>
        <c:scatterStyle val="smoothMarker"/>
        <c:varyColors val="0"/>
        <c:ser>
          <c:idx val="0"/>
          <c:order val="0"/>
          <c:spPr>
            <a:ln w="19050" cap="rnd">
              <a:noFill/>
              <a:round/>
            </a:ln>
            <a:effectLst/>
          </c:spPr>
          <c:marker>
            <c:symbol val="none"/>
          </c:marker>
          <c:errBars>
            <c:errDir val="y"/>
            <c:errBarType val="minus"/>
            <c:errValType val="percentage"/>
            <c:noEndCap val="1"/>
            <c:val val="100"/>
            <c:spPr>
              <a:noFill/>
              <a:ln w="127000" cap="flat" cmpd="sng" algn="ctr">
                <a:solidFill>
                  <a:srgbClr val="00B0F0"/>
                </a:solidFill>
                <a:round/>
              </a:ln>
              <a:effectLst/>
            </c:spPr>
          </c:errBars>
          <c:xVal>
            <c:numRef>
              <c:f>'Notes | Quant Analysis'!$I$236:$I$316</c:f>
              <c:numCache>
                <c:formatCode>0.00%</c:formatCode>
                <c:ptCount val="81"/>
                <c:pt idx="0">
                  <c:v>-0.04</c:v>
                </c:pt>
                <c:pt idx="1">
                  <c:v>-3.9E-2</c:v>
                </c:pt>
                <c:pt idx="2">
                  <c:v>-3.7999999999999999E-2</c:v>
                </c:pt>
                <c:pt idx="3">
                  <c:v>-3.6999999999999998E-2</c:v>
                </c:pt>
                <c:pt idx="4">
                  <c:v>-3.5999999999999997E-2</c:v>
                </c:pt>
                <c:pt idx="5">
                  <c:v>-3.4999999999999996E-2</c:v>
                </c:pt>
                <c:pt idx="6">
                  <c:v>-3.3999999999999996E-2</c:v>
                </c:pt>
                <c:pt idx="7">
                  <c:v>-3.2999999999999995E-2</c:v>
                </c:pt>
                <c:pt idx="8">
                  <c:v>-3.1999999999999994E-2</c:v>
                </c:pt>
                <c:pt idx="9">
                  <c:v>-3.0999999999999993E-2</c:v>
                </c:pt>
                <c:pt idx="10">
                  <c:v>-2.9999999999999992E-2</c:v>
                </c:pt>
                <c:pt idx="11">
                  <c:v>-2.8999999999999991E-2</c:v>
                </c:pt>
                <c:pt idx="12">
                  <c:v>-2.799999999999999E-2</c:v>
                </c:pt>
                <c:pt idx="13">
                  <c:v>-2.6999999999999989E-2</c:v>
                </c:pt>
                <c:pt idx="14">
                  <c:v>-2.5999999999999988E-2</c:v>
                </c:pt>
                <c:pt idx="15">
                  <c:v>-2.4999999999999988E-2</c:v>
                </c:pt>
                <c:pt idx="16">
                  <c:v>-2.3999999999999987E-2</c:v>
                </c:pt>
                <c:pt idx="17">
                  <c:v>-2.2999999999999986E-2</c:v>
                </c:pt>
                <c:pt idx="18">
                  <c:v>-2.1999999999999985E-2</c:v>
                </c:pt>
                <c:pt idx="19">
                  <c:v>-2.0999999999999984E-2</c:v>
                </c:pt>
                <c:pt idx="20">
                  <c:v>-1.9999999999999983E-2</c:v>
                </c:pt>
                <c:pt idx="21">
                  <c:v>-1.8999999999999982E-2</c:v>
                </c:pt>
                <c:pt idx="22">
                  <c:v>-1.7999999999999981E-2</c:v>
                </c:pt>
                <c:pt idx="23">
                  <c:v>-1.699999999999998E-2</c:v>
                </c:pt>
                <c:pt idx="24">
                  <c:v>-1.599999999999998E-2</c:v>
                </c:pt>
                <c:pt idx="25">
                  <c:v>-1.4999999999999979E-2</c:v>
                </c:pt>
                <c:pt idx="26">
                  <c:v>-1.3999999999999978E-2</c:v>
                </c:pt>
                <c:pt idx="27">
                  <c:v>-1.2999999999999977E-2</c:v>
                </c:pt>
                <c:pt idx="28">
                  <c:v>-1.1999999999999976E-2</c:v>
                </c:pt>
                <c:pt idx="29">
                  <c:v>-1.0999999999999975E-2</c:v>
                </c:pt>
                <c:pt idx="30">
                  <c:v>-9.9999999999999742E-3</c:v>
                </c:pt>
                <c:pt idx="31">
                  <c:v>-8.9999999999999733E-3</c:v>
                </c:pt>
                <c:pt idx="32">
                  <c:v>-7.9999999999999724E-3</c:v>
                </c:pt>
                <c:pt idx="33">
                  <c:v>-6.9999999999999724E-3</c:v>
                </c:pt>
                <c:pt idx="34">
                  <c:v>-5.9999999999999724E-3</c:v>
                </c:pt>
                <c:pt idx="35">
                  <c:v>-4.9999999999999723E-3</c:v>
                </c:pt>
                <c:pt idx="36">
                  <c:v>-3.9999999999999723E-3</c:v>
                </c:pt>
                <c:pt idx="37">
                  <c:v>-2.9999999999999723E-3</c:v>
                </c:pt>
                <c:pt idx="38">
                  <c:v>-1.9999999999999723E-3</c:v>
                </c:pt>
                <c:pt idx="39">
                  <c:v>-9.9999999999997227E-4</c:v>
                </c:pt>
                <c:pt idx="40">
                  <c:v>2.7755575615628914E-17</c:v>
                </c:pt>
                <c:pt idx="41">
                  <c:v>1.0000000000000278E-3</c:v>
                </c:pt>
                <c:pt idx="42">
                  <c:v>2.0000000000000278E-3</c:v>
                </c:pt>
                <c:pt idx="43">
                  <c:v>3.0000000000000278E-3</c:v>
                </c:pt>
                <c:pt idx="44">
                  <c:v>4.0000000000000278E-3</c:v>
                </c:pt>
                <c:pt idx="45">
                  <c:v>5.0000000000000279E-3</c:v>
                </c:pt>
                <c:pt idx="46">
                  <c:v>6.0000000000000279E-3</c:v>
                </c:pt>
                <c:pt idx="47">
                  <c:v>7.0000000000000279E-3</c:v>
                </c:pt>
                <c:pt idx="48">
                  <c:v>8.0000000000000279E-3</c:v>
                </c:pt>
                <c:pt idx="49">
                  <c:v>9.0000000000000288E-3</c:v>
                </c:pt>
                <c:pt idx="50">
                  <c:v>1.000000000000003E-2</c:v>
                </c:pt>
                <c:pt idx="51">
                  <c:v>1.1000000000000031E-2</c:v>
                </c:pt>
                <c:pt idx="52">
                  <c:v>1.2000000000000031E-2</c:v>
                </c:pt>
                <c:pt idx="53">
                  <c:v>1.3000000000000032E-2</c:v>
                </c:pt>
                <c:pt idx="54">
                  <c:v>1.4000000000000033E-2</c:v>
                </c:pt>
                <c:pt idx="55">
                  <c:v>1.5000000000000034E-2</c:v>
                </c:pt>
                <c:pt idx="56">
                  <c:v>1.6000000000000035E-2</c:v>
                </c:pt>
                <c:pt idx="57">
                  <c:v>1.7000000000000036E-2</c:v>
                </c:pt>
                <c:pt idx="58">
                  <c:v>1.8000000000000037E-2</c:v>
                </c:pt>
                <c:pt idx="59">
                  <c:v>1.9000000000000038E-2</c:v>
                </c:pt>
                <c:pt idx="60">
                  <c:v>2.0000000000000039E-2</c:v>
                </c:pt>
                <c:pt idx="61">
                  <c:v>2.1000000000000039E-2</c:v>
                </c:pt>
                <c:pt idx="62">
                  <c:v>2.200000000000004E-2</c:v>
                </c:pt>
                <c:pt idx="63">
                  <c:v>2.3000000000000041E-2</c:v>
                </c:pt>
                <c:pt idx="64">
                  <c:v>2.4000000000000042E-2</c:v>
                </c:pt>
                <c:pt idx="65">
                  <c:v>2.5000000000000043E-2</c:v>
                </c:pt>
                <c:pt idx="66">
                  <c:v>2.6000000000000044E-2</c:v>
                </c:pt>
                <c:pt idx="67">
                  <c:v>2.7000000000000045E-2</c:v>
                </c:pt>
                <c:pt idx="68">
                  <c:v>2.8000000000000046E-2</c:v>
                </c:pt>
                <c:pt idx="69">
                  <c:v>2.9000000000000047E-2</c:v>
                </c:pt>
                <c:pt idx="70">
                  <c:v>3.0000000000000047E-2</c:v>
                </c:pt>
                <c:pt idx="71">
                  <c:v>3.1000000000000048E-2</c:v>
                </c:pt>
                <c:pt idx="72">
                  <c:v>3.2000000000000049E-2</c:v>
                </c:pt>
                <c:pt idx="73">
                  <c:v>3.300000000000005E-2</c:v>
                </c:pt>
                <c:pt idx="74">
                  <c:v>3.4000000000000051E-2</c:v>
                </c:pt>
                <c:pt idx="75">
                  <c:v>3.5000000000000052E-2</c:v>
                </c:pt>
                <c:pt idx="76">
                  <c:v>3.6000000000000053E-2</c:v>
                </c:pt>
                <c:pt idx="77">
                  <c:v>3.7000000000000054E-2</c:v>
                </c:pt>
                <c:pt idx="78">
                  <c:v>3.8000000000000055E-2</c:v>
                </c:pt>
                <c:pt idx="79">
                  <c:v>3.9000000000000055E-2</c:v>
                </c:pt>
                <c:pt idx="80">
                  <c:v>4.0000000000000056E-2</c:v>
                </c:pt>
              </c:numCache>
            </c:numRef>
          </c:xVal>
          <c:yVal>
            <c:numRef>
              <c:f>'Notes | Quant Analysis'!$J$236:$J$316</c:f>
              <c:numCache>
                <c:formatCode>General</c:formatCode>
                <c:ptCount val="81"/>
                <c:pt idx="0">
                  <c:v>1</c:v>
                </c:pt>
                <c:pt idx="1">
                  <c:v>1</c:v>
                </c:pt>
                <c:pt idx="2">
                  <c:v>0</c:v>
                </c:pt>
                <c:pt idx="3">
                  <c:v>0</c:v>
                </c:pt>
                <c:pt idx="4">
                  <c:v>1</c:v>
                </c:pt>
                <c:pt idx="5">
                  <c:v>4</c:v>
                </c:pt>
                <c:pt idx="6">
                  <c:v>2</c:v>
                </c:pt>
                <c:pt idx="7">
                  <c:v>1</c:v>
                </c:pt>
                <c:pt idx="8">
                  <c:v>1</c:v>
                </c:pt>
                <c:pt idx="9">
                  <c:v>3</c:v>
                </c:pt>
                <c:pt idx="10">
                  <c:v>1</c:v>
                </c:pt>
                <c:pt idx="11">
                  <c:v>4</c:v>
                </c:pt>
                <c:pt idx="12">
                  <c:v>1</c:v>
                </c:pt>
                <c:pt idx="13">
                  <c:v>4</c:v>
                </c:pt>
                <c:pt idx="14">
                  <c:v>1</c:v>
                </c:pt>
                <c:pt idx="15">
                  <c:v>5</c:v>
                </c:pt>
                <c:pt idx="16">
                  <c:v>1</c:v>
                </c:pt>
                <c:pt idx="17">
                  <c:v>2</c:v>
                </c:pt>
                <c:pt idx="18">
                  <c:v>2</c:v>
                </c:pt>
                <c:pt idx="19">
                  <c:v>3</c:v>
                </c:pt>
                <c:pt idx="20">
                  <c:v>5</c:v>
                </c:pt>
                <c:pt idx="21">
                  <c:v>9</c:v>
                </c:pt>
                <c:pt idx="22">
                  <c:v>6</c:v>
                </c:pt>
                <c:pt idx="23">
                  <c:v>10</c:v>
                </c:pt>
                <c:pt idx="24">
                  <c:v>13</c:v>
                </c:pt>
                <c:pt idx="25">
                  <c:v>11</c:v>
                </c:pt>
                <c:pt idx="26">
                  <c:v>24</c:v>
                </c:pt>
                <c:pt idx="27">
                  <c:v>18</c:v>
                </c:pt>
                <c:pt idx="28">
                  <c:v>27</c:v>
                </c:pt>
                <c:pt idx="29">
                  <c:v>18</c:v>
                </c:pt>
                <c:pt idx="30">
                  <c:v>19</c:v>
                </c:pt>
                <c:pt idx="31">
                  <c:v>24</c:v>
                </c:pt>
                <c:pt idx="32">
                  <c:v>16</c:v>
                </c:pt>
                <c:pt idx="33">
                  <c:v>26</c:v>
                </c:pt>
                <c:pt idx="34">
                  <c:v>29</c:v>
                </c:pt>
                <c:pt idx="35">
                  <c:v>17</c:v>
                </c:pt>
                <c:pt idx="36">
                  <c:v>23</c:v>
                </c:pt>
                <c:pt idx="37">
                  <c:v>37</c:v>
                </c:pt>
                <c:pt idx="38">
                  <c:v>41</c:v>
                </c:pt>
                <c:pt idx="39">
                  <c:v>35</c:v>
                </c:pt>
                <c:pt idx="40">
                  <c:v>45</c:v>
                </c:pt>
                <c:pt idx="41">
                  <c:v>53</c:v>
                </c:pt>
                <c:pt idx="42">
                  <c:v>37</c:v>
                </c:pt>
                <c:pt idx="43">
                  <c:v>26</c:v>
                </c:pt>
                <c:pt idx="44">
                  <c:v>39</c:v>
                </c:pt>
                <c:pt idx="45">
                  <c:v>33</c:v>
                </c:pt>
                <c:pt idx="46">
                  <c:v>29</c:v>
                </c:pt>
                <c:pt idx="47">
                  <c:v>26</c:v>
                </c:pt>
                <c:pt idx="48">
                  <c:v>22</c:v>
                </c:pt>
                <c:pt idx="49">
                  <c:v>24</c:v>
                </c:pt>
                <c:pt idx="50">
                  <c:v>30</c:v>
                </c:pt>
                <c:pt idx="51">
                  <c:v>29</c:v>
                </c:pt>
                <c:pt idx="52">
                  <c:v>21</c:v>
                </c:pt>
                <c:pt idx="53">
                  <c:v>19</c:v>
                </c:pt>
                <c:pt idx="54">
                  <c:v>20</c:v>
                </c:pt>
                <c:pt idx="55">
                  <c:v>11</c:v>
                </c:pt>
                <c:pt idx="56">
                  <c:v>11</c:v>
                </c:pt>
                <c:pt idx="57">
                  <c:v>7</c:v>
                </c:pt>
                <c:pt idx="58">
                  <c:v>12</c:v>
                </c:pt>
                <c:pt idx="59">
                  <c:v>7</c:v>
                </c:pt>
                <c:pt idx="60">
                  <c:v>5</c:v>
                </c:pt>
                <c:pt idx="61">
                  <c:v>7</c:v>
                </c:pt>
                <c:pt idx="62">
                  <c:v>14</c:v>
                </c:pt>
                <c:pt idx="63">
                  <c:v>3</c:v>
                </c:pt>
                <c:pt idx="64">
                  <c:v>7</c:v>
                </c:pt>
                <c:pt idx="65">
                  <c:v>7</c:v>
                </c:pt>
                <c:pt idx="66">
                  <c:v>8</c:v>
                </c:pt>
                <c:pt idx="67">
                  <c:v>2</c:v>
                </c:pt>
                <c:pt idx="68">
                  <c:v>0</c:v>
                </c:pt>
                <c:pt idx="69">
                  <c:v>4</c:v>
                </c:pt>
                <c:pt idx="70">
                  <c:v>1</c:v>
                </c:pt>
                <c:pt idx="71">
                  <c:v>2</c:v>
                </c:pt>
                <c:pt idx="72">
                  <c:v>2</c:v>
                </c:pt>
                <c:pt idx="73">
                  <c:v>0</c:v>
                </c:pt>
                <c:pt idx="74">
                  <c:v>2</c:v>
                </c:pt>
                <c:pt idx="75">
                  <c:v>2</c:v>
                </c:pt>
                <c:pt idx="76">
                  <c:v>0</c:v>
                </c:pt>
                <c:pt idx="77">
                  <c:v>0</c:v>
                </c:pt>
                <c:pt idx="78">
                  <c:v>0</c:v>
                </c:pt>
                <c:pt idx="79">
                  <c:v>0</c:v>
                </c:pt>
                <c:pt idx="80">
                  <c:v>1</c:v>
                </c:pt>
              </c:numCache>
            </c:numRef>
          </c:yVal>
          <c:smooth val="1"/>
          <c:extLst>
            <c:ext xmlns:c16="http://schemas.microsoft.com/office/drawing/2014/chart" uri="{C3380CC4-5D6E-409C-BE32-E72D297353CC}">
              <c16:uniqueId val="{00000000-0BF1-4761-941B-8512E674B56C}"/>
            </c:ext>
          </c:extLst>
        </c:ser>
        <c:ser>
          <c:idx val="1"/>
          <c:order val="1"/>
          <c:tx>
            <c:strRef>
              <c:f>'Notes | Quant Analysis'!$L$234</c:f>
              <c:strCache>
                <c:ptCount val="1"/>
                <c:pt idx="0">
                  <c:v>Distribution Overlay</c:v>
                </c:pt>
              </c:strCache>
            </c:strRef>
          </c:tx>
          <c:spPr>
            <a:ln w="19050" cap="rnd">
              <a:solidFill>
                <a:srgbClr val="FFC000"/>
              </a:solidFill>
              <a:round/>
            </a:ln>
            <a:effectLst/>
          </c:spPr>
          <c:marker>
            <c:symbol val="none"/>
          </c:marker>
          <c:xVal>
            <c:numRef>
              <c:f>'Notes | Quant Analysis'!$L$236:$L$318</c:f>
              <c:numCache>
                <c:formatCode>0.00%</c:formatCode>
                <c:ptCount val="83"/>
                <c:pt idx="0">
                  <c:v>-4.1000000000000002E-2</c:v>
                </c:pt>
                <c:pt idx="1">
                  <c:v>-0.04</c:v>
                </c:pt>
                <c:pt idx="2">
                  <c:v>-3.9E-2</c:v>
                </c:pt>
                <c:pt idx="3">
                  <c:v>-3.7999999999999999E-2</c:v>
                </c:pt>
                <c:pt idx="4">
                  <c:v>-3.6999999999999998E-2</c:v>
                </c:pt>
                <c:pt idx="5">
                  <c:v>-3.5999999999999997E-2</c:v>
                </c:pt>
                <c:pt idx="6">
                  <c:v>-3.4999999999999996E-2</c:v>
                </c:pt>
                <c:pt idx="7">
                  <c:v>-3.3999999999999996E-2</c:v>
                </c:pt>
                <c:pt idx="8">
                  <c:v>-3.2999999999999995E-2</c:v>
                </c:pt>
                <c:pt idx="9">
                  <c:v>-3.1999999999999994E-2</c:v>
                </c:pt>
                <c:pt idx="10">
                  <c:v>-3.0999999999999993E-2</c:v>
                </c:pt>
                <c:pt idx="11">
                  <c:v>-2.9999999999999992E-2</c:v>
                </c:pt>
                <c:pt idx="12">
                  <c:v>-2.8999999999999991E-2</c:v>
                </c:pt>
                <c:pt idx="13">
                  <c:v>-2.799999999999999E-2</c:v>
                </c:pt>
                <c:pt idx="14">
                  <c:v>-2.6999999999999989E-2</c:v>
                </c:pt>
                <c:pt idx="15">
                  <c:v>-2.5999999999999988E-2</c:v>
                </c:pt>
                <c:pt idx="16">
                  <c:v>-2.4999999999999988E-2</c:v>
                </c:pt>
                <c:pt idx="17">
                  <c:v>-2.3999999999999987E-2</c:v>
                </c:pt>
                <c:pt idx="18">
                  <c:v>-2.2999999999999986E-2</c:v>
                </c:pt>
                <c:pt idx="19">
                  <c:v>-2.1999999999999985E-2</c:v>
                </c:pt>
                <c:pt idx="20">
                  <c:v>-2.0999999999999984E-2</c:v>
                </c:pt>
                <c:pt idx="21">
                  <c:v>-1.9999999999999983E-2</c:v>
                </c:pt>
                <c:pt idx="22">
                  <c:v>-1.8999999999999982E-2</c:v>
                </c:pt>
                <c:pt idx="23">
                  <c:v>-1.7999999999999981E-2</c:v>
                </c:pt>
                <c:pt idx="24">
                  <c:v>-1.699999999999998E-2</c:v>
                </c:pt>
                <c:pt idx="25">
                  <c:v>-1.599999999999998E-2</c:v>
                </c:pt>
                <c:pt idx="26">
                  <c:v>-1.4999999999999979E-2</c:v>
                </c:pt>
                <c:pt idx="27">
                  <c:v>-1.3999999999999978E-2</c:v>
                </c:pt>
                <c:pt idx="28">
                  <c:v>-1.2999999999999977E-2</c:v>
                </c:pt>
                <c:pt idx="29">
                  <c:v>-1.1999999999999976E-2</c:v>
                </c:pt>
                <c:pt idx="30">
                  <c:v>-1.0999999999999975E-2</c:v>
                </c:pt>
                <c:pt idx="31">
                  <c:v>-9.9999999999999742E-3</c:v>
                </c:pt>
                <c:pt idx="32">
                  <c:v>-8.9999999999999733E-3</c:v>
                </c:pt>
                <c:pt idx="33">
                  <c:v>-7.9999999999999724E-3</c:v>
                </c:pt>
                <c:pt idx="34">
                  <c:v>-6.9999999999999724E-3</c:v>
                </c:pt>
                <c:pt idx="35">
                  <c:v>-5.9999999999999724E-3</c:v>
                </c:pt>
                <c:pt idx="36">
                  <c:v>-4.9999999999999723E-3</c:v>
                </c:pt>
                <c:pt idx="37">
                  <c:v>-3.9999999999999723E-3</c:v>
                </c:pt>
                <c:pt idx="38">
                  <c:v>-2.9999999999999723E-3</c:v>
                </c:pt>
                <c:pt idx="39">
                  <c:v>-1.9999999999999723E-3</c:v>
                </c:pt>
                <c:pt idx="40">
                  <c:v>-9.9999999999997227E-4</c:v>
                </c:pt>
                <c:pt idx="41">
                  <c:v>2.7755575615628914E-17</c:v>
                </c:pt>
                <c:pt idx="42">
                  <c:v>1.0000000000000278E-3</c:v>
                </c:pt>
                <c:pt idx="43">
                  <c:v>2.0000000000000278E-3</c:v>
                </c:pt>
                <c:pt idx="44">
                  <c:v>3.0000000000000278E-3</c:v>
                </c:pt>
                <c:pt idx="45">
                  <c:v>4.0000000000000278E-3</c:v>
                </c:pt>
                <c:pt idx="46">
                  <c:v>5.0000000000000279E-3</c:v>
                </c:pt>
                <c:pt idx="47">
                  <c:v>6.0000000000000279E-3</c:v>
                </c:pt>
                <c:pt idx="48">
                  <c:v>7.0000000000000279E-3</c:v>
                </c:pt>
                <c:pt idx="49">
                  <c:v>8.0000000000000279E-3</c:v>
                </c:pt>
                <c:pt idx="50">
                  <c:v>9.0000000000000288E-3</c:v>
                </c:pt>
                <c:pt idx="51">
                  <c:v>1.000000000000003E-2</c:v>
                </c:pt>
                <c:pt idx="52">
                  <c:v>1.1000000000000031E-2</c:v>
                </c:pt>
                <c:pt idx="53">
                  <c:v>1.2000000000000031E-2</c:v>
                </c:pt>
                <c:pt idx="54">
                  <c:v>1.3000000000000032E-2</c:v>
                </c:pt>
                <c:pt idx="55">
                  <c:v>1.4000000000000033E-2</c:v>
                </c:pt>
                <c:pt idx="56">
                  <c:v>1.5000000000000034E-2</c:v>
                </c:pt>
                <c:pt idx="57">
                  <c:v>1.6000000000000035E-2</c:v>
                </c:pt>
                <c:pt idx="58">
                  <c:v>1.7000000000000036E-2</c:v>
                </c:pt>
                <c:pt idx="59">
                  <c:v>1.8000000000000037E-2</c:v>
                </c:pt>
                <c:pt idx="60">
                  <c:v>1.9000000000000038E-2</c:v>
                </c:pt>
                <c:pt idx="61">
                  <c:v>2.0000000000000039E-2</c:v>
                </c:pt>
                <c:pt idx="62">
                  <c:v>2.1000000000000039E-2</c:v>
                </c:pt>
                <c:pt idx="63">
                  <c:v>2.200000000000004E-2</c:v>
                </c:pt>
                <c:pt idx="64">
                  <c:v>2.3000000000000041E-2</c:v>
                </c:pt>
                <c:pt idx="65">
                  <c:v>2.4000000000000042E-2</c:v>
                </c:pt>
                <c:pt idx="66">
                  <c:v>2.5000000000000043E-2</c:v>
                </c:pt>
                <c:pt idx="67">
                  <c:v>2.6000000000000044E-2</c:v>
                </c:pt>
                <c:pt idx="68">
                  <c:v>2.7000000000000045E-2</c:v>
                </c:pt>
                <c:pt idx="69">
                  <c:v>2.8000000000000046E-2</c:v>
                </c:pt>
                <c:pt idx="70">
                  <c:v>2.9000000000000047E-2</c:v>
                </c:pt>
                <c:pt idx="71">
                  <c:v>3.0000000000000047E-2</c:v>
                </c:pt>
                <c:pt idx="72">
                  <c:v>3.1000000000000048E-2</c:v>
                </c:pt>
                <c:pt idx="73">
                  <c:v>3.2000000000000049E-2</c:v>
                </c:pt>
                <c:pt idx="74">
                  <c:v>3.300000000000005E-2</c:v>
                </c:pt>
                <c:pt idx="75">
                  <c:v>3.4000000000000051E-2</c:v>
                </c:pt>
                <c:pt idx="76">
                  <c:v>3.5000000000000052E-2</c:v>
                </c:pt>
                <c:pt idx="77">
                  <c:v>3.6000000000000053E-2</c:v>
                </c:pt>
                <c:pt idx="78">
                  <c:v>3.7000000000000054E-2</c:v>
                </c:pt>
                <c:pt idx="79">
                  <c:v>3.8000000000000055E-2</c:v>
                </c:pt>
                <c:pt idx="80">
                  <c:v>3.9000000000000055E-2</c:v>
                </c:pt>
                <c:pt idx="81">
                  <c:v>4.0000000000000056E-2</c:v>
                </c:pt>
                <c:pt idx="82">
                  <c:v>4.1000000000000002E-2</c:v>
                </c:pt>
              </c:numCache>
            </c:numRef>
          </c:xVal>
          <c:yVal>
            <c:numRef>
              <c:f>'Notes | Quant Analysis'!$M$236:$M$318</c:f>
              <c:numCache>
                <c:formatCode>General</c:formatCode>
                <c:ptCount val="83"/>
                <c:pt idx="0">
                  <c:v>0.24330261971412301</c:v>
                </c:pt>
                <c:pt idx="1">
                  <c:v>0.30633285338385041</c:v>
                </c:pt>
                <c:pt idx="2">
                  <c:v>0.38351958154803484</c:v>
                </c:pt>
                <c:pt idx="3">
                  <c:v>0.47745086551047328</c:v>
                </c:pt>
                <c:pt idx="4">
                  <c:v>0.59104017531798669</c:v>
                </c:pt>
                <c:pt idx="5">
                  <c:v>0.72753266253923077</c:v>
                </c:pt>
                <c:pt idx="6">
                  <c:v>0.89050254374147597</c:v>
                </c:pt>
                <c:pt idx="7">
                  <c:v>1.0838395846539897</c:v>
                </c:pt>
                <c:pt idx="8">
                  <c:v>1.3117226816436751</c:v>
                </c:pt>
                <c:pt idx="9">
                  <c:v>1.578578645060458</c:v>
                </c:pt>
                <c:pt idx="10">
                  <c:v>1.8890245151375733</c:v>
                </c:pt>
                <c:pt idx="11">
                  <c:v>2.2477920988013178</c:v>
                </c:pt>
                <c:pt idx="12">
                  <c:v>2.6596339130588227</c:v>
                </c:pt>
                <c:pt idx="13">
                  <c:v>3.1292103587889639</c:v>
                </c:pt>
                <c:pt idx="14">
                  <c:v>3.6609587205509038</c:v>
                </c:pt>
                <c:pt idx="15">
                  <c:v>4.258945476645092</c:v>
                </c:pt>
                <c:pt idx="16">
                  <c:v>4.9267043820016658</c:v>
                </c:pt>
                <c:pt idx="17">
                  <c:v>5.6670638170172571</c:v>
                </c:pt>
                <c:pt idx="18">
                  <c:v>6.4819679309391072</c:v>
                </c:pt>
                <c:pt idx="19">
                  <c:v>7.3722970932413006</c:v>
                </c:pt>
                <c:pt idx="20">
                  <c:v>8.3376940391129448</c:v>
                </c:pt>
                <c:pt idx="21">
                  <c:v>9.3764027912942609</c:v>
                </c:pt>
                <c:pt idx="22">
                  <c:v>10.485127896633797</c:v>
                </c:pt>
                <c:pt idx="23">
                  <c:v>11.658921673763489</c:v>
                </c:pt>
                <c:pt idx="24">
                  <c:v>12.891106979905215</c:v>
                </c:pt>
                <c:pt idx="25">
                  <c:v>14.173242436056498</c:v>
                </c:pt>
                <c:pt idx="26">
                  <c:v>15.495136085031207</c:v>
                </c:pt>
                <c:pt idx="27">
                  <c:v>16.844912102018611</c:v>
                </c:pt>
                <c:pt idx="28">
                  <c:v>18.209133462105321</c:v>
                </c:pt>
                <c:pt idx="29">
                  <c:v>19.572981447529923</c:v>
                </c:pt>
                <c:pt idx="30">
                  <c:v>20.920490626570793</c:v>
                </c:pt>
                <c:pt idx="31">
                  <c:v>22.234835553740457</c:v>
                </c:pt>
                <c:pt idx="32">
                  <c:v>23.49866304135163</c:v>
                </c:pt>
                <c:pt idx="33">
                  <c:v>24.694461559704717</c:v>
                </c:pt>
                <c:pt idx="34">
                  <c:v>25.804957264360048</c:v>
                </c:pt>
                <c:pt idx="35">
                  <c:v>26.81352444662306</c:v>
                </c:pt>
                <c:pt idx="36">
                  <c:v>27.704596967012165</c:v>
                </c:pt>
                <c:pt idx="37">
                  <c:v>28.464066550027482</c:v>
                </c:pt>
                <c:pt idx="38">
                  <c:v>29.079653753616999</c:v>
                </c:pt>
                <c:pt idx="39">
                  <c:v>29.541238007479279</c:v>
                </c:pt>
                <c:pt idx="40">
                  <c:v>29.84113433421124</c:v>
                </c:pt>
                <c:pt idx="41">
                  <c:v>29.974306183221255</c:v>
                </c:pt>
                <c:pt idx="42">
                  <c:v>29.938506141234956</c:v>
                </c:pt>
                <c:pt idx="43">
                  <c:v>29.734339026119326</c:v>
                </c:pt>
                <c:pt idx="44">
                  <c:v>29.365244888858772</c:v>
                </c:pt>
                <c:pt idx="45">
                  <c:v>28.837402591235453</c:v>
                </c:pt>
                <c:pt idx="46">
                  <c:v>28.159557735840721</c:v>
                </c:pt>
                <c:pt idx="47">
                  <c:v>27.342781644290781</c:v>
                </c:pt>
                <c:pt idx="48">
                  <c:v>26.400170664392089</c:v>
                </c:pt>
                <c:pt idx="49">
                  <c:v>25.346497213325758</c:v>
                </c:pt>
                <c:pt idx="50">
                  <c:v>24.197825535155634</c:v>
                </c:pt>
                <c:pt idx="51">
                  <c:v>22.971106103509396</c:v>
                </c:pt>
                <c:pt idx="52">
                  <c:v>21.683762906467617</c:v>
                </c:pt>
                <c:pt idx="53">
                  <c:v>20.353287519327644</c:v>
                </c:pt>
                <c:pt idx="54">
                  <c:v>18.996852945382901</c:v>
                </c:pt>
                <c:pt idx="55">
                  <c:v>17.630958759087321</c:v>
                </c:pt>
                <c:pt idx="56">
                  <c:v>16.271117218493135</c:v>
                </c:pt>
                <c:pt idx="57">
                  <c:v>14.931587840618413</c:v>
                </c:pt>
                <c:pt idx="58">
                  <c:v>13.625165579865037</c:v>
                </c:pt>
                <c:pt idx="59">
                  <c:v>12.363025342638814</c:v>
                </c:pt>
                <c:pt idx="60">
                  <c:v>11.154623231589555</c:v>
                </c:pt>
                <c:pt idx="61">
                  <c:v>10.007652748181465</c:v>
                </c:pt>
                <c:pt idx="62">
                  <c:v>8.9280522821969779</c:v>
                </c:pt>
                <c:pt idx="63">
                  <c:v>7.9200586489003983</c:v>
                </c:pt>
                <c:pt idx="64">
                  <c:v>6.9863002426241483</c:v>
                </c:pt>
                <c:pt idx="65">
                  <c:v>6.1279225789406535</c:v>
                </c:pt>
                <c:pt idx="66">
                  <c:v>5.3447385928472428</c:v>
                </c:pt>
                <c:pt idx="67">
                  <c:v>4.6353960236808662</c:v>
                </c:pt>
                <c:pt idx="68">
                  <c:v>3.9975545082321977</c:v>
                </c:pt>
                <c:pt idx="69">
                  <c:v>3.4280655687282566</c:v>
                </c:pt>
                <c:pt idx="70">
                  <c:v>2.9231494610784972</c:v>
                </c:pt>
                <c:pt idx="71">
                  <c:v>2.4785637766983237</c:v>
                </c:pt>
                <c:pt idx="72">
                  <c:v>2.089759704725016</c:v>
                </c:pt>
                <c:pt idx="73">
                  <c:v>1.7520229011767259</c:v>
                </c:pt>
                <c:pt idx="74">
                  <c:v>1.4605969252869571</c:v>
                </c:pt>
                <c:pt idx="75">
                  <c:v>1.210788147600123</c:v>
                </c:pt>
                <c:pt idx="76">
                  <c:v>0.99805187629411873</c:v>
                </c:pt>
                <c:pt idx="77">
                  <c:v>0.81806016490533739</c:v>
                </c:pt>
                <c:pt idx="78">
                  <c:v>0.66675234354585899</c:v>
                </c:pt>
                <c:pt idx="79">
                  <c:v>0.54036975333680215</c:v>
                </c:pt>
                <c:pt idx="80">
                  <c:v>0.43547646445183286</c:v>
                </c:pt>
                <c:pt idx="81">
                  <c:v>0.34896793239983337</c:v>
                </c:pt>
                <c:pt idx="82">
                  <c:v>0.27806961002886771</c:v>
                </c:pt>
              </c:numCache>
            </c:numRef>
          </c:yVal>
          <c:smooth val="1"/>
          <c:extLst>
            <c:ext xmlns:c16="http://schemas.microsoft.com/office/drawing/2014/chart" uri="{C3380CC4-5D6E-409C-BE32-E72D297353CC}">
              <c16:uniqueId val="{00000001-0BF1-4761-941B-8512E674B56C}"/>
            </c:ext>
          </c:extLst>
        </c:ser>
        <c:ser>
          <c:idx val="2"/>
          <c:order val="2"/>
          <c:tx>
            <c:strRef>
              <c:f>'Notes | Quant Analysis'!$O$236</c:f>
              <c:strCache>
                <c:ptCount val="1"/>
                <c:pt idx="0">
                  <c:v>Mean</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E-0BF1-4761-941B-8512E674B56C}"/>
                </c:ext>
              </c:extLst>
            </c:dLbl>
            <c:dLbl>
              <c:idx val="1"/>
              <c:layout>
                <c:manualLayout>
                  <c:x val="-6.5761321986558208E-2"/>
                  <c:y val="-2.1250002091535724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5-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Analysis'!$P$236:$P$237</c:f>
              <c:numCache>
                <c:formatCode>0.00%</c:formatCode>
                <c:ptCount val="2"/>
                <c:pt idx="0">
                  <c:v>2.8840192365155138E-4</c:v>
                </c:pt>
                <c:pt idx="1">
                  <c:v>3.4810405770502317E-4</c:v>
                </c:pt>
              </c:numCache>
            </c:numRef>
          </c:xVal>
          <c:yVal>
            <c:numRef>
              <c:f>'Notes | Quant Analysis'!$Q$236:$Q$237</c:f>
              <c:numCache>
                <c:formatCode>General</c:formatCode>
                <c:ptCount val="2"/>
                <c:pt idx="0">
                  <c:v>0</c:v>
                </c:pt>
                <c:pt idx="1">
                  <c:v>32</c:v>
                </c:pt>
              </c:numCache>
            </c:numRef>
          </c:yVal>
          <c:smooth val="1"/>
          <c:extLst>
            <c:ext xmlns:c16="http://schemas.microsoft.com/office/drawing/2014/chart" uri="{C3380CC4-5D6E-409C-BE32-E72D297353CC}">
              <c16:uniqueId val="{00000003-0BF1-4761-941B-8512E674B56C}"/>
            </c:ext>
          </c:extLst>
        </c:ser>
        <c:ser>
          <c:idx val="3"/>
          <c:order val="3"/>
          <c:tx>
            <c:strRef>
              <c:f>'Notes | Quant Analysis'!$O$238</c:f>
              <c:strCache>
                <c:ptCount val="1"/>
                <c:pt idx="0">
                  <c:v>-3σ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1-0BF1-4761-941B-8512E674B56C}"/>
                </c:ext>
              </c:extLst>
            </c:dLbl>
            <c:dLbl>
              <c:idx val="1"/>
              <c:layout>
                <c:manualLayout>
                  <c:x val="-4.0576134842769972E-2"/>
                  <c:y val="-4.9583338213583156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2-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Analysis'!$P$238:$P$239</c:f>
              <c:numCache>
                <c:formatCode>0.00%</c:formatCode>
                <c:ptCount val="2"/>
                <c:pt idx="0">
                  <c:v>-3.9630645898099899E-2</c:v>
                </c:pt>
                <c:pt idx="1">
                  <c:v>-3.9630645898099899E-2</c:v>
                </c:pt>
              </c:numCache>
            </c:numRef>
          </c:xVal>
          <c:yVal>
            <c:numRef>
              <c:f>'Notes | Quant Analysis'!$Q$238:$Q$239</c:f>
              <c:numCache>
                <c:formatCode>General</c:formatCode>
                <c:ptCount val="2"/>
                <c:pt idx="0">
                  <c:v>0</c:v>
                </c:pt>
                <c:pt idx="1">
                  <c:v>3</c:v>
                </c:pt>
              </c:numCache>
            </c:numRef>
          </c:yVal>
          <c:smooth val="1"/>
          <c:extLst>
            <c:ext xmlns:c16="http://schemas.microsoft.com/office/drawing/2014/chart" uri="{C3380CC4-5D6E-409C-BE32-E72D297353CC}">
              <c16:uniqueId val="{00000004-0BF1-4761-941B-8512E674B56C}"/>
            </c:ext>
          </c:extLst>
        </c:ser>
        <c:ser>
          <c:idx val="4"/>
          <c:order val="4"/>
          <c:tx>
            <c:strRef>
              <c:f>'Notes | Quant Analysis'!$O$240</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0-0BF1-4761-941B-8512E674B56C}"/>
                </c:ext>
              </c:extLst>
            </c:dLbl>
            <c:dLbl>
              <c:idx val="1"/>
              <c:layout>
                <c:manualLayout>
                  <c:x val="-5.3168728414664079E-2"/>
                  <c:y val="-3.5416670152559573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3-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Analysis'!$P$240:$P$241</c:f>
              <c:numCache>
                <c:formatCode>0.00%</c:formatCode>
                <c:ptCount val="2"/>
                <c:pt idx="0">
                  <c:v>-2.6324296624182748E-2</c:v>
                </c:pt>
                <c:pt idx="1">
                  <c:v>-2.6324296624182748E-2</c:v>
                </c:pt>
              </c:numCache>
            </c:numRef>
          </c:xVal>
          <c:yVal>
            <c:numRef>
              <c:f>'Notes | Quant Analysis'!$Q$240:$Q$241</c:f>
              <c:numCache>
                <c:formatCode>General</c:formatCode>
                <c:ptCount val="2"/>
                <c:pt idx="0">
                  <c:v>0</c:v>
                </c:pt>
                <c:pt idx="1">
                  <c:v>7</c:v>
                </c:pt>
              </c:numCache>
            </c:numRef>
          </c:yVal>
          <c:smooth val="1"/>
          <c:extLst>
            <c:ext xmlns:c16="http://schemas.microsoft.com/office/drawing/2014/chart" uri="{C3380CC4-5D6E-409C-BE32-E72D297353CC}">
              <c16:uniqueId val="{00000005-0BF1-4761-941B-8512E674B56C}"/>
            </c:ext>
          </c:extLst>
        </c:ser>
        <c:ser>
          <c:idx val="5"/>
          <c:order val="5"/>
          <c:tx>
            <c:strRef>
              <c:f>'Notes | Quant Analysis'!$O$242</c:f>
              <c:strCache>
                <c:ptCount val="1"/>
                <c:pt idx="0">
                  <c:v>-1σ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F-0BF1-4761-941B-8512E674B56C}"/>
                </c:ext>
              </c:extLst>
            </c:dLbl>
            <c:dLbl>
              <c:idx val="1"/>
              <c:layout>
                <c:manualLayout>
                  <c:x val="-9.5144040320977827E-2"/>
                  <c:y val="-2.1250002091535724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4-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Analysis'!$P$242:$P$243</c:f>
              <c:numCache>
                <c:formatCode>0.00%</c:formatCode>
                <c:ptCount val="2"/>
                <c:pt idx="0">
                  <c:v>-1.3017947350265598E-2</c:v>
                </c:pt>
                <c:pt idx="1">
                  <c:v>-1.3017947350265598E-2</c:v>
                </c:pt>
              </c:numCache>
            </c:numRef>
          </c:xVal>
          <c:yVal>
            <c:numRef>
              <c:f>'Notes | Quant Analysis'!$Q$242:$Q$243</c:f>
              <c:numCache>
                <c:formatCode>General</c:formatCode>
                <c:ptCount val="2"/>
                <c:pt idx="0">
                  <c:v>0</c:v>
                </c:pt>
                <c:pt idx="1">
                  <c:v>25</c:v>
                </c:pt>
              </c:numCache>
            </c:numRef>
          </c:yVal>
          <c:smooth val="1"/>
          <c:extLst>
            <c:ext xmlns:c16="http://schemas.microsoft.com/office/drawing/2014/chart" uri="{C3380CC4-5D6E-409C-BE32-E72D297353CC}">
              <c16:uniqueId val="{00000006-0BF1-4761-941B-8512E674B56C}"/>
            </c:ext>
          </c:extLst>
        </c:ser>
        <c:ser>
          <c:idx val="6"/>
          <c:order val="6"/>
          <c:tx>
            <c:strRef>
              <c:f>'Notes | Quant Analysis'!$O$244</c:f>
              <c:strCache>
                <c:ptCount val="1"/>
                <c:pt idx="0">
                  <c:v>1σ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D-0BF1-4761-941B-8512E674B56C}"/>
                </c:ext>
              </c:extLst>
            </c:dLbl>
            <c:dLbl>
              <c:idx val="1"/>
              <c:layout>
                <c:manualLayout>
                  <c:x val="-2.3786010080244464E-2"/>
                  <c:y val="-2.8333336122047612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8.1201295968475098E-2"/>
                      <c:h val="4.9276393738927629E-2"/>
                    </c:manualLayout>
                  </c15:layout>
                </c:ext>
                <c:ext xmlns:c16="http://schemas.microsoft.com/office/drawing/2014/chart" uri="{C3380CC4-5D6E-409C-BE32-E72D297353CC}">
                  <c16:uniqueId val="{00000016-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Analysis'!$P$244:$P$245</c:f>
              <c:numCache>
                <c:formatCode>0.00%</c:formatCode>
                <c:ptCount val="2"/>
                <c:pt idx="0">
                  <c:v>1.3594751197568701E-2</c:v>
                </c:pt>
                <c:pt idx="1">
                  <c:v>1.3594751197568701E-2</c:v>
                </c:pt>
              </c:numCache>
            </c:numRef>
          </c:xVal>
          <c:yVal>
            <c:numRef>
              <c:f>'Notes | Quant Analysis'!$Q$244:$Q$245</c:f>
              <c:numCache>
                <c:formatCode>General</c:formatCode>
                <c:ptCount val="2"/>
                <c:pt idx="0">
                  <c:v>0</c:v>
                </c:pt>
                <c:pt idx="1">
                  <c:v>25</c:v>
                </c:pt>
              </c:numCache>
            </c:numRef>
          </c:yVal>
          <c:smooth val="1"/>
          <c:extLst>
            <c:ext xmlns:c16="http://schemas.microsoft.com/office/drawing/2014/chart" uri="{C3380CC4-5D6E-409C-BE32-E72D297353CC}">
              <c16:uniqueId val="{00000007-0BF1-4761-941B-8512E674B56C}"/>
            </c:ext>
          </c:extLst>
        </c:ser>
        <c:ser>
          <c:idx val="7"/>
          <c:order val="7"/>
          <c:tx>
            <c:strRef>
              <c:f>'Notes | Quant Analysis'!$O$246</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C-0BF1-4761-941B-8512E674B56C}"/>
                </c:ext>
              </c:extLst>
            </c:dLbl>
            <c:dLbl>
              <c:idx val="1"/>
              <c:layout>
                <c:manualLayout>
                  <c:x val="-3.7777780715682475E-2"/>
                  <c:y val="-6.1388894931103132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7-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Analysis'!$P$246:$P$247</c:f>
              <c:numCache>
                <c:formatCode>0.00%</c:formatCode>
                <c:ptCount val="2"/>
                <c:pt idx="0">
                  <c:v>2.6901100471485851E-2</c:v>
                </c:pt>
                <c:pt idx="1">
                  <c:v>2.6901100471485851E-2</c:v>
                </c:pt>
              </c:numCache>
            </c:numRef>
          </c:xVal>
          <c:yVal>
            <c:numRef>
              <c:f>'Notes | Quant Analysis'!$Q$246:$Q$247</c:f>
              <c:numCache>
                <c:formatCode>General</c:formatCode>
                <c:ptCount val="2"/>
                <c:pt idx="0">
                  <c:v>0</c:v>
                </c:pt>
                <c:pt idx="1">
                  <c:v>7</c:v>
                </c:pt>
              </c:numCache>
            </c:numRef>
          </c:yVal>
          <c:smooth val="1"/>
          <c:extLst>
            <c:ext xmlns:c16="http://schemas.microsoft.com/office/drawing/2014/chart" uri="{C3380CC4-5D6E-409C-BE32-E72D297353CC}">
              <c16:uniqueId val="{00000008-0BF1-4761-941B-8512E674B56C}"/>
            </c:ext>
          </c:extLst>
        </c:ser>
        <c:ser>
          <c:idx val="8"/>
          <c:order val="8"/>
          <c:tx>
            <c:strRef>
              <c:f>'Notes | Quant Analysis'!$O$248</c:f>
              <c:strCache>
                <c:ptCount val="1"/>
                <c:pt idx="0">
                  <c:v>3σ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B-0BF1-4761-941B-8512E674B56C}"/>
                </c:ext>
              </c:extLst>
            </c:dLbl>
            <c:dLbl>
              <c:idx val="1"/>
              <c:layout>
                <c:manualLayout>
                  <c:x val="-3.3580249525050995E-2"/>
                  <c:y val="-3.777778149606336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8-0BF1-4761-941B-8512E674B56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Analysis'!$P$248:$P$249</c:f>
              <c:numCache>
                <c:formatCode>0.00%</c:formatCode>
                <c:ptCount val="2"/>
                <c:pt idx="0">
                  <c:v>4.0207449745403002E-2</c:v>
                </c:pt>
                <c:pt idx="1">
                  <c:v>4.0207449745403002E-2</c:v>
                </c:pt>
              </c:numCache>
            </c:numRef>
          </c:xVal>
          <c:yVal>
            <c:numRef>
              <c:f>'Notes | Quant Analysis'!$Q$248:$Q$249</c:f>
              <c:numCache>
                <c:formatCode>General</c:formatCode>
                <c:ptCount val="2"/>
                <c:pt idx="0">
                  <c:v>0</c:v>
                </c:pt>
                <c:pt idx="1">
                  <c:v>3</c:v>
                </c:pt>
              </c:numCache>
            </c:numRef>
          </c:yVal>
          <c:smooth val="1"/>
          <c:extLst>
            <c:ext xmlns:c16="http://schemas.microsoft.com/office/drawing/2014/chart" uri="{C3380CC4-5D6E-409C-BE32-E72D297353CC}">
              <c16:uniqueId val="{00000009-0BF1-4761-941B-8512E674B56C}"/>
            </c:ext>
          </c:extLst>
        </c:ser>
        <c:dLbls>
          <c:showLegendKey val="0"/>
          <c:showVal val="0"/>
          <c:showCatName val="0"/>
          <c:showSerName val="0"/>
          <c:showPercent val="0"/>
          <c:showBubbleSize val="0"/>
        </c:dLbls>
        <c:axId val="1297843279"/>
        <c:axId val="1297840879"/>
      </c:scatterChart>
      <c:valAx>
        <c:axId val="1297843279"/>
        <c:scaling>
          <c:orientation val="minMax"/>
          <c:max val="4.5000000000000012E-2"/>
          <c:min val="-4.5000000000000012E-2"/>
        </c:scaling>
        <c:delete val="0"/>
        <c:axPos val="b"/>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840879"/>
        <c:crosses val="autoZero"/>
        <c:crossBetween val="midCat"/>
        <c:majorUnit val="5.000000000000001E-3"/>
      </c:valAx>
      <c:valAx>
        <c:axId val="129784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843279"/>
        <c:crossesAt val="-10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(SYK) Revenue</a:t>
            </a:r>
            <a:r>
              <a:rPr lang="en-US" baseline="0"/>
              <a:t> by Segment </a:t>
            </a:r>
            <a:r>
              <a:rPr lang="en-US" sz="1400" b="0" i="0" u="none" strike="noStrike" kern="1200" spc="0" baseline="0">
                <a:solidFill>
                  <a:sysClr val="windowText" lastClr="000000">
                    <a:lumMod val="65000"/>
                    <a:lumOff val="35000"/>
                  </a:sysClr>
                </a:solidFill>
                <a:latin typeface="Calibre"/>
              </a:rPr>
              <a:t>(in $ millions)</a:t>
            </a:r>
            <a:endParaRPr lang="en-US" baseline="0"/>
          </a:p>
        </c:rich>
      </c:tx>
      <c:layout>
        <c:manualLayout>
          <c:xMode val="edge"/>
          <c:yMode val="edge"/>
          <c:x val="0.3409409821676489"/>
          <c:y val="1.08049702863317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109587501048507E-2"/>
          <c:y val="0.16630261573867286"/>
          <c:w val="0.91646860416323306"/>
          <c:h val="0.74917903495450422"/>
        </c:manualLayout>
      </c:layout>
      <c:barChart>
        <c:barDir val="col"/>
        <c:grouping val="stacked"/>
        <c:varyColors val="0"/>
        <c:ser>
          <c:idx val="0"/>
          <c:order val="0"/>
          <c:tx>
            <c:strRef>
              <c:f>Model!$B$4</c:f>
              <c:strCache>
                <c:ptCount val="1"/>
                <c:pt idx="0">
                  <c:v>Instruments</c:v>
                </c:pt>
              </c:strCache>
            </c:strRef>
          </c:tx>
          <c:spPr>
            <a:solidFill>
              <a:schemeClr val="accent5">
                <a:lumMod val="50000"/>
              </a:schemeClr>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Model!$AW$4:$BQ$4</c:f>
              <c:numCache>
                <c:formatCode>General</c:formatCode>
                <c:ptCount val="21"/>
                <c:pt idx="0">
                  <c:v>513</c:v>
                </c:pt>
                <c:pt idx="1">
                  <c:v>328</c:v>
                </c:pt>
                <c:pt idx="2">
                  <c:v>467</c:v>
                </c:pt>
                <c:pt idx="3">
                  <c:v>555</c:v>
                </c:pt>
                <c:pt idx="4">
                  <c:v>469</c:v>
                </c:pt>
                <c:pt idx="5">
                  <c:v>517</c:v>
                </c:pt>
                <c:pt idx="6">
                  <c:v>525</c:v>
                </c:pt>
                <c:pt idx="7">
                  <c:v>600</c:v>
                </c:pt>
                <c:pt idx="8">
                  <c:v>528</c:v>
                </c:pt>
                <c:pt idx="9">
                  <c:v>563</c:v>
                </c:pt>
                <c:pt idx="10">
                  <c:v>535</c:v>
                </c:pt>
                <c:pt idx="11">
                  <c:v>653</c:v>
                </c:pt>
                <c:pt idx="12">
                  <c:v>566</c:v>
                </c:pt>
                <c:pt idx="13">
                  <c:v>622</c:v>
                </c:pt>
                <c:pt idx="14">
                  <c:v>620</c:v>
                </c:pt>
                <c:pt idx="15">
                  <c:v>726</c:v>
                </c:pt>
                <c:pt idx="16">
                  <c:v>667</c:v>
                </c:pt>
                <c:pt idx="17">
                  <c:v>698</c:v>
                </c:pt>
                <c:pt idx="18">
                  <c:v>679</c:v>
                </c:pt>
                <c:pt idx="19">
                  <c:v>790</c:v>
                </c:pt>
                <c:pt idx="20">
                  <c:v>730</c:v>
                </c:pt>
              </c:numCache>
            </c:numRef>
          </c:val>
          <c:extLst>
            <c:ext xmlns:c16="http://schemas.microsoft.com/office/drawing/2014/chart" uri="{C3380CC4-5D6E-409C-BE32-E72D297353CC}">
              <c16:uniqueId val="{00000000-763E-43B3-B662-D76C6E829219}"/>
            </c:ext>
          </c:extLst>
        </c:ser>
        <c:ser>
          <c:idx val="1"/>
          <c:order val="1"/>
          <c:tx>
            <c:strRef>
              <c:f>Model!$B$5</c:f>
              <c:strCache>
                <c:ptCount val="1"/>
                <c:pt idx="0">
                  <c:v>Endoscopy</c:v>
                </c:pt>
              </c:strCache>
            </c:strRef>
          </c:tx>
          <c:spPr>
            <a:solidFill>
              <a:schemeClr val="accent5">
                <a:lumMod val="75000"/>
              </a:schemeClr>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Model!$AW$5:$BQ$5</c:f>
              <c:numCache>
                <c:formatCode>General</c:formatCode>
                <c:ptCount val="21"/>
                <c:pt idx="0">
                  <c:v>455</c:v>
                </c:pt>
                <c:pt idx="1">
                  <c:v>316</c:v>
                </c:pt>
                <c:pt idx="2">
                  <c:v>467</c:v>
                </c:pt>
                <c:pt idx="3">
                  <c:v>525</c:v>
                </c:pt>
                <c:pt idx="4">
                  <c:v>469</c:v>
                </c:pt>
                <c:pt idx="5">
                  <c:v>518</c:v>
                </c:pt>
                <c:pt idx="6">
                  <c:v>525</c:v>
                </c:pt>
                <c:pt idx="7">
                  <c:v>629</c:v>
                </c:pt>
                <c:pt idx="8">
                  <c:v>538</c:v>
                </c:pt>
                <c:pt idx="9">
                  <c:v>600</c:v>
                </c:pt>
                <c:pt idx="10">
                  <c:v>590</c:v>
                </c:pt>
                <c:pt idx="11">
                  <c:v>997</c:v>
                </c:pt>
                <c:pt idx="12">
                  <c:v>707</c:v>
                </c:pt>
                <c:pt idx="13">
                  <c:v>713</c:v>
                </c:pt>
                <c:pt idx="14">
                  <c:v>746</c:v>
                </c:pt>
                <c:pt idx="15">
                  <c:v>902</c:v>
                </c:pt>
                <c:pt idx="16">
                  <c:v>778</c:v>
                </c:pt>
                <c:pt idx="17">
                  <c:v>768</c:v>
                </c:pt>
                <c:pt idx="18">
                  <c:v>837</c:v>
                </c:pt>
                <c:pt idx="19">
                  <c:v>1006</c:v>
                </c:pt>
                <c:pt idx="20">
                  <c:v>867</c:v>
                </c:pt>
              </c:numCache>
            </c:numRef>
          </c:val>
          <c:extLst>
            <c:ext xmlns:c16="http://schemas.microsoft.com/office/drawing/2014/chart" uri="{C3380CC4-5D6E-409C-BE32-E72D297353CC}">
              <c16:uniqueId val="{00000001-763E-43B3-B662-D76C6E829219}"/>
            </c:ext>
          </c:extLst>
        </c:ser>
        <c:ser>
          <c:idx val="2"/>
          <c:order val="2"/>
          <c:tx>
            <c:strRef>
              <c:f>Model!$B$6</c:f>
              <c:strCache>
                <c:ptCount val="1"/>
                <c:pt idx="0">
                  <c:v>Medical</c:v>
                </c:pt>
              </c:strCache>
            </c:strRef>
          </c:tx>
          <c:spPr>
            <a:solidFill>
              <a:srgbClr val="5881CC"/>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Model!$AW$6:$BQ$6</c:f>
              <c:numCache>
                <c:formatCode>General</c:formatCode>
                <c:ptCount val="21"/>
                <c:pt idx="0">
                  <c:v>587</c:v>
                </c:pt>
                <c:pt idx="1">
                  <c:v>632</c:v>
                </c:pt>
                <c:pt idx="2">
                  <c:v>600</c:v>
                </c:pt>
                <c:pt idx="3">
                  <c:v>705</c:v>
                </c:pt>
                <c:pt idx="4">
                  <c:v>622</c:v>
                </c:pt>
                <c:pt idx="5">
                  <c:v>640</c:v>
                </c:pt>
                <c:pt idx="6">
                  <c:v>636</c:v>
                </c:pt>
                <c:pt idx="7">
                  <c:v>709</c:v>
                </c:pt>
                <c:pt idx="8">
                  <c:v>664</c:v>
                </c:pt>
                <c:pt idx="9">
                  <c:v>666</c:v>
                </c:pt>
                <c:pt idx="10">
                  <c:v>765</c:v>
                </c:pt>
                <c:pt idx="11">
                  <c:v>936</c:v>
                </c:pt>
                <c:pt idx="12">
                  <c:v>778</c:v>
                </c:pt>
                <c:pt idx="13">
                  <c:v>841</c:v>
                </c:pt>
                <c:pt idx="14">
                  <c:v>798</c:v>
                </c:pt>
                <c:pt idx="15">
                  <c:v>1042</c:v>
                </c:pt>
                <c:pt idx="16">
                  <c:v>864</c:v>
                </c:pt>
                <c:pt idx="17">
                  <c:v>908</c:v>
                </c:pt>
                <c:pt idx="18">
                  <c:v>938</c:v>
                </c:pt>
                <c:pt idx="19">
                  <c:v>1142</c:v>
                </c:pt>
                <c:pt idx="20">
                  <c:v>945</c:v>
                </c:pt>
              </c:numCache>
            </c:numRef>
          </c:val>
          <c:extLst>
            <c:ext xmlns:c16="http://schemas.microsoft.com/office/drawing/2014/chart" uri="{C3380CC4-5D6E-409C-BE32-E72D297353CC}">
              <c16:uniqueId val="{00000002-763E-43B3-B662-D76C6E829219}"/>
            </c:ext>
          </c:extLst>
        </c:ser>
        <c:ser>
          <c:idx val="3"/>
          <c:order val="3"/>
          <c:tx>
            <c:strRef>
              <c:f>Model!$B$7</c:f>
              <c:strCache>
                <c:ptCount val="1"/>
                <c:pt idx="0">
                  <c:v>Vascular</c:v>
                </c:pt>
              </c:strCache>
            </c:strRef>
          </c:tx>
          <c:spPr>
            <a:solidFill>
              <a:schemeClr val="accent1">
                <a:lumMod val="60000"/>
                <a:lumOff val="40000"/>
              </a:schemeClr>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Model!$AW$7:$BQ$7</c:f>
              <c:numCache>
                <c:formatCode>General</c:formatCode>
                <c:ptCount val="21"/>
                <c:pt idx="0">
                  <c:v>67</c:v>
                </c:pt>
                <c:pt idx="1">
                  <c:v>48</c:v>
                </c:pt>
                <c:pt idx="2">
                  <c:v>66</c:v>
                </c:pt>
                <c:pt idx="3">
                  <c:v>82</c:v>
                </c:pt>
                <c:pt idx="4">
                  <c:v>289</c:v>
                </c:pt>
                <c:pt idx="5">
                  <c:v>301</c:v>
                </c:pt>
                <c:pt idx="6">
                  <c:v>295</c:v>
                </c:pt>
                <c:pt idx="7">
                  <c:v>303</c:v>
                </c:pt>
                <c:pt idx="8">
                  <c:v>301</c:v>
                </c:pt>
                <c:pt idx="9">
                  <c:v>306</c:v>
                </c:pt>
                <c:pt idx="10">
                  <c:v>294</c:v>
                </c:pt>
                <c:pt idx="11">
                  <c:v>299</c:v>
                </c:pt>
                <c:pt idx="12">
                  <c:v>284</c:v>
                </c:pt>
                <c:pt idx="13">
                  <c:v>311</c:v>
                </c:pt>
                <c:pt idx="14">
                  <c:v>311</c:v>
                </c:pt>
                <c:pt idx="15">
                  <c:v>320</c:v>
                </c:pt>
                <c:pt idx="16">
                  <c:v>310</c:v>
                </c:pt>
                <c:pt idx="17">
                  <c:v>327</c:v>
                </c:pt>
                <c:pt idx="18">
                  <c:v>329</c:v>
                </c:pt>
                <c:pt idx="19">
                  <c:v>341</c:v>
                </c:pt>
                <c:pt idx="20">
                  <c:v>406</c:v>
                </c:pt>
              </c:numCache>
            </c:numRef>
          </c:val>
          <c:extLst>
            <c:ext xmlns:c16="http://schemas.microsoft.com/office/drawing/2014/chart" uri="{C3380CC4-5D6E-409C-BE32-E72D297353CC}">
              <c16:uniqueId val="{00000003-763E-43B3-B662-D76C6E829219}"/>
            </c:ext>
          </c:extLst>
        </c:ser>
        <c:ser>
          <c:idx val="4"/>
          <c:order val="4"/>
          <c:tx>
            <c:strRef>
              <c:f>Model!$B$8</c:f>
              <c:strCache>
                <c:ptCount val="1"/>
                <c:pt idx="0">
                  <c:v>Neuro Cranial</c:v>
                </c:pt>
              </c:strCache>
            </c:strRef>
          </c:tx>
          <c:spPr>
            <a:solidFill>
              <a:srgbClr val="CDE1F3"/>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Model!$AW$8:$BQ$8</c:f>
              <c:numCache>
                <c:formatCode>General</c:formatCode>
                <c:ptCount val="21"/>
                <c:pt idx="0">
                  <c:v>483</c:v>
                </c:pt>
                <c:pt idx="1">
                  <c:v>369</c:v>
                </c:pt>
                <c:pt idx="2">
                  <c:v>518</c:v>
                </c:pt>
                <c:pt idx="3">
                  <c:v>312</c:v>
                </c:pt>
                <c:pt idx="4">
                  <c:v>281</c:v>
                </c:pt>
                <c:pt idx="5">
                  <c:v>310</c:v>
                </c:pt>
                <c:pt idx="6">
                  <c:v>299</c:v>
                </c:pt>
                <c:pt idx="7">
                  <c:v>324</c:v>
                </c:pt>
                <c:pt idx="8">
                  <c:v>323</c:v>
                </c:pt>
                <c:pt idx="9">
                  <c:v>337</c:v>
                </c:pt>
                <c:pt idx="10">
                  <c:v>332</c:v>
                </c:pt>
                <c:pt idx="11">
                  <c:v>384</c:v>
                </c:pt>
                <c:pt idx="12">
                  <c:v>355</c:v>
                </c:pt>
                <c:pt idx="13">
                  <c:v>373</c:v>
                </c:pt>
                <c:pt idx="14">
                  <c:v>384</c:v>
                </c:pt>
                <c:pt idx="15">
                  <c:v>764</c:v>
                </c:pt>
                <c:pt idx="16">
                  <c:v>478</c:v>
                </c:pt>
                <c:pt idx="17">
                  <c:v>416</c:v>
                </c:pt>
                <c:pt idx="18">
                  <c:v>441</c:v>
                </c:pt>
                <c:pt idx="19">
                  <c:v>801</c:v>
                </c:pt>
                <c:pt idx="20">
                  <c:v>563</c:v>
                </c:pt>
              </c:numCache>
            </c:numRef>
          </c:val>
          <c:extLst>
            <c:ext xmlns:c16="http://schemas.microsoft.com/office/drawing/2014/chart" uri="{C3380CC4-5D6E-409C-BE32-E72D297353CC}">
              <c16:uniqueId val="{00000004-763E-43B3-B662-D76C6E829219}"/>
            </c:ext>
          </c:extLst>
        </c:ser>
        <c:ser>
          <c:idx val="5"/>
          <c:order val="5"/>
          <c:tx>
            <c:strRef>
              <c:f>Model!$B$10</c:f>
              <c:strCache>
                <c:ptCount val="1"/>
                <c:pt idx="0">
                  <c:v>Knees</c:v>
                </c:pt>
              </c:strCache>
            </c:strRef>
          </c:tx>
          <c:spPr>
            <a:solidFill>
              <a:srgbClr val="94346D"/>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Model!$AW$10:$BQ$10</c:f>
              <c:numCache>
                <c:formatCode>General</c:formatCode>
                <c:ptCount val="21"/>
                <c:pt idx="0">
                  <c:v>432</c:v>
                </c:pt>
                <c:pt idx="1">
                  <c:v>241</c:v>
                </c:pt>
                <c:pt idx="2">
                  <c:v>435</c:v>
                </c:pt>
                <c:pt idx="3">
                  <c:v>459</c:v>
                </c:pt>
                <c:pt idx="4">
                  <c:v>412</c:v>
                </c:pt>
                <c:pt idx="5">
                  <c:v>474</c:v>
                </c:pt>
                <c:pt idx="6">
                  <c:v>439</c:v>
                </c:pt>
                <c:pt idx="7">
                  <c:v>523</c:v>
                </c:pt>
                <c:pt idx="8">
                  <c:v>464</c:v>
                </c:pt>
                <c:pt idx="9">
                  <c:v>500</c:v>
                </c:pt>
                <c:pt idx="10">
                  <c:v>481</c:v>
                </c:pt>
                <c:pt idx="11">
                  <c:v>552</c:v>
                </c:pt>
                <c:pt idx="12">
                  <c:v>566</c:v>
                </c:pt>
                <c:pt idx="13">
                  <c:v>562</c:v>
                </c:pt>
                <c:pt idx="14">
                  <c:v>515</c:v>
                </c:pt>
                <c:pt idx="15">
                  <c:v>630</c:v>
                </c:pt>
                <c:pt idx="16">
                  <c:v>588</c:v>
                </c:pt>
                <c:pt idx="17">
                  <c:v>602</c:v>
                </c:pt>
                <c:pt idx="18">
                  <c:v>570</c:v>
                </c:pt>
                <c:pt idx="19">
                  <c:v>687</c:v>
                </c:pt>
                <c:pt idx="20">
                  <c:v>639</c:v>
                </c:pt>
              </c:numCache>
            </c:numRef>
          </c:val>
          <c:extLst>
            <c:ext xmlns:c16="http://schemas.microsoft.com/office/drawing/2014/chart" uri="{C3380CC4-5D6E-409C-BE32-E72D297353CC}">
              <c16:uniqueId val="{00000005-763E-43B3-B662-D76C6E829219}"/>
            </c:ext>
          </c:extLst>
        </c:ser>
        <c:ser>
          <c:idx val="6"/>
          <c:order val="6"/>
          <c:tx>
            <c:strRef>
              <c:f>Model!$B$11</c:f>
              <c:strCache>
                <c:ptCount val="1"/>
                <c:pt idx="0">
                  <c:v>Hips</c:v>
                </c:pt>
              </c:strCache>
            </c:strRef>
          </c:tx>
          <c:spPr>
            <a:solidFill>
              <a:srgbClr val="B03E82"/>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Model!$AW$11:$BQ$11</c:f>
              <c:numCache>
                <c:formatCode>General</c:formatCode>
                <c:ptCount val="21"/>
                <c:pt idx="0">
                  <c:v>316</c:v>
                </c:pt>
                <c:pt idx="1">
                  <c:v>216</c:v>
                </c:pt>
                <c:pt idx="2">
                  <c:v>334</c:v>
                </c:pt>
                <c:pt idx="3">
                  <c:v>340</c:v>
                </c:pt>
                <c:pt idx="4">
                  <c:v>309</c:v>
                </c:pt>
                <c:pt idx="5">
                  <c:v>353</c:v>
                </c:pt>
                <c:pt idx="6">
                  <c:v>328</c:v>
                </c:pt>
                <c:pt idx="7">
                  <c:v>352</c:v>
                </c:pt>
                <c:pt idx="8">
                  <c:v>327</c:v>
                </c:pt>
                <c:pt idx="9">
                  <c:v>364</c:v>
                </c:pt>
                <c:pt idx="10">
                  <c:v>347</c:v>
                </c:pt>
                <c:pt idx="11">
                  <c:v>375</c:v>
                </c:pt>
                <c:pt idx="12">
                  <c:v>375</c:v>
                </c:pt>
                <c:pt idx="13">
                  <c:v>393</c:v>
                </c:pt>
                <c:pt idx="14">
                  <c:v>362</c:v>
                </c:pt>
                <c:pt idx="15">
                  <c:v>414</c:v>
                </c:pt>
                <c:pt idx="16">
                  <c:v>393</c:v>
                </c:pt>
                <c:pt idx="17">
                  <c:v>428</c:v>
                </c:pt>
                <c:pt idx="18">
                  <c:v>420</c:v>
                </c:pt>
                <c:pt idx="19">
                  <c:v>463</c:v>
                </c:pt>
                <c:pt idx="20">
                  <c:v>443</c:v>
                </c:pt>
              </c:numCache>
            </c:numRef>
          </c:val>
          <c:extLst>
            <c:ext xmlns:c16="http://schemas.microsoft.com/office/drawing/2014/chart" uri="{C3380CC4-5D6E-409C-BE32-E72D297353CC}">
              <c16:uniqueId val="{00000006-763E-43B3-B662-D76C6E829219}"/>
            </c:ext>
          </c:extLst>
        </c:ser>
        <c:ser>
          <c:idx val="7"/>
          <c:order val="7"/>
          <c:tx>
            <c:strRef>
              <c:f>Model!$B$12</c:f>
              <c:strCache>
                <c:ptCount val="1"/>
                <c:pt idx="0">
                  <c:v>Trauma and Extremities</c:v>
                </c:pt>
              </c:strCache>
            </c:strRef>
          </c:tx>
          <c:spPr>
            <a:solidFill>
              <a:srgbClr val="CF73AA"/>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Model!$AW$12:$BQ$12</c:f>
              <c:numCache>
                <c:formatCode>General</c:formatCode>
                <c:ptCount val="21"/>
                <c:pt idx="0">
                  <c:v>392</c:v>
                </c:pt>
                <c:pt idx="1">
                  <c:v>330</c:v>
                </c:pt>
                <c:pt idx="2">
                  <c:v>430</c:v>
                </c:pt>
                <c:pt idx="3">
                  <c:v>570</c:v>
                </c:pt>
                <c:pt idx="4">
                  <c:v>640</c:v>
                </c:pt>
                <c:pt idx="5">
                  <c:v>674</c:v>
                </c:pt>
                <c:pt idx="6">
                  <c:v>639</c:v>
                </c:pt>
                <c:pt idx="7">
                  <c:v>711</c:v>
                </c:pt>
                <c:pt idx="8">
                  <c:v>685</c:v>
                </c:pt>
                <c:pt idx="9">
                  <c:v>676</c:v>
                </c:pt>
                <c:pt idx="10">
                  <c:v>672</c:v>
                </c:pt>
                <c:pt idx="11">
                  <c:v>774</c:v>
                </c:pt>
                <c:pt idx="12">
                  <c:v>769</c:v>
                </c:pt>
                <c:pt idx="13">
                  <c:v>766</c:v>
                </c:pt>
                <c:pt idx="14">
                  <c:v>752</c:v>
                </c:pt>
                <c:pt idx="15">
                  <c:v>860</c:v>
                </c:pt>
                <c:pt idx="16">
                  <c:v>830</c:v>
                </c:pt>
                <c:pt idx="17">
                  <c:v>832</c:v>
                </c:pt>
                <c:pt idx="18">
                  <c:v>849</c:v>
                </c:pt>
                <c:pt idx="19">
                  <c:v>996</c:v>
                </c:pt>
                <c:pt idx="20">
                  <c:v>945</c:v>
                </c:pt>
              </c:numCache>
            </c:numRef>
          </c:val>
          <c:extLst>
            <c:ext xmlns:c16="http://schemas.microsoft.com/office/drawing/2014/chart" uri="{C3380CC4-5D6E-409C-BE32-E72D297353CC}">
              <c16:uniqueId val="{00000007-763E-43B3-B662-D76C6E829219}"/>
            </c:ext>
          </c:extLst>
        </c:ser>
        <c:ser>
          <c:idx val="8"/>
          <c:order val="8"/>
          <c:tx>
            <c:strRef>
              <c:f>Model!$B$13</c:f>
              <c:strCache>
                <c:ptCount val="1"/>
                <c:pt idx="0">
                  <c:v>Spinal Implants</c:v>
                </c:pt>
              </c:strCache>
            </c:strRef>
          </c:tx>
          <c:spPr>
            <a:solidFill>
              <a:srgbClr val="E1A9CA"/>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Model!$AW$13:$BQ$13</c:f>
              <c:numCache>
                <c:formatCode>General</c:formatCode>
                <c:ptCount val="21"/>
                <c:pt idx="0">
                  <c:v>261</c:v>
                </c:pt>
                <c:pt idx="1">
                  <c:v>177</c:v>
                </c:pt>
                <c:pt idx="2">
                  <c:v>302</c:v>
                </c:pt>
                <c:pt idx="3">
                  <c:v>307</c:v>
                </c:pt>
                <c:pt idx="4">
                  <c:v>278</c:v>
                </c:pt>
                <c:pt idx="5">
                  <c:v>307</c:v>
                </c:pt>
                <c:pt idx="6">
                  <c:v>282</c:v>
                </c:pt>
                <c:pt idx="7">
                  <c:v>300</c:v>
                </c:pt>
                <c:pt idx="8">
                  <c:v>279</c:v>
                </c:pt>
                <c:pt idx="9">
                  <c:v>290</c:v>
                </c:pt>
                <c:pt idx="10">
                  <c:v>280</c:v>
                </c:pt>
                <c:pt idx="11">
                  <c:v>297</c:v>
                </c:pt>
                <c:pt idx="12">
                  <c:v>284</c:v>
                </c:pt>
                <c:pt idx="13">
                  <c:v>296</c:v>
                </c:pt>
                <c:pt idx="14">
                  <c:v>291</c:v>
                </c:pt>
                <c:pt idx="15">
                  <c:v>122</c:v>
                </c:pt>
                <c:pt idx="16">
                  <c:v>171</c:v>
                </c:pt>
                <c:pt idx="17">
                  <c:v>307</c:v>
                </c:pt>
                <c:pt idx="18">
                  <c:v>304</c:v>
                </c:pt>
                <c:pt idx="19">
                  <c:v>85</c:v>
                </c:pt>
                <c:pt idx="20">
                  <c:v>166</c:v>
                </c:pt>
              </c:numCache>
            </c:numRef>
          </c:val>
          <c:extLst>
            <c:ext xmlns:c16="http://schemas.microsoft.com/office/drawing/2014/chart" uri="{C3380CC4-5D6E-409C-BE32-E72D297353CC}">
              <c16:uniqueId val="{00000008-763E-43B3-B662-D76C6E829219}"/>
            </c:ext>
          </c:extLst>
        </c:ser>
        <c:ser>
          <c:idx val="9"/>
          <c:order val="9"/>
          <c:tx>
            <c:strRef>
              <c:f>Model!$B$14</c:f>
              <c:strCache>
                <c:ptCount val="1"/>
                <c:pt idx="0">
                  <c:v>Other</c:v>
                </c:pt>
              </c:strCache>
            </c:strRef>
          </c:tx>
          <c:spPr>
            <a:solidFill>
              <a:srgbClr val="F0D4E5"/>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Model!$AW$14:$BQ$14</c:f>
              <c:numCache>
                <c:formatCode>General</c:formatCode>
                <c:ptCount val="21"/>
                <c:pt idx="0">
                  <c:v>82</c:v>
                </c:pt>
                <c:pt idx="1">
                  <c:v>107</c:v>
                </c:pt>
                <c:pt idx="2">
                  <c:v>118</c:v>
                </c:pt>
                <c:pt idx="3">
                  <c:v>157</c:v>
                </c:pt>
                <c:pt idx="4">
                  <c:v>123</c:v>
                </c:pt>
                <c:pt idx="5">
                  <c:v>127</c:v>
                </c:pt>
                <c:pt idx="6">
                  <c:v>123</c:v>
                </c:pt>
                <c:pt idx="7">
                  <c:v>176</c:v>
                </c:pt>
                <c:pt idx="8">
                  <c:v>97</c:v>
                </c:pt>
                <c:pt idx="9">
                  <c:v>114</c:v>
                </c:pt>
                <c:pt idx="10">
                  <c:v>111</c:v>
                </c:pt>
                <c:pt idx="11">
                  <c:v>153</c:v>
                </c:pt>
                <c:pt idx="12">
                  <c:v>94</c:v>
                </c:pt>
                <c:pt idx="13">
                  <c:v>119</c:v>
                </c:pt>
                <c:pt idx="14">
                  <c:v>130</c:v>
                </c:pt>
                <c:pt idx="15">
                  <c:v>35</c:v>
                </c:pt>
                <c:pt idx="16">
                  <c:v>164</c:v>
                </c:pt>
                <c:pt idx="17">
                  <c:v>136</c:v>
                </c:pt>
                <c:pt idx="18">
                  <c:v>127</c:v>
                </c:pt>
                <c:pt idx="19">
                  <c:v>125</c:v>
                </c:pt>
                <c:pt idx="20">
                  <c:v>162</c:v>
                </c:pt>
              </c:numCache>
            </c:numRef>
          </c:val>
          <c:extLst>
            <c:ext xmlns:c16="http://schemas.microsoft.com/office/drawing/2014/chart" uri="{C3380CC4-5D6E-409C-BE32-E72D297353CC}">
              <c16:uniqueId val="{00000009-763E-43B3-B662-D76C6E829219}"/>
            </c:ext>
          </c:extLst>
        </c:ser>
        <c:dLbls>
          <c:showLegendKey val="0"/>
          <c:showVal val="0"/>
          <c:showCatName val="0"/>
          <c:showSerName val="0"/>
          <c:showPercent val="0"/>
          <c:showBubbleSize val="0"/>
        </c:dLbls>
        <c:gapWidth val="46"/>
        <c:overlap val="100"/>
        <c:axId val="826587039"/>
        <c:axId val="826586079"/>
      </c:barChart>
      <c:catAx>
        <c:axId val="8265870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6079"/>
        <c:crossesAt val="-10000"/>
        <c:auto val="1"/>
        <c:lblAlgn val="ctr"/>
        <c:lblOffset val="100"/>
        <c:noMultiLvlLbl val="0"/>
      </c:catAx>
      <c:valAx>
        <c:axId val="8265860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7039"/>
        <c:crosses val="autoZero"/>
        <c:crossBetween val="between"/>
      </c:valAx>
      <c:spPr>
        <a:noFill/>
        <a:ln>
          <a:noFill/>
        </a:ln>
        <a:effectLst/>
      </c:spPr>
    </c:plotArea>
    <c:legend>
      <c:legendPos val="t"/>
      <c:layout>
        <c:manualLayout>
          <c:xMode val="edge"/>
          <c:yMode val="edge"/>
          <c:x val="7.1012380099731945E-2"/>
          <c:y val="5.2058346839546188E-2"/>
          <c:w val="0.89693822013515567"/>
          <c:h val="0.1073835381598369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Calibre"/>
              </a:rPr>
              <a:t>(SYK) Quarterly Ttl Revenues, Net Income, Free Cash Flows (in $ millions)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4.9696565868628952E-2"/>
          <c:y val="0.11926285133821504"/>
          <c:w val="0.91977768729031639"/>
          <c:h val="0.79540493468968432"/>
        </c:manualLayout>
      </c:layout>
      <c:barChart>
        <c:barDir val="col"/>
        <c:grouping val="clustered"/>
        <c:varyColors val="0"/>
        <c:ser>
          <c:idx val="1"/>
          <c:order val="1"/>
          <c:tx>
            <c:v>Net Income</c:v>
          </c:tx>
          <c:spPr>
            <a:solidFill>
              <a:srgbClr val="00B050"/>
            </a:solidFill>
            <a:ln>
              <a:noFill/>
            </a:ln>
            <a:effectLst/>
          </c:spPr>
          <c:invertIfNegative val="0"/>
          <c:val>
            <c:numRef>
              <c:f>Model!$AW$57:$BQ$57</c:f>
              <c:numCache>
                <c:formatCode>0</c:formatCode>
                <c:ptCount val="21"/>
                <c:pt idx="0">
                  <c:v>493</c:v>
                </c:pt>
                <c:pt idx="1">
                  <c:v>-83</c:v>
                </c:pt>
                <c:pt idx="2">
                  <c:v>621</c:v>
                </c:pt>
                <c:pt idx="3">
                  <c:v>568</c:v>
                </c:pt>
                <c:pt idx="4">
                  <c:v>302</c:v>
                </c:pt>
                <c:pt idx="5">
                  <c:v>592</c:v>
                </c:pt>
                <c:pt idx="6">
                  <c:v>438</c:v>
                </c:pt>
                <c:pt idx="7">
                  <c:v>662</c:v>
                </c:pt>
                <c:pt idx="8">
                  <c:v>323</c:v>
                </c:pt>
                <c:pt idx="9">
                  <c:v>656</c:v>
                </c:pt>
                <c:pt idx="10">
                  <c:v>816</c:v>
                </c:pt>
                <c:pt idx="11">
                  <c:v>563</c:v>
                </c:pt>
                <c:pt idx="12">
                  <c:v>592</c:v>
                </c:pt>
                <c:pt idx="13">
                  <c:v>738</c:v>
                </c:pt>
                <c:pt idx="14">
                  <c:v>692</c:v>
                </c:pt>
                <c:pt idx="15">
                  <c:v>1143</c:v>
                </c:pt>
                <c:pt idx="16">
                  <c:v>788</c:v>
                </c:pt>
                <c:pt idx="17">
                  <c:v>825</c:v>
                </c:pt>
                <c:pt idx="18">
                  <c:v>834</c:v>
                </c:pt>
                <c:pt idx="19">
                  <c:v>546</c:v>
                </c:pt>
                <c:pt idx="20">
                  <c:v>654</c:v>
                </c:pt>
              </c:numCache>
            </c:numRef>
          </c:val>
          <c:extLst>
            <c:ext xmlns:c16="http://schemas.microsoft.com/office/drawing/2014/chart" uri="{C3380CC4-5D6E-409C-BE32-E72D297353CC}">
              <c16:uniqueId val="{00000000-2424-4ED7-829C-17A070B088AF}"/>
            </c:ext>
          </c:extLst>
        </c:ser>
        <c:ser>
          <c:idx val="2"/>
          <c:order val="2"/>
          <c:tx>
            <c:v>FCF</c:v>
          </c:tx>
          <c:spPr>
            <a:solidFill>
              <a:srgbClr val="FFC000"/>
            </a:solidFill>
            <a:ln>
              <a:noFill/>
            </a:ln>
            <a:effectLst/>
          </c:spPr>
          <c:invertIfNegative val="0"/>
          <c:val>
            <c:numRef>
              <c:f>Model!$AW$106:$BQ$106</c:f>
              <c:numCache>
                <c:formatCode>General</c:formatCode>
                <c:ptCount val="21"/>
                <c:pt idx="0">
                  <c:v>447</c:v>
                </c:pt>
                <c:pt idx="1">
                  <c:v>1017</c:v>
                </c:pt>
                <c:pt idx="2">
                  <c:v>254</c:v>
                </c:pt>
                <c:pt idx="3">
                  <c:v>1072</c:v>
                </c:pt>
                <c:pt idx="4">
                  <c:v>369</c:v>
                </c:pt>
                <c:pt idx="5">
                  <c:v>1150</c:v>
                </c:pt>
                <c:pt idx="6">
                  <c:v>425</c:v>
                </c:pt>
                <c:pt idx="7">
                  <c:v>794</c:v>
                </c:pt>
                <c:pt idx="8">
                  <c:v>84</c:v>
                </c:pt>
                <c:pt idx="9">
                  <c:v>386</c:v>
                </c:pt>
                <c:pt idx="10">
                  <c:v>751</c:v>
                </c:pt>
                <c:pt idx="11">
                  <c:v>815</c:v>
                </c:pt>
                <c:pt idx="12">
                  <c:v>315</c:v>
                </c:pt>
                <c:pt idx="13">
                  <c:v>536</c:v>
                </c:pt>
                <c:pt idx="14">
                  <c:v>902</c:v>
                </c:pt>
                <c:pt idx="15">
                  <c:v>1383</c:v>
                </c:pt>
                <c:pt idx="16">
                  <c:v>37</c:v>
                </c:pt>
                <c:pt idx="17">
                  <c:v>481</c:v>
                </c:pt>
                <c:pt idx="18">
                  <c:v>1304</c:v>
                </c:pt>
                <c:pt idx="19">
                  <c:v>1665</c:v>
                </c:pt>
                <c:pt idx="20">
                  <c:v>127</c:v>
                </c:pt>
              </c:numCache>
            </c:numRef>
          </c:val>
          <c:extLst>
            <c:ext xmlns:c16="http://schemas.microsoft.com/office/drawing/2014/chart" uri="{C3380CC4-5D6E-409C-BE32-E72D297353CC}">
              <c16:uniqueId val="{00000001-2424-4ED7-829C-17A070B088AF}"/>
            </c:ext>
          </c:extLst>
        </c:ser>
        <c:dLbls>
          <c:showLegendKey val="0"/>
          <c:showVal val="0"/>
          <c:showCatName val="0"/>
          <c:showSerName val="0"/>
          <c:showPercent val="0"/>
          <c:showBubbleSize val="0"/>
        </c:dLbls>
        <c:gapWidth val="150"/>
        <c:axId val="1962507743"/>
        <c:axId val="1962491423"/>
      </c:barChart>
      <c:lineChart>
        <c:grouping val="standard"/>
        <c:varyColors val="0"/>
        <c:ser>
          <c:idx val="0"/>
          <c:order val="0"/>
          <c:tx>
            <c:v>Revenues</c:v>
          </c:tx>
          <c:spPr>
            <a:ln w="28575" cap="rnd">
              <a:solidFill>
                <a:srgbClr val="00B0F0"/>
              </a:solidFill>
              <a:round/>
            </a:ln>
            <a:effectLst/>
          </c:spPr>
          <c:marker>
            <c:symbol val="none"/>
          </c:marker>
          <c:cat>
            <c:strRef>
              <c:f>Model!$AW$1:$BQ$1</c:f>
              <c:strCache>
                <c:ptCount val="21"/>
                <c:pt idx="0">
                  <c:v>Q1 2020</c:v>
                </c:pt>
                <c:pt idx="4">
                  <c:v>Q1 2021</c:v>
                </c:pt>
                <c:pt idx="8">
                  <c:v>Q1 2022</c:v>
                </c:pt>
                <c:pt idx="12">
                  <c:v>Q1 2023</c:v>
                </c:pt>
                <c:pt idx="16">
                  <c:v>Q1 2024</c:v>
                </c:pt>
                <c:pt idx="20">
                  <c:v>Q1 2025</c:v>
                </c:pt>
              </c:strCache>
            </c:strRef>
          </c:cat>
          <c:val>
            <c:numRef>
              <c:f>Model!$AW$46:$BQ$46</c:f>
              <c:numCache>
                <c:formatCode>General</c:formatCode>
                <c:ptCount val="21"/>
                <c:pt idx="0">
                  <c:v>3588</c:v>
                </c:pt>
                <c:pt idx="1">
                  <c:v>2764</c:v>
                </c:pt>
                <c:pt idx="2">
                  <c:v>3737</c:v>
                </c:pt>
                <c:pt idx="3">
                  <c:v>4262</c:v>
                </c:pt>
                <c:pt idx="4">
                  <c:v>3953</c:v>
                </c:pt>
                <c:pt idx="5">
                  <c:v>4294</c:v>
                </c:pt>
                <c:pt idx="6">
                  <c:v>4160</c:v>
                </c:pt>
                <c:pt idx="7">
                  <c:v>4701</c:v>
                </c:pt>
                <c:pt idx="8">
                  <c:v>4275</c:v>
                </c:pt>
                <c:pt idx="9">
                  <c:v>4493</c:v>
                </c:pt>
                <c:pt idx="10">
                  <c:v>4479</c:v>
                </c:pt>
                <c:pt idx="11">
                  <c:v>5202</c:v>
                </c:pt>
                <c:pt idx="12">
                  <c:v>4778</c:v>
                </c:pt>
                <c:pt idx="13">
                  <c:v>4996</c:v>
                </c:pt>
                <c:pt idx="14">
                  <c:v>4909</c:v>
                </c:pt>
                <c:pt idx="15">
                  <c:v>5815</c:v>
                </c:pt>
                <c:pt idx="16">
                  <c:v>5243</c:v>
                </c:pt>
                <c:pt idx="17">
                  <c:v>5422</c:v>
                </c:pt>
                <c:pt idx="18">
                  <c:v>5494</c:v>
                </c:pt>
                <c:pt idx="19">
                  <c:v>6436</c:v>
                </c:pt>
                <c:pt idx="20">
                  <c:v>5866</c:v>
                </c:pt>
              </c:numCache>
            </c:numRef>
          </c:val>
          <c:smooth val="0"/>
          <c:extLst>
            <c:ext xmlns:c16="http://schemas.microsoft.com/office/drawing/2014/chart" uri="{C3380CC4-5D6E-409C-BE32-E72D297353CC}">
              <c16:uniqueId val="{00000002-2424-4ED7-829C-17A070B088AF}"/>
            </c:ext>
          </c:extLst>
        </c:ser>
        <c:dLbls>
          <c:showLegendKey val="0"/>
          <c:showVal val="0"/>
          <c:showCatName val="0"/>
          <c:showSerName val="0"/>
          <c:showPercent val="0"/>
          <c:showBubbleSize val="0"/>
        </c:dLbls>
        <c:marker val="1"/>
        <c:smooth val="0"/>
        <c:axId val="1962507743"/>
        <c:axId val="1962491423"/>
      </c:lineChart>
      <c:catAx>
        <c:axId val="19625077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962491423"/>
        <c:crosses val="autoZero"/>
        <c:auto val="1"/>
        <c:lblAlgn val="ctr"/>
        <c:lblOffset val="100"/>
        <c:noMultiLvlLbl val="0"/>
      </c:catAx>
      <c:valAx>
        <c:axId val="19624914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962507743"/>
        <c:crosses val="autoZero"/>
        <c:crossBetween val="between"/>
      </c:valAx>
      <c:spPr>
        <a:noFill/>
        <a:ln>
          <a:noFill/>
        </a:ln>
        <a:effectLst/>
      </c:spPr>
    </c:plotArea>
    <c:legend>
      <c:legendPos val="r"/>
      <c:layout>
        <c:manualLayout>
          <c:xMode val="edge"/>
          <c:yMode val="edge"/>
          <c:x val="0.25557258071268574"/>
          <c:y val="5.4326583577150166E-2"/>
          <c:w val="0.49091764700383861"/>
          <c:h val="7.4900808734515614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3.png"/><Relationship Id="rId3" Type="http://schemas.openxmlformats.org/officeDocument/2006/relationships/chart" Target="../charts/chart2.xml"/><Relationship Id="rId7" Type="http://schemas.openxmlformats.org/officeDocument/2006/relationships/image" Target="../media/image8.png"/><Relationship Id="rId12" Type="http://schemas.openxmlformats.org/officeDocument/2006/relationships/image" Target="../media/image12.png"/><Relationship Id="rId2" Type="http://schemas.openxmlformats.org/officeDocument/2006/relationships/chart" Target="../charts/chart1.xml"/><Relationship Id="rId1" Type="http://schemas.openxmlformats.org/officeDocument/2006/relationships/image" Target="../media/image4.png"/><Relationship Id="rId6" Type="http://schemas.openxmlformats.org/officeDocument/2006/relationships/image" Target="../media/image7.png"/><Relationship Id="rId11" Type="http://schemas.openxmlformats.org/officeDocument/2006/relationships/chart" Target="../charts/chart3.xml"/><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44</xdr:row>
      <xdr:rowOff>0</xdr:rowOff>
    </xdr:from>
    <xdr:to>
      <xdr:col>28</xdr:col>
      <xdr:colOff>0</xdr:colOff>
      <xdr:row>54</xdr:row>
      <xdr:rowOff>0</xdr:rowOff>
    </xdr:to>
    <xdr:pic>
      <xdr:nvPicPr>
        <xdr:cNvPr id="8" name="Picture 7">
          <a:extLst>
            <a:ext uri="{FF2B5EF4-FFF2-40B4-BE49-F238E27FC236}">
              <a16:creationId xmlns:a16="http://schemas.microsoft.com/office/drawing/2014/main" id="{0E2C70A1-4A19-40BE-A159-AAD702D1EF6F}"/>
            </a:ext>
          </a:extLst>
        </xdr:cNvPr>
        <xdr:cNvPicPr>
          <a:picLocks noChangeAspect="1"/>
        </xdr:cNvPicPr>
      </xdr:nvPicPr>
      <xdr:blipFill>
        <a:blip xmlns:r="http://schemas.openxmlformats.org/officeDocument/2006/relationships" r:embed="rId1"/>
        <a:stretch>
          <a:fillRect/>
        </a:stretch>
      </xdr:blipFill>
      <xdr:spPr>
        <a:xfrm>
          <a:off x="9569824" y="7283824"/>
          <a:ext cx="7261412" cy="1826558"/>
        </a:xfrm>
        <a:prstGeom prst="rect">
          <a:avLst/>
        </a:prstGeom>
      </xdr:spPr>
    </xdr:pic>
    <xdr:clientData/>
  </xdr:twoCellAnchor>
  <xdr:twoCellAnchor editAs="oneCell">
    <xdr:from>
      <xdr:col>1</xdr:col>
      <xdr:colOff>11206</xdr:colOff>
      <xdr:row>190</xdr:row>
      <xdr:rowOff>22411</xdr:rowOff>
    </xdr:from>
    <xdr:to>
      <xdr:col>10</xdr:col>
      <xdr:colOff>481853</xdr:colOff>
      <xdr:row>200</xdr:row>
      <xdr:rowOff>168088</xdr:rowOff>
    </xdr:to>
    <xdr:pic>
      <xdr:nvPicPr>
        <xdr:cNvPr id="10" name="Picture 9">
          <a:extLst>
            <a:ext uri="{FF2B5EF4-FFF2-40B4-BE49-F238E27FC236}">
              <a16:creationId xmlns:a16="http://schemas.microsoft.com/office/drawing/2014/main" id="{C1987BD1-2993-F225-860B-C04DB2B0B87A}"/>
            </a:ext>
          </a:extLst>
        </xdr:cNvPr>
        <xdr:cNvPicPr>
          <a:picLocks noChangeAspect="1"/>
        </xdr:cNvPicPr>
      </xdr:nvPicPr>
      <xdr:blipFill>
        <a:blip xmlns:r="http://schemas.openxmlformats.org/officeDocument/2006/relationships" r:embed="rId2"/>
        <a:stretch>
          <a:fillRect/>
        </a:stretch>
      </xdr:blipFill>
      <xdr:spPr>
        <a:xfrm>
          <a:off x="235324" y="32833235"/>
          <a:ext cx="6308911" cy="1949824"/>
        </a:xfrm>
        <a:prstGeom prst="rect">
          <a:avLst/>
        </a:prstGeom>
      </xdr:spPr>
    </xdr:pic>
    <xdr:clientData/>
  </xdr:twoCellAnchor>
  <xdr:twoCellAnchor editAs="oneCell">
    <xdr:from>
      <xdr:col>22</xdr:col>
      <xdr:colOff>11206</xdr:colOff>
      <xdr:row>68</xdr:row>
      <xdr:rowOff>11206</xdr:rowOff>
    </xdr:from>
    <xdr:to>
      <xdr:col>32</xdr:col>
      <xdr:colOff>593911</xdr:colOff>
      <xdr:row>77</xdr:row>
      <xdr:rowOff>168088</xdr:rowOff>
    </xdr:to>
    <xdr:pic>
      <xdr:nvPicPr>
        <xdr:cNvPr id="2" name="Picture 1">
          <a:extLst>
            <a:ext uri="{FF2B5EF4-FFF2-40B4-BE49-F238E27FC236}">
              <a16:creationId xmlns:a16="http://schemas.microsoft.com/office/drawing/2014/main" id="{833726A1-D3CA-45B1-A388-48BED0A4B8B8}"/>
            </a:ext>
          </a:extLst>
        </xdr:cNvPr>
        <xdr:cNvPicPr>
          <a:picLocks noChangeAspect="1"/>
        </xdr:cNvPicPr>
      </xdr:nvPicPr>
      <xdr:blipFill>
        <a:blip xmlns:r="http://schemas.openxmlformats.org/officeDocument/2006/relationships" r:embed="rId3"/>
        <a:stretch>
          <a:fillRect/>
        </a:stretch>
      </xdr:blipFill>
      <xdr:spPr>
        <a:xfrm>
          <a:off x="13211735" y="12158382"/>
          <a:ext cx="6633882" cy="18153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69</xdr:col>
      <xdr:colOff>0</xdr:colOff>
      <xdr:row>0</xdr:row>
      <xdr:rowOff>0</xdr:rowOff>
    </xdr:from>
    <xdr:to>
      <xdr:col>69</xdr:col>
      <xdr:colOff>0</xdr:colOff>
      <xdr:row>121</xdr:row>
      <xdr:rowOff>8125</xdr:rowOff>
    </xdr:to>
    <xdr:cxnSp macro="">
      <xdr:nvCxnSpPr>
        <xdr:cNvPr id="2" name="Straight Connector 1">
          <a:extLst>
            <a:ext uri="{FF2B5EF4-FFF2-40B4-BE49-F238E27FC236}">
              <a16:creationId xmlns:a16="http://schemas.microsoft.com/office/drawing/2014/main" id="{7B61C787-2A67-4AA8-A568-0DF23D1DBF89}"/>
            </a:ext>
          </a:extLst>
        </xdr:cNvPr>
        <xdr:cNvCxnSpPr/>
      </xdr:nvCxnSpPr>
      <xdr:spPr>
        <a:xfrm>
          <a:off x="44655441" y="0"/>
          <a:ext cx="0" cy="2128809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0</xdr:colOff>
      <xdr:row>0</xdr:row>
      <xdr:rowOff>0</xdr:rowOff>
    </xdr:from>
    <xdr:to>
      <xdr:col>101</xdr:col>
      <xdr:colOff>0</xdr:colOff>
      <xdr:row>121</xdr:row>
      <xdr:rowOff>8125</xdr:rowOff>
    </xdr:to>
    <xdr:cxnSp macro="">
      <xdr:nvCxnSpPr>
        <xdr:cNvPr id="3" name="Straight Connector 2">
          <a:extLst>
            <a:ext uri="{FF2B5EF4-FFF2-40B4-BE49-F238E27FC236}">
              <a16:creationId xmlns:a16="http://schemas.microsoft.com/office/drawing/2014/main" id="{A50A1C16-2D20-4B5B-9229-9FC580DA8421}"/>
            </a:ext>
          </a:extLst>
        </xdr:cNvPr>
        <xdr:cNvCxnSpPr/>
      </xdr:nvCxnSpPr>
      <xdr:spPr>
        <a:xfrm>
          <a:off x="64019206" y="0"/>
          <a:ext cx="0" cy="2128809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0</xdr:colOff>
      <xdr:row>34</xdr:row>
      <xdr:rowOff>0</xdr:rowOff>
    </xdr:from>
    <xdr:to>
      <xdr:col>18</xdr:col>
      <xdr:colOff>0</xdr:colOff>
      <xdr:row>64</xdr:row>
      <xdr:rowOff>154480</xdr:rowOff>
    </xdr:to>
    <xdr:pic>
      <xdr:nvPicPr>
        <xdr:cNvPr id="4" name="Picture 3">
          <a:extLst>
            <a:ext uri="{FF2B5EF4-FFF2-40B4-BE49-F238E27FC236}">
              <a16:creationId xmlns:a16="http://schemas.microsoft.com/office/drawing/2014/main" id="{89A48672-ADB2-456B-98E0-86A1F4EAB793}"/>
            </a:ext>
          </a:extLst>
        </xdr:cNvPr>
        <xdr:cNvPicPr>
          <a:picLocks noChangeAspect="1"/>
        </xdr:cNvPicPr>
      </xdr:nvPicPr>
      <xdr:blipFill>
        <a:blip xmlns:r="http://schemas.openxmlformats.org/officeDocument/2006/relationships" r:embed="rId1"/>
        <a:stretch>
          <a:fillRect/>
        </a:stretch>
      </xdr:blipFill>
      <xdr:spPr>
        <a:xfrm>
          <a:off x="13536706" y="6006353"/>
          <a:ext cx="6051176" cy="5558117"/>
        </a:xfrm>
        <a:prstGeom prst="rect">
          <a:avLst/>
        </a:prstGeom>
      </xdr:spPr>
    </xdr:pic>
    <xdr:clientData/>
  </xdr:twoCellAnchor>
  <xdr:twoCellAnchor>
    <xdr:from>
      <xdr:col>8</xdr:col>
      <xdr:colOff>1</xdr:colOff>
      <xdr:row>187</xdr:row>
      <xdr:rowOff>0</xdr:rowOff>
    </xdr:from>
    <xdr:to>
      <xdr:col>23</xdr:col>
      <xdr:colOff>1</xdr:colOff>
      <xdr:row>216</xdr:row>
      <xdr:rowOff>0</xdr:rowOff>
    </xdr:to>
    <xdr:graphicFrame macro="">
      <xdr:nvGraphicFramePr>
        <xdr:cNvPr id="6" name="Chart 5">
          <a:extLst>
            <a:ext uri="{FF2B5EF4-FFF2-40B4-BE49-F238E27FC236}">
              <a16:creationId xmlns:a16="http://schemas.microsoft.com/office/drawing/2014/main" id="{AE2FB990-5184-4B18-9859-0C1682537A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xdr:colOff>
      <xdr:row>118</xdr:row>
      <xdr:rowOff>0</xdr:rowOff>
    </xdr:from>
    <xdr:to>
      <xdr:col>23</xdr:col>
      <xdr:colOff>0</xdr:colOff>
      <xdr:row>150</xdr:row>
      <xdr:rowOff>0</xdr:rowOff>
    </xdr:to>
    <xdr:graphicFrame macro="">
      <xdr:nvGraphicFramePr>
        <xdr:cNvPr id="9" name="Chart 8">
          <a:extLst>
            <a:ext uri="{FF2B5EF4-FFF2-40B4-BE49-F238E27FC236}">
              <a16:creationId xmlns:a16="http://schemas.microsoft.com/office/drawing/2014/main" id="{096B13E9-8045-4D60-BDB9-E7A9D96421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33</xdr:col>
      <xdr:colOff>0</xdr:colOff>
      <xdr:row>127</xdr:row>
      <xdr:rowOff>0</xdr:rowOff>
    </xdr:from>
    <xdr:to>
      <xdr:col>44</xdr:col>
      <xdr:colOff>11205</xdr:colOff>
      <xdr:row>152</xdr:row>
      <xdr:rowOff>11205</xdr:rowOff>
    </xdr:to>
    <xdr:pic>
      <xdr:nvPicPr>
        <xdr:cNvPr id="12" name="Picture 11">
          <a:extLst>
            <a:ext uri="{FF2B5EF4-FFF2-40B4-BE49-F238E27FC236}">
              <a16:creationId xmlns:a16="http://schemas.microsoft.com/office/drawing/2014/main" id="{ECD2A975-76EF-4B00-A205-A4D522BEFA24}"/>
            </a:ext>
          </a:extLst>
        </xdr:cNvPr>
        <xdr:cNvPicPr>
          <a:picLocks noChangeAspect="1"/>
        </xdr:cNvPicPr>
      </xdr:nvPicPr>
      <xdr:blipFill>
        <a:blip xmlns:r="http://schemas.openxmlformats.org/officeDocument/2006/relationships" r:embed="rId4"/>
        <a:stretch>
          <a:fillRect/>
        </a:stretch>
      </xdr:blipFill>
      <xdr:spPr>
        <a:xfrm>
          <a:off x="11317941" y="15654618"/>
          <a:ext cx="6667500" cy="4493558"/>
        </a:xfrm>
        <a:prstGeom prst="rect">
          <a:avLst/>
        </a:prstGeom>
      </xdr:spPr>
    </xdr:pic>
    <xdr:clientData/>
  </xdr:twoCellAnchor>
  <xdr:twoCellAnchor editAs="oneCell">
    <xdr:from>
      <xdr:col>44</xdr:col>
      <xdr:colOff>0</xdr:colOff>
      <xdr:row>127</xdr:row>
      <xdr:rowOff>11206</xdr:rowOff>
    </xdr:from>
    <xdr:to>
      <xdr:col>55</xdr:col>
      <xdr:colOff>27802</xdr:colOff>
      <xdr:row>152</xdr:row>
      <xdr:rowOff>22411</xdr:rowOff>
    </xdr:to>
    <xdr:pic>
      <xdr:nvPicPr>
        <xdr:cNvPr id="13" name="Picture 12">
          <a:extLst>
            <a:ext uri="{FF2B5EF4-FFF2-40B4-BE49-F238E27FC236}">
              <a16:creationId xmlns:a16="http://schemas.microsoft.com/office/drawing/2014/main" id="{720A053C-8E02-D039-3D3C-85C146C98509}"/>
            </a:ext>
          </a:extLst>
        </xdr:cNvPr>
        <xdr:cNvPicPr>
          <a:picLocks noChangeAspect="1"/>
        </xdr:cNvPicPr>
      </xdr:nvPicPr>
      <xdr:blipFill>
        <a:blip xmlns:r="http://schemas.openxmlformats.org/officeDocument/2006/relationships" r:embed="rId5"/>
        <a:stretch>
          <a:fillRect/>
        </a:stretch>
      </xdr:blipFill>
      <xdr:spPr>
        <a:xfrm>
          <a:off x="17974235" y="15665824"/>
          <a:ext cx="6684096" cy="4493558"/>
        </a:xfrm>
        <a:prstGeom prst="rect">
          <a:avLst/>
        </a:prstGeom>
      </xdr:spPr>
    </xdr:pic>
    <xdr:clientData/>
  </xdr:twoCellAnchor>
  <xdr:twoCellAnchor editAs="oneCell">
    <xdr:from>
      <xdr:col>33</xdr:col>
      <xdr:colOff>0</xdr:colOff>
      <xdr:row>222</xdr:row>
      <xdr:rowOff>0</xdr:rowOff>
    </xdr:from>
    <xdr:to>
      <xdr:col>43</xdr:col>
      <xdr:colOff>7331</xdr:colOff>
      <xdr:row>244</xdr:row>
      <xdr:rowOff>106455</xdr:rowOff>
    </xdr:to>
    <xdr:pic>
      <xdr:nvPicPr>
        <xdr:cNvPr id="14" name="Picture 13">
          <a:extLst>
            <a:ext uri="{FF2B5EF4-FFF2-40B4-BE49-F238E27FC236}">
              <a16:creationId xmlns:a16="http://schemas.microsoft.com/office/drawing/2014/main" id="{044578CE-F198-3717-CFAA-AF2AF946DD9D}"/>
            </a:ext>
          </a:extLst>
        </xdr:cNvPr>
        <xdr:cNvPicPr>
          <a:picLocks noChangeAspect="1"/>
        </xdr:cNvPicPr>
      </xdr:nvPicPr>
      <xdr:blipFill>
        <a:blip xmlns:r="http://schemas.openxmlformats.org/officeDocument/2006/relationships" r:embed="rId6"/>
        <a:stretch>
          <a:fillRect/>
        </a:stretch>
      </xdr:blipFill>
      <xdr:spPr>
        <a:xfrm>
          <a:off x="16764000" y="36430324"/>
          <a:ext cx="6058508" cy="4202205"/>
        </a:xfrm>
        <a:prstGeom prst="rect">
          <a:avLst/>
        </a:prstGeom>
      </xdr:spPr>
    </xdr:pic>
    <xdr:clientData/>
  </xdr:twoCellAnchor>
  <xdr:twoCellAnchor editAs="oneCell">
    <xdr:from>
      <xdr:col>43</xdr:col>
      <xdr:colOff>0</xdr:colOff>
      <xdr:row>221</xdr:row>
      <xdr:rowOff>179294</xdr:rowOff>
    </xdr:from>
    <xdr:to>
      <xdr:col>53</xdr:col>
      <xdr:colOff>11206</xdr:colOff>
      <xdr:row>244</xdr:row>
      <xdr:rowOff>106455</xdr:rowOff>
    </xdr:to>
    <xdr:pic>
      <xdr:nvPicPr>
        <xdr:cNvPr id="16" name="Picture 15">
          <a:extLst>
            <a:ext uri="{FF2B5EF4-FFF2-40B4-BE49-F238E27FC236}">
              <a16:creationId xmlns:a16="http://schemas.microsoft.com/office/drawing/2014/main" id="{E554AE3F-C803-98A5-E754-1706146A47D9}"/>
            </a:ext>
          </a:extLst>
        </xdr:cNvPr>
        <xdr:cNvPicPr>
          <a:picLocks noChangeAspect="1"/>
        </xdr:cNvPicPr>
      </xdr:nvPicPr>
      <xdr:blipFill>
        <a:blip xmlns:r="http://schemas.openxmlformats.org/officeDocument/2006/relationships" r:embed="rId7"/>
        <a:stretch>
          <a:fillRect/>
        </a:stretch>
      </xdr:blipFill>
      <xdr:spPr>
        <a:xfrm>
          <a:off x="22815176" y="36419118"/>
          <a:ext cx="6062382" cy="4213411"/>
        </a:xfrm>
        <a:prstGeom prst="rect">
          <a:avLst/>
        </a:prstGeom>
      </xdr:spPr>
    </xdr:pic>
    <xdr:clientData/>
  </xdr:twoCellAnchor>
  <xdr:twoCellAnchor editAs="oneCell">
    <xdr:from>
      <xdr:col>52</xdr:col>
      <xdr:colOff>605116</xdr:colOff>
      <xdr:row>221</xdr:row>
      <xdr:rowOff>190499</xdr:rowOff>
    </xdr:from>
    <xdr:to>
      <xdr:col>63</xdr:col>
      <xdr:colOff>537881</xdr:colOff>
      <xdr:row>244</xdr:row>
      <xdr:rowOff>95250</xdr:rowOff>
    </xdr:to>
    <xdr:pic>
      <xdr:nvPicPr>
        <xdr:cNvPr id="17" name="Picture 16">
          <a:extLst>
            <a:ext uri="{FF2B5EF4-FFF2-40B4-BE49-F238E27FC236}">
              <a16:creationId xmlns:a16="http://schemas.microsoft.com/office/drawing/2014/main" id="{D8AD0FE7-9D8B-FB67-B5A9-E0FBD03B850B}"/>
            </a:ext>
          </a:extLst>
        </xdr:cNvPr>
        <xdr:cNvPicPr>
          <a:picLocks noChangeAspect="1"/>
        </xdr:cNvPicPr>
      </xdr:nvPicPr>
      <xdr:blipFill>
        <a:blip xmlns:r="http://schemas.openxmlformats.org/officeDocument/2006/relationships" r:embed="rId8"/>
        <a:stretch>
          <a:fillRect/>
        </a:stretch>
      </xdr:blipFill>
      <xdr:spPr>
        <a:xfrm>
          <a:off x="24630528" y="37349205"/>
          <a:ext cx="6219265" cy="4191001"/>
        </a:xfrm>
        <a:prstGeom prst="rect">
          <a:avLst/>
        </a:prstGeom>
      </xdr:spPr>
    </xdr:pic>
    <xdr:clientData/>
  </xdr:twoCellAnchor>
  <xdr:twoCellAnchor editAs="oneCell">
    <xdr:from>
      <xdr:col>33</xdr:col>
      <xdr:colOff>0</xdr:colOff>
      <xdr:row>302</xdr:row>
      <xdr:rowOff>0</xdr:rowOff>
    </xdr:from>
    <xdr:to>
      <xdr:col>48</xdr:col>
      <xdr:colOff>11207</xdr:colOff>
      <xdr:row>335</xdr:row>
      <xdr:rowOff>133670</xdr:rowOff>
    </xdr:to>
    <xdr:pic>
      <xdr:nvPicPr>
        <xdr:cNvPr id="19" name="Picture 18">
          <a:extLst>
            <a:ext uri="{FF2B5EF4-FFF2-40B4-BE49-F238E27FC236}">
              <a16:creationId xmlns:a16="http://schemas.microsoft.com/office/drawing/2014/main" id="{A6141765-D828-132F-FE13-41EFCB4BFC6A}"/>
            </a:ext>
          </a:extLst>
        </xdr:cNvPr>
        <xdr:cNvPicPr>
          <a:picLocks noChangeAspect="1"/>
        </xdr:cNvPicPr>
      </xdr:nvPicPr>
      <xdr:blipFill>
        <a:blip xmlns:r="http://schemas.openxmlformats.org/officeDocument/2006/relationships" r:embed="rId9"/>
        <a:stretch>
          <a:fillRect/>
        </a:stretch>
      </xdr:blipFill>
      <xdr:spPr>
        <a:xfrm>
          <a:off x="11317941" y="34222765"/>
          <a:ext cx="9087972" cy="6286500"/>
        </a:xfrm>
        <a:prstGeom prst="rect">
          <a:avLst/>
        </a:prstGeom>
      </xdr:spPr>
    </xdr:pic>
    <xdr:clientData/>
  </xdr:twoCellAnchor>
  <xdr:twoCellAnchor editAs="oneCell">
    <xdr:from>
      <xdr:col>33</xdr:col>
      <xdr:colOff>0</xdr:colOff>
      <xdr:row>37</xdr:row>
      <xdr:rowOff>0</xdr:rowOff>
    </xdr:from>
    <xdr:to>
      <xdr:col>44</xdr:col>
      <xdr:colOff>3452</xdr:colOff>
      <xdr:row>62</xdr:row>
      <xdr:rowOff>63233</xdr:rowOff>
    </xdr:to>
    <xdr:pic>
      <xdr:nvPicPr>
        <xdr:cNvPr id="20" name="Picture 19">
          <a:extLst>
            <a:ext uri="{FF2B5EF4-FFF2-40B4-BE49-F238E27FC236}">
              <a16:creationId xmlns:a16="http://schemas.microsoft.com/office/drawing/2014/main" id="{691EEDEC-4414-4195-9B17-237FD231FB36}"/>
            </a:ext>
          </a:extLst>
        </xdr:cNvPr>
        <xdr:cNvPicPr>
          <a:picLocks noChangeAspect="1"/>
        </xdr:cNvPicPr>
      </xdr:nvPicPr>
      <xdr:blipFill>
        <a:blip xmlns:r="http://schemas.openxmlformats.org/officeDocument/2006/relationships" r:embed="rId10"/>
        <a:stretch>
          <a:fillRect/>
        </a:stretch>
      </xdr:blipFill>
      <xdr:spPr>
        <a:xfrm>
          <a:off x="16764000" y="6689912"/>
          <a:ext cx="6659747" cy="4549588"/>
        </a:xfrm>
        <a:prstGeom prst="rect">
          <a:avLst/>
        </a:prstGeom>
      </xdr:spPr>
    </xdr:pic>
    <xdr:clientData/>
  </xdr:twoCellAnchor>
  <xdr:twoCellAnchor>
    <xdr:from>
      <xdr:col>8</xdr:col>
      <xdr:colOff>0</xdr:colOff>
      <xdr:row>155</xdr:row>
      <xdr:rowOff>0</xdr:rowOff>
    </xdr:from>
    <xdr:to>
      <xdr:col>23</xdr:col>
      <xdr:colOff>0</xdr:colOff>
      <xdr:row>185</xdr:row>
      <xdr:rowOff>179293</xdr:rowOff>
    </xdr:to>
    <xdr:graphicFrame macro="">
      <xdr:nvGraphicFramePr>
        <xdr:cNvPr id="21" name="Chart 20">
          <a:extLst>
            <a:ext uri="{FF2B5EF4-FFF2-40B4-BE49-F238E27FC236}">
              <a16:creationId xmlns:a16="http://schemas.microsoft.com/office/drawing/2014/main" id="{985F50D2-C324-4FE5-AD65-D5EE28F2F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63</xdr:col>
      <xdr:colOff>515470</xdr:colOff>
      <xdr:row>221</xdr:row>
      <xdr:rowOff>179294</xdr:rowOff>
    </xdr:from>
    <xdr:to>
      <xdr:col>74</xdr:col>
      <xdr:colOff>11206</xdr:colOff>
      <xdr:row>244</xdr:row>
      <xdr:rowOff>95251</xdr:rowOff>
    </xdr:to>
    <xdr:pic>
      <xdr:nvPicPr>
        <xdr:cNvPr id="2" name="Picture 1">
          <a:extLst>
            <a:ext uri="{FF2B5EF4-FFF2-40B4-BE49-F238E27FC236}">
              <a16:creationId xmlns:a16="http://schemas.microsoft.com/office/drawing/2014/main" id="{1EBB52FA-0EF4-4364-B8DF-B98ED7198A75}"/>
            </a:ext>
          </a:extLst>
        </xdr:cNvPr>
        <xdr:cNvPicPr>
          <a:picLocks noChangeAspect="1"/>
        </xdr:cNvPicPr>
      </xdr:nvPicPr>
      <xdr:blipFill>
        <a:blip xmlns:r="http://schemas.openxmlformats.org/officeDocument/2006/relationships" r:embed="rId12"/>
        <a:stretch>
          <a:fillRect/>
        </a:stretch>
      </xdr:blipFill>
      <xdr:spPr>
        <a:xfrm>
          <a:off x="30827382" y="37338000"/>
          <a:ext cx="6152030" cy="4202207"/>
        </a:xfrm>
        <a:prstGeom prst="rect">
          <a:avLst/>
        </a:prstGeom>
      </xdr:spPr>
    </xdr:pic>
    <xdr:clientData/>
  </xdr:twoCellAnchor>
  <xdr:twoCellAnchor editAs="oneCell">
    <xdr:from>
      <xdr:col>8</xdr:col>
      <xdr:colOff>13607</xdr:colOff>
      <xdr:row>2</xdr:row>
      <xdr:rowOff>27214</xdr:rowOff>
    </xdr:from>
    <xdr:to>
      <xdr:col>20</xdr:col>
      <xdr:colOff>0</xdr:colOff>
      <xdr:row>33</xdr:row>
      <xdr:rowOff>0</xdr:rowOff>
    </xdr:to>
    <xdr:pic>
      <xdr:nvPicPr>
        <xdr:cNvPr id="5" name="Picture 4">
          <a:extLst>
            <a:ext uri="{FF2B5EF4-FFF2-40B4-BE49-F238E27FC236}">
              <a16:creationId xmlns:a16="http://schemas.microsoft.com/office/drawing/2014/main" id="{C6889E7C-A71B-8D1C-E90B-50B279C13C39}"/>
            </a:ext>
          </a:extLst>
        </xdr:cNvPr>
        <xdr:cNvPicPr>
          <a:picLocks noChangeAspect="1"/>
        </xdr:cNvPicPr>
      </xdr:nvPicPr>
      <xdr:blipFill>
        <a:blip xmlns:r="http://schemas.openxmlformats.org/officeDocument/2006/relationships" r:embed="rId13"/>
        <a:stretch>
          <a:fillRect/>
        </a:stretch>
      </xdr:blipFill>
      <xdr:spPr>
        <a:xfrm>
          <a:off x="231321" y="394607"/>
          <a:ext cx="7334250" cy="547007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acob H" id="{CD1BA50D-0528-4A1F-BBB1-E4C21578EDFB}" userId="6fdd6cd1f6a5d55a"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CX46" dT="2025-05-05T08:08:33.24" personId="{CD1BA50D-0528-4A1F-BBB1-E4C21578EDFB}" id="{B73E8F09-4483-44D4-8FAB-04B07331A40D}">
    <text>FYE: $24.77B</text>
  </threadedComment>
  <threadedComment ref="CY46" dT="2025-05-05T08:08:57.36" personId="{CD1BA50D-0528-4A1F-BBB1-E4C21578EDFB}" id="{FCD57C05-7E15-43F2-9D23-7D89C5835AFE}">
    <text>FYE: $26.86B</text>
  </threadedComment>
  <threadedComment ref="CX57" dT="2025-05-05T08:09:32.40" personId="{CD1BA50D-0528-4A1F-BBB1-E4C21578EDFB}" id="{EAA41F25-B890-47BB-BF2F-C44CFB9DAE24}">
    <text>FYE: $4.20B</text>
  </threadedComment>
  <threadedComment ref="CY57" dT="2025-05-05T08:09:54.85" personId="{CD1BA50D-0528-4A1F-BBB1-E4C21578EDFB}" id="{26C0E68D-257F-418A-8C95-62FF75E244F1}">
    <text>FYE: $4.88B</text>
  </threadedComment>
  <threadedComment ref="CX59" dT="2025-05-05T08:11:06.36" personId="{CD1BA50D-0528-4A1F-BBB1-E4C21578EDFB}" id="{68098368-EB45-4F80-87CC-2A8A02B1EFFE}">
    <text>Low: 13.22 High: 13.45 Avg: 13.34</text>
  </threadedComment>
  <threadedComment ref="CY59" dT="2025-05-05T08:11:44.28" personId="{CD1BA50D-0528-4A1F-BBB1-E4C21578EDFB}" id="{F3689BE9-7E93-4276-A01F-53E0158AD985}">
    <text>Low: 14.15 High: 15.25 Avg: 14.82</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MDT_Model.xlsx" TargetMode="External"/><Relationship Id="rId13" Type="http://schemas.openxmlformats.org/officeDocument/2006/relationships/hyperlink" Target="ZBH_Model.xlsx" TargetMode="External"/><Relationship Id="rId18" Type="http://schemas.openxmlformats.org/officeDocument/2006/relationships/hyperlink" Target="https://www.fda.gov/medical-devices" TargetMode="External"/><Relationship Id="rId26" Type="http://schemas.openxmlformats.org/officeDocument/2006/relationships/hyperlink" Target="https://stockanalysis.com/stocks/syk/company/" TargetMode="External"/><Relationship Id="rId3" Type="http://schemas.openxmlformats.org/officeDocument/2006/relationships/hyperlink" Target="MDT_Model.xlsx" TargetMode="External"/><Relationship Id="rId21" Type="http://schemas.openxmlformats.org/officeDocument/2006/relationships/hyperlink" Target="https://www.medtechdive.com/news/stryker-inari-medical-acquisition/736615/" TargetMode="External"/><Relationship Id="rId7" Type="http://schemas.openxmlformats.org/officeDocument/2006/relationships/hyperlink" Target="STE_Model.xlsx" TargetMode="External"/><Relationship Id="rId12" Type="http://schemas.openxmlformats.org/officeDocument/2006/relationships/hyperlink" Target="JNJ_Model.xlsx" TargetMode="External"/><Relationship Id="rId17" Type="http://schemas.openxmlformats.org/officeDocument/2006/relationships/hyperlink" Target="https://seekingalpha.com/symbol/SYK/earnings/transcripts" TargetMode="External"/><Relationship Id="rId25" Type="http://schemas.openxmlformats.org/officeDocument/2006/relationships/hyperlink" Target="https://www.sec.gov/edgar/browse/?CIK=310764&amp;owner=exclude" TargetMode="External"/><Relationship Id="rId2" Type="http://schemas.openxmlformats.org/officeDocument/2006/relationships/hyperlink" Target="ZBH_Model.xlsx" TargetMode="External"/><Relationship Id="rId16" Type="http://schemas.openxmlformats.org/officeDocument/2006/relationships/hyperlink" Target="http://www.stryker.com/" TargetMode="External"/><Relationship Id="rId20" Type="http://schemas.openxmlformats.org/officeDocument/2006/relationships/hyperlink" Target="https://evtoday.com/" TargetMode="External"/><Relationship Id="rId1" Type="http://schemas.openxmlformats.org/officeDocument/2006/relationships/hyperlink" Target="..\00%20Model%20Price%20Targets%2000.xlsx" TargetMode="External"/><Relationship Id="rId6" Type="http://schemas.openxmlformats.org/officeDocument/2006/relationships/hyperlink" Target="CNMD_Model.xlsx" TargetMode="External"/><Relationship Id="rId11" Type="http://schemas.openxmlformats.org/officeDocument/2006/relationships/hyperlink" Target="BAX_Model.xlsx" TargetMode="External"/><Relationship Id="rId24" Type="http://schemas.openxmlformats.org/officeDocument/2006/relationships/hyperlink" Target="mailto:preston.wells@stryker.com" TargetMode="External"/><Relationship Id="rId5" Type="http://schemas.openxmlformats.org/officeDocument/2006/relationships/hyperlink" Target="CNMD_Model.xlsx" TargetMode="External"/><Relationship Id="rId15" Type="http://schemas.openxmlformats.org/officeDocument/2006/relationships/hyperlink" Target="NARI_Model.xlsx" TargetMode="External"/><Relationship Id="rId23" Type="http://schemas.openxmlformats.org/officeDocument/2006/relationships/hyperlink" Target="https://app.godelterminal.com/" TargetMode="External"/><Relationship Id="rId10" Type="http://schemas.openxmlformats.org/officeDocument/2006/relationships/hyperlink" Target="PEN_Model.xlsx" TargetMode="External"/><Relationship Id="rId19" Type="http://schemas.openxmlformats.org/officeDocument/2006/relationships/hyperlink" Target="https://ppubs.uspto.gov/pubwebapp/static/pages/ppubsbasic.html" TargetMode="External"/><Relationship Id="rId4" Type="http://schemas.openxmlformats.org/officeDocument/2006/relationships/hyperlink" Target="JNJ_Model.xlsx" TargetMode="External"/><Relationship Id="rId9" Type="http://schemas.openxmlformats.org/officeDocument/2006/relationships/hyperlink" Target="JNJ_Model.xlsx" TargetMode="External"/><Relationship Id="rId14" Type="http://schemas.openxmlformats.org/officeDocument/2006/relationships/hyperlink" Target="http://www.stryker.com/" TargetMode="External"/><Relationship Id="rId22" Type="http://schemas.openxmlformats.org/officeDocument/2006/relationships/hyperlink" Target="https://www.stryker.com/us/en/about/patents.html" TargetMode="External"/><Relationship Id="rId2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stockanalysis.com/stocks/syk/employees/" TargetMode="External"/><Relationship Id="rId1" Type="http://schemas.openxmlformats.org/officeDocument/2006/relationships/hyperlink" Target="NARI_Model.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23"/>
  <sheetViews>
    <sheetView topLeftCell="A6" zoomScale="85" zoomScaleNormal="85" workbookViewId="0">
      <selection activeCell="J5" sqref="J5"/>
    </sheetView>
  </sheetViews>
  <sheetFormatPr defaultColWidth="9.140625" defaultRowHeight="14.25"/>
  <cols>
    <col min="1" max="1" width="3.28515625" style="2" customWidth="1"/>
    <col min="2" max="2" width="10.42578125" style="2" customWidth="1"/>
    <col min="3" max="3" width="12.28515625" style="2" customWidth="1"/>
    <col min="4" max="4" width="10.42578125" style="2" bestFit="1" customWidth="1"/>
    <col min="5" max="16384" width="9.140625" style="2"/>
  </cols>
  <sheetData>
    <row r="1" spans="1:19">
      <c r="A1" s="6" t="s">
        <v>8</v>
      </c>
    </row>
    <row r="2" spans="1:19" ht="15">
      <c r="A2" s="1" t="s">
        <v>1601</v>
      </c>
    </row>
    <row r="3" spans="1:19">
      <c r="A3" s="6"/>
    </row>
    <row r="4" spans="1:19" ht="15">
      <c r="B4" s="1" t="s">
        <v>7</v>
      </c>
    </row>
    <row r="5" spans="1:19">
      <c r="B5" s="2" t="s">
        <v>0</v>
      </c>
      <c r="C5" s="81">
        <v>353.88</v>
      </c>
      <c r="D5" s="3">
        <v>45747</v>
      </c>
    </row>
    <row r="6" spans="1:19">
      <c r="B6" s="2" t="s">
        <v>6</v>
      </c>
      <c r="C6" s="82">
        <v>382.16399999999999</v>
      </c>
      <c r="D6" s="2" t="s">
        <v>1</v>
      </c>
    </row>
    <row r="7" spans="1:19">
      <c r="B7" s="2" t="s">
        <v>2</v>
      </c>
      <c r="C7" s="83">
        <f>C5*C6</f>
        <v>135240.19631999999</v>
      </c>
    </row>
    <row r="8" spans="1:19">
      <c r="B8" s="2" t="s">
        <v>3</v>
      </c>
      <c r="C8" s="84">
        <f>3652+750+91</f>
        <v>4493</v>
      </c>
      <c r="D8" s="2" t="s">
        <v>1</v>
      </c>
    </row>
    <row r="9" spans="1:19">
      <c r="B9" s="2" t="s">
        <v>4</v>
      </c>
      <c r="C9" s="84">
        <f>1409+12188</f>
        <v>13597</v>
      </c>
      <c r="D9" s="2" t="s">
        <v>1</v>
      </c>
      <c r="O9" s="2" t="s">
        <v>1585</v>
      </c>
    </row>
    <row r="10" spans="1:19">
      <c r="B10" s="2" t="s">
        <v>5</v>
      </c>
      <c r="C10" s="84">
        <f>C7-C8+C9</f>
        <v>144344.19631999999</v>
      </c>
      <c r="O10" s="2" t="s">
        <v>1248</v>
      </c>
      <c r="R10" s="80" t="s">
        <v>1611</v>
      </c>
    </row>
    <row r="11" spans="1:19">
      <c r="O11" s="2" t="s">
        <v>1588</v>
      </c>
      <c r="R11" s="80" t="s">
        <v>1368</v>
      </c>
    </row>
    <row r="12" spans="1:19" ht="15">
      <c r="B12" s="1" t="s">
        <v>1250</v>
      </c>
      <c r="P12" s="2" t="s">
        <v>1586</v>
      </c>
      <c r="R12" s="80"/>
      <c r="S12" s="80" t="s">
        <v>1369</v>
      </c>
    </row>
    <row r="13" spans="1:19">
      <c r="O13" s="2" t="s">
        <v>1587</v>
      </c>
      <c r="R13" s="80" t="s">
        <v>1612</v>
      </c>
    </row>
    <row r="14" spans="1:19">
      <c r="B14" s="2" t="s">
        <v>1251</v>
      </c>
      <c r="F14" s="2" t="s">
        <v>1247</v>
      </c>
      <c r="O14" s="2" t="s">
        <v>1617</v>
      </c>
      <c r="R14" s="80" t="s">
        <v>1616</v>
      </c>
      <c r="S14" s="80"/>
    </row>
    <row r="15" spans="1:19">
      <c r="B15" s="2" t="s">
        <v>1494</v>
      </c>
      <c r="F15" s="2" t="s">
        <v>1257</v>
      </c>
      <c r="O15" s="2" t="s">
        <v>1249</v>
      </c>
      <c r="Q15" s="6"/>
      <c r="R15" s="80" t="s">
        <v>1598</v>
      </c>
      <c r="S15" s="80"/>
    </row>
    <row r="16" spans="1:19">
      <c r="B16" s="2" t="s">
        <v>1252</v>
      </c>
      <c r="F16" s="2" t="s">
        <v>1258</v>
      </c>
      <c r="O16" s="2" t="s">
        <v>1613</v>
      </c>
      <c r="R16" s="80" t="s">
        <v>1589</v>
      </c>
      <c r="S16" s="80"/>
    </row>
    <row r="17" spans="1:19">
      <c r="B17" s="2" t="s">
        <v>1276</v>
      </c>
      <c r="G17" s="2" t="s">
        <v>1259</v>
      </c>
      <c r="O17" s="2" t="s">
        <v>1590</v>
      </c>
      <c r="R17" s="80" t="s">
        <v>1591</v>
      </c>
      <c r="S17" s="80"/>
    </row>
    <row r="18" spans="1:19" ht="15">
      <c r="B18" s="2" t="s">
        <v>1614</v>
      </c>
      <c r="G18" s="2" t="s">
        <v>1261</v>
      </c>
      <c r="H18" s="2" t="s">
        <v>1260</v>
      </c>
      <c r="J18" s="2" t="s">
        <v>1543</v>
      </c>
      <c r="O18" s="4"/>
      <c r="P18" s="2" t="s">
        <v>1592</v>
      </c>
      <c r="R18" s="80"/>
      <c r="S18" s="80" t="s">
        <v>1597</v>
      </c>
    </row>
    <row r="19" spans="1:19">
      <c r="G19" s="2" t="s">
        <v>1544</v>
      </c>
      <c r="O19" s="2" t="s">
        <v>1593</v>
      </c>
      <c r="R19" s="80" t="s">
        <v>1594</v>
      </c>
    </row>
    <row r="20" spans="1:19">
      <c r="G20" s="2" t="s">
        <v>1261</v>
      </c>
      <c r="H20" s="2" t="s">
        <v>1260</v>
      </c>
      <c r="J20" s="2" t="s">
        <v>1599</v>
      </c>
      <c r="K20" s="80" t="s">
        <v>1600</v>
      </c>
      <c r="O20" s="2" t="s">
        <v>1595</v>
      </c>
      <c r="R20" s="80" t="s">
        <v>1596</v>
      </c>
    </row>
    <row r="21" spans="1:19" ht="15">
      <c r="A21" s="1" t="s">
        <v>1246</v>
      </c>
    </row>
    <row r="22" spans="1:19" ht="15">
      <c r="B22" s="2" t="s">
        <v>1262</v>
      </c>
    </row>
    <row r="23" spans="1:19">
      <c r="B23" s="2" t="s">
        <v>1263</v>
      </c>
    </row>
    <row r="24" spans="1:19">
      <c r="B24" s="2" t="s">
        <v>1264</v>
      </c>
    </row>
    <row r="25" spans="1:19">
      <c r="C25" s="2" t="s">
        <v>1266</v>
      </c>
    </row>
    <row r="26" spans="1:19">
      <c r="C26" s="2" t="s">
        <v>1267</v>
      </c>
    </row>
    <row r="27" spans="1:19">
      <c r="C27" s="2" t="s">
        <v>1268</v>
      </c>
    </row>
    <row r="28" spans="1:19">
      <c r="C28" s="2" t="s">
        <v>1269</v>
      </c>
    </row>
    <row r="29" spans="1:19">
      <c r="C29" s="2" t="s">
        <v>1270</v>
      </c>
    </row>
    <row r="30" spans="1:19">
      <c r="C30" s="2" t="s">
        <v>1271</v>
      </c>
    </row>
    <row r="31" spans="1:19">
      <c r="C31" s="2" t="s">
        <v>1265</v>
      </c>
    </row>
    <row r="32" spans="1:19">
      <c r="C32" s="2" t="s">
        <v>1272</v>
      </c>
    </row>
    <row r="33" spans="1:8">
      <c r="C33" s="2" t="s">
        <v>1273</v>
      </c>
    </row>
    <row r="34" spans="1:8" ht="15">
      <c r="D34" s="1" t="s">
        <v>1274</v>
      </c>
    </row>
    <row r="36" spans="1:8" ht="15">
      <c r="A36" s="1" t="s">
        <v>1495</v>
      </c>
    </row>
    <row r="37" spans="1:8" ht="15">
      <c r="B37" s="2" t="s">
        <v>1470</v>
      </c>
    </row>
    <row r="38" spans="1:8" ht="15">
      <c r="C38" s="2" t="s">
        <v>1551</v>
      </c>
      <c r="H38" s="1" t="s">
        <v>1363</v>
      </c>
    </row>
    <row r="39" spans="1:8" ht="15">
      <c r="C39" s="2" t="s">
        <v>1275</v>
      </c>
      <c r="H39" s="1" t="s">
        <v>1471</v>
      </c>
    </row>
    <row r="40" spans="1:8" ht="15">
      <c r="B40" s="1" t="s">
        <v>1278</v>
      </c>
    </row>
    <row r="41" spans="1:8">
      <c r="C41" s="2" t="s">
        <v>1279</v>
      </c>
    </row>
    <row r="42" spans="1:8">
      <c r="C42" s="2" t="s">
        <v>1280</v>
      </c>
    </row>
    <row r="44" spans="1:8" ht="15">
      <c r="A44" s="1" t="s">
        <v>1281</v>
      </c>
    </row>
    <row r="45" spans="1:8" ht="15">
      <c r="B45" s="1" t="s">
        <v>1282</v>
      </c>
    </row>
    <row r="46" spans="1:8">
      <c r="C46" s="2" t="s">
        <v>1290</v>
      </c>
    </row>
    <row r="47" spans="1:8">
      <c r="C47" s="2" t="s">
        <v>1289</v>
      </c>
    </row>
    <row r="48" spans="1:8">
      <c r="C48" s="2" t="s">
        <v>1288</v>
      </c>
    </row>
    <row r="49" spans="2:4">
      <c r="C49" s="2" t="s">
        <v>1287</v>
      </c>
    </row>
    <row r="50" spans="2:4">
      <c r="C50" s="2" t="s">
        <v>1291</v>
      </c>
    </row>
    <row r="51" spans="2:4">
      <c r="C51" s="2" t="s">
        <v>1292</v>
      </c>
    </row>
    <row r="52" spans="2:4">
      <c r="C52" s="2" t="s">
        <v>1286</v>
      </c>
    </row>
    <row r="53" spans="2:4" ht="15">
      <c r="D53" s="1" t="s">
        <v>1329</v>
      </c>
    </row>
    <row r="54" spans="2:4" ht="15">
      <c r="B54" s="1" t="s">
        <v>1283</v>
      </c>
    </row>
    <row r="55" spans="2:4">
      <c r="C55" s="2" t="s">
        <v>1285</v>
      </c>
    </row>
    <row r="56" spans="2:4">
      <c r="C56" s="2" t="s">
        <v>1284</v>
      </c>
    </row>
    <row r="57" spans="2:4" ht="15">
      <c r="D57" s="2" t="s">
        <v>1476</v>
      </c>
    </row>
    <row r="58" spans="2:4" ht="15">
      <c r="C58" s="2" t="s">
        <v>1477</v>
      </c>
    </row>
    <row r="59" spans="2:4" ht="15">
      <c r="C59" s="2" t="s">
        <v>1478</v>
      </c>
    </row>
    <row r="60" spans="2:4" ht="15">
      <c r="C60" s="2" t="s">
        <v>1479</v>
      </c>
    </row>
    <row r="61" spans="2:4" ht="15">
      <c r="C61" s="2" t="s">
        <v>1480</v>
      </c>
    </row>
    <row r="62" spans="2:4" ht="15">
      <c r="C62" s="2" t="s">
        <v>1481</v>
      </c>
    </row>
    <row r="63" spans="2:4" ht="15">
      <c r="D63" s="2" t="s">
        <v>1482</v>
      </c>
    </row>
    <row r="64" spans="2:4" ht="15">
      <c r="C64" s="2" t="s">
        <v>1483</v>
      </c>
    </row>
    <row r="65" spans="1:5" ht="15">
      <c r="D65" s="2" t="s">
        <v>1484</v>
      </c>
    </row>
    <row r="66" spans="1:5" ht="15">
      <c r="C66" s="2" t="s">
        <v>1485</v>
      </c>
    </row>
    <row r="67" spans="1:5" ht="15">
      <c r="C67" s="2" t="s">
        <v>1486</v>
      </c>
    </row>
    <row r="68" spans="1:5">
      <c r="D68" s="2" t="s">
        <v>1316</v>
      </c>
    </row>
    <row r="69" spans="1:5">
      <c r="C69" s="2" t="s">
        <v>1317</v>
      </c>
    </row>
    <row r="70" spans="1:5">
      <c r="D70" s="2" t="s">
        <v>1320</v>
      </c>
    </row>
    <row r="71" spans="1:5">
      <c r="D71" s="2" t="s">
        <v>1318</v>
      </c>
    </row>
    <row r="72" spans="1:5">
      <c r="D72" s="2" t="s">
        <v>1319</v>
      </c>
    </row>
    <row r="73" spans="1:5" ht="15">
      <c r="B73" s="4" t="s">
        <v>1383</v>
      </c>
      <c r="C73" s="1" t="s">
        <v>1472</v>
      </c>
    </row>
    <row r="74" spans="1:5" ht="15">
      <c r="D74" s="1" t="s">
        <v>1329</v>
      </c>
    </row>
    <row r="75" spans="1:5" ht="15">
      <c r="A75" s="1" t="s">
        <v>1321</v>
      </c>
    </row>
    <row r="76" spans="1:5" ht="15">
      <c r="C76" s="2" t="s">
        <v>1550</v>
      </c>
    </row>
    <row r="77" spans="1:5">
      <c r="D77" s="2" t="s">
        <v>1473</v>
      </c>
    </row>
    <row r="78" spans="1:5">
      <c r="D78" s="2" t="s">
        <v>1474</v>
      </c>
    </row>
    <row r="79" spans="1:5">
      <c r="E79" s="2" t="s">
        <v>1552</v>
      </c>
    </row>
    <row r="80" spans="1:5">
      <c r="C80" s="2" t="s">
        <v>1475</v>
      </c>
    </row>
    <row r="81" spans="1:4">
      <c r="D81" s="2" t="s">
        <v>1322</v>
      </c>
    </row>
    <row r="82" spans="1:4">
      <c r="C82" s="2" t="s">
        <v>1323</v>
      </c>
    </row>
    <row r="83" spans="1:4">
      <c r="C83" s="2" t="s">
        <v>1433</v>
      </c>
    </row>
    <row r="84" spans="1:4">
      <c r="C84" s="2" t="s">
        <v>1443</v>
      </c>
    </row>
    <row r="85" spans="1:4">
      <c r="D85" s="2" t="s">
        <v>1324</v>
      </c>
    </row>
    <row r="86" spans="1:4">
      <c r="D86" s="2" t="s">
        <v>1325</v>
      </c>
    </row>
    <row r="87" spans="1:4">
      <c r="C87" s="2" t="s">
        <v>1444</v>
      </c>
    </row>
    <row r="88" spans="1:4">
      <c r="C88" s="2" t="s">
        <v>1445</v>
      </c>
    </row>
    <row r="89" spans="1:4">
      <c r="C89" s="2" t="s">
        <v>1326</v>
      </c>
    </row>
    <row r="90" spans="1:4">
      <c r="D90" s="2" t="s">
        <v>1327</v>
      </c>
    </row>
    <row r="91" spans="1:4" ht="15">
      <c r="D91" s="1" t="s">
        <v>1329</v>
      </c>
    </row>
    <row r="93" spans="1:4" ht="15">
      <c r="A93" s="1" t="s">
        <v>1328</v>
      </c>
    </row>
    <row r="94" spans="1:4">
      <c r="B94" s="2" t="s">
        <v>1446</v>
      </c>
    </row>
    <row r="95" spans="1:4">
      <c r="B95" s="2" t="s">
        <v>1434</v>
      </c>
    </row>
    <row r="97" spans="1:3" ht="15">
      <c r="A97" s="1" t="s">
        <v>1330</v>
      </c>
    </row>
    <row r="98" spans="1:3">
      <c r="B98" s="2" t="s">
        <v>1447</v>
      </c>
    </row>
    <row r="99" spans="1:3">
      <c r="B99" s="2" t="s">
        <v>1331</v>
      </c>
    </row>
    <row r="100" spans="1:3">
      <c r="B100" s="2" t="s">
        <v>1448</v>
      </c>
    </row>
    <row r="101" spans="1:3">
      <c r="B101" s="2" t="s">
        <v>1332</v>
      </c>
    </row>
    <row r="102" spans="1:3">
      <c r="C102" s="2" t="s">
        <v>1333</v>
      </c>
    </row>
    <row r="104" spans="1:3" ht="15">
      <c r="A104" s="1" t="s">
        <v>1334</v>
      </c>
    </row>
    <row r="105" spans="1:3">
      <c r="B105" s="2" t="s">
        <v>1335</v>
      </c>
    </row>
    <row r="107" spans="1:3" ht="15">
      <c r="A107" s="1" t="s">
        <v>1336</v>
      </c>
    </row>
    <row r="108" spans="1:3">
      <c r="B108" s="2" t="s">
        <v>1449</v>
      </c>
    </row>
    <row r="109" spans="1:3">
      <c r="B109" s="2" t="s">
        <v>1450</v>
      </c>
    </row>
    <row r="110" spans="1:3">
      <c r="B110" s="2" t="s">
        <v>1337</v>
      </c>
    </row>
    <row r="111" spans="1:3">
      <c r="B111" s="2" t="s">
        <v>1338</v>
      </c>
    </row>
    <row r="112" spans="1:3">
      <c r="C112" s="2" t="s">
        <v>1339</v>
      </c>
    </row>
    <row r="113" spans="2:8">
      <c r="C113" s="2" t="s">
        <v>1553</v>
      </c>
    </row>
    <row r="114" spans="2:8">
      <c r="D114" s="2" t="s">
        <v>1378</v>
      </c>
    </row>
    <row r="115" spans="2:8">
      <c r="D115" s="2" t="s">
        <v>1379</v>
      </c>
    </row>
    <row r="116" spans="2:8">
      <c r="D116" s="2" t="s">
        <v>1380</v>
      </c>
    </row>
    <row r="117" spans="2:8">
      <c r="E117" s="2" t="s">
        <v>1554</v>
      </c>
    </row>
    <row r="118" spans="2:8">
      <c r="B118" s="2" t="s">
        <v>1451</v>
      </c>
    </row>
    <row r="119" spans="2:8">
      <c r="C119" s="2" t="s">
        <v>1344</v>
      </c>
    </row>
    <row r="120" spans="2:8" ht="15">
      <c r="B120" s="2" t="s">
        <v>1342</v>
      </c>
    </row>
    <row r="121" spans="2:8">
      <c r="C121" s="2" t="s">
        <v>1555</v>
      </c>
    </row>
    <row r="122" spans="2:8" ht="15">
      <c r="D122" s="2" t="s">
        <v>1294</v>
      </c>
      <c r="E122" s="40" t="s">
        <v>1315</v>
      </c>
      <c r="F122" s="4" t="s">
        <v>1295</v>
      </c>
    </row>
    <row r="123" spans="2:8" ht="15">
      <c r="E123" s="2" t="s">
        <v>1315</v>
      </c>
      <c r="F123" s="4" t="s">
        <v>1296</v>
      </c>
    </row>
    <row r="124" spans="2:8" ht="15">
      <c r="E124" s="2" t="s">
        <v>1315</v>
      </c>
      <c r="F124" s="4" t="s">
        <v>1297</v>
      </c>
    </row>
    <row r="125" spans="2:8" ht="15">
      <c r="E125" s="2" t="s">
        <v>1315</v>
      </c>
      <c r="F125" s="4" t="s">
        <v>1298</v>
      </c>
    </row>
    <row r="126" spans="2:8">
      <c r="C126" s="2" t="s">
        <v>1293</v>
      </c>
    </row>
    <row r="127" spans="2:8">
      <c r="D127" s="2" t="s">
        <v>1294</v>
      </c>
      <c r="E127" s="2" t="s">
        <v>1315</v>
      </c>
      <c r="F127" s="2" t="s">
        <v>1299</v>
      </c>
      <c r="H127" s="2" t="s">
        <v>1304</v>
      </c>
    </row>
    <row r="128" spans="2:8">
      <c r="E128" s="2" t="s">
        <v>1315</v>
      </c>
      <c r="F128" s="2" t="s">
        <v>1300</v>
      </c>
      <c r="H128" s="2" t="s">
        <v>1306</v>
      </c>
    </row>
    <row r="129" spans="2:8">
      <c r="E129" s="2" t="s">
        <v>1315</v>
      </c>
      <c r="F129" s="2" t="s">
        <v>1301</v>
      </c>
      <c r="H129" s="2" t="s">
        <v>1307</v>
      </c>
    </row>
    <row r="130" spans="2:8" ht="15">
      <c r="E130" s="2" t="s">
        <v>1315</v>
      </c>
      <c r="F130" s="4" t="s">
        <v>1298</v>
      </c>
    </row>
    <row r="131" spans="2:8">
      <c r="E131" s="2" t="s">
        <v>1315</v>
      </c>
      <c r="F131" s="2" t="s">
        <v>1302</v>
      </c>
      <c r="H131" s="2" t="s">
        <v>1303</v>
      </c>
    </row>
    <row r="132" spans="2:8" ht="15">
      <c r="E132" s="2" t="s">
        <v>1315</v>
      </c>
      <c r="F132" s="4" t="s">
        <v>1305</v>
      </c>
    </row>
    <row r="133" spans="2:8">
      <c r="C133" s="2" t="s">
        <v>1556</v>
      </c>
    </row>
    <row r="134" spans="2:8" ht="15">
      <c r="D134" s="2" t="s">
        <v>1294</v>
      </c>
      <c r="E134" s="41" t="s">
        <v>1315</v>
      </c>
      <c r="F134" s="4" t="s">
        <v>1308</v>
      </c>
    </row>
    <row r="135" spans="2:8">
      <c r="E135" s="2" t="s">
        <v>1315</v>
      </c>
      <c r="F135" s="2" t="s">
        <v>1309</v>
      </c>
      <c r="H135" s="2" t="s">
        <v>1310</v>
      </c>
    </row>
    <row r="136" spans="2:8">
      <c r="E136" s="2" t="s">
        <v>1315</v>
      </c>
      <c r="F136" s="2" t="s">
        <v>1311</v>
      </c>
      <c r="H136" s="2" t="s">
        <v>1303</v>
      </c>
    </row>
    <row r="137" spans="2:8">
      <c r="E137" s="2" t="s">
        <v>1315</v>
      </c>
      <c r="F137" s="2" t="s">
        <v>1312</v>
      </c>
      <c r="H137" s="2" t="s">
        <v>1303</v>
      </c>
    </row>
    <row r="138" spans="2:8">
      <c r="C138" s="2" t="s">
        <v>1557</v>
      </c>
    </row>
    <row r="139" spans="2:8" ht="15">
      <c r="D139" s="2" t="s">
        <v>1294</v>
      </c>
      <c r="E139" s="2" t="s">
        <v>1315</v>
      </c>
      <c r="F139" s="4" t="s">
        <v>1296</v>
      </c>
    </row>
    <row r="140" spans="2:8" ht="15">
      <c r="E140" s="2" t="s">
        <v>1315</v>
      </c>
      <c r="F140" s="4" t="s">
        <v>1297</v>
      </c>
    </row>
    <row r="141" spans="2:8">
      <c r="E141" s="2" t="s">
        <v>1315</v>
      </c>
      <c r="F141" s="2" t="s">
        <v>1313</v>
      </c>
      <c r="H141" s="2" t="s">
        <v>1306</v>
      </c>
    </row>
    <row r="142" spans="2:8" ht="15">
      <c r="E142" s="2" t="s">
        <v>1315</v>
      </c>
      <c r="F142" s="4" t="s">
        <v>1314</v>
      </c>
    </row>
    <row r="143" spans="2:8" ht="15">
      <c r="F143" s="4"/>
    </row>
    <row r="144" spans="2:8" ht="15">
      <c r="B144" s="2" t="s">
        <v>1343</v>
      </c>
    </row>
    <row r="145" spans="1:8">
      <c r="C145" s="2" t="s">
        <v>1558</v>
      </c>
    </row>
    <row r="146" spans="1:8" ht="15">
      <c r="D146" s="2" t="s">
        <v>1294</v>
      </c>
      <c r="E146" s="40" t="s">
        <v>1315</v>
      </c>
      <c r="F146" s="4" t="s">
        <v>1295</v>
      </c>
    </row>
    <row r="147" spans="1:8" ht="15">
      <c r="E147" s="2" t="s">
        <v>1315</v>
      </c>
      <c r="F147" s="4" t="s">
        <v>1297</v>
      </c>
    </row>
    <row r="148" spans="1:8">
      <c r="E148" s="2" t="s">
        <v>1315</v>
      </c>
      <c r="F148" s="2" t="s">
        <v>1301</v>
      </c>
      <c r="H148" s="2" t="s">
        <v>1307</v>
      </c>
    </row>
    <row r="149" spans="1:8" ht="15">
      <c r="B149" s="1" t="s">
        <v>1340</v>
      </c>
    </row>
    <row r="150" spans="1:8">
      <c r="B150" s="2" t="s">
        <v>1452</v>
      </c>
    </row>
    <row r="151" spans="1:8">
      <c r="B151" s="2" t="s">
        <v>1451</v>
      </c>
    </row>
    <row r="152" spans="1:8" ht="15">
      <c r="C152" s="1" t="s">
        <v>1341</v>
      </c>
    </row>
    <row r="154" spans="1:8" ht="15">
      <c r="A154" s="1" t="s">
        <v>1345</v>
      </c>
    </row>
    <row r="155" spans="1:8">
      <c r="B155" s="2" t="s">
        <v>1453</v>
      </c>
    </row>
    <row r="156" spans="1:8">
      <c r="C156" s="2" t="s">
        <v>1454</v>
      </c>
    </row>
    <row r="157" spans="1:8">
      <c r="B157" s="2" t="s">
        <v>1455</v>
      </c>
    </row>
    <row r="158" spans="1:8">
      <c r="C158" s="2" t="s">
        <v>1456</v>
      </c>
    </row>
    <row r="159" spans="1:8">
      <c r="C159" s="2" t="s">
        <v>1457</v>
      </c>
    </row>
    <row r="160" spans="1:8">
      <c r="B160" s="2" t="s">
        <v>1458</v>
      </c>
    </row>
    <row r="161" spans="1:3">
      <c r="B161" s="2" t="s">
        <v>1459</v>
      </c>
    </row>
    <row r="162" spans="1:3">
      <c r="B162" s="2" t="s">
        <v>1460</v>
      </c>
    </row>
    <row r="163" spans="1:3">
      <c r="C163" s="2" t="s">
        <v>1461</v>
      </c>
    </row>
    <row r="164" spans="1:3">
      <c r="B164" s="2" t="s">
        <v>1346</v>
      </c>
    </row>
    <row r="165" spans="1:3">
      <c r="C165" s="2" t="s">
        <v>1462</v>
      </c>
    </row>
    <row r="166" spans="1:3">
      <c r="B166" s="2" t="s">
        <v>1435</v>
      </c>
    </row>
    <row r="167" spans="1:3">
      <c r="C167" s="2" t="s">
        <v>1347</v>
      </c>
    </row>
    <row r="168" spans="1:3">
      <c r="C168" s="2" t="s">
        <v>1463</v>
      </c>
    </row>
    <row r="169" spans="1:3">
      <c r="C169" s="2" t="s">
        <v>1348</v>
      </c>
    </row>
    <row r="170" spans="1:3">
      <c r="B170" s="2" t="s">
        <v>1349</v>
      </c>
    </row>
    <row r="172" spans="1:3" ht="15">
      <c r="A172" s="1" t="s">
        <v>1377</v>
      </c>
    </row>
    <row r="173" spans="1:3">
      <c r="B173" s="2" t="s">
        <v>1436</v>
      </c>
    </row>
    <row r="174" spans="1:3">
      <c r="B174" s="2" t="s">
        <v>1464</v>
      </c>
    </row>
    <row r="175" spans="1:3">
      <c r="B175" s="2" t="s">
        <v>1465</v>
      </c>
    </row>
    <row r="176" spans="1:3">
      <c r="B176" s="2" t="s">
        <v>1437</v>
      </c>
    </row>
    <row r="178" spans="1:26" ht="15">
      <c r="A178" s="1" t="s">
        <v>1350</v>
      </c>
    </row>
    <row r="179" spans="1:26">
      <c r="B179" s="2" t="s">
        <v>1438</v>
      </c>
    </row>
    <row r="180" spans="1:26">
      <c r="B180" s="2" t="s">
        <v>1466</v>
      </c>
    </row>
    <row r="182" spans="1:26" ht="15">
      <c r="B182" s="61" t="s">
        <v>1351</v>
      </c>
      <c r="C182" s="62"/>
      <c r="D182" s="62"/>
      <c r="E182" s="62"/>
      <c r="F182" s="62"/>
      <c r="G182" s="61" t="s">
        <v>1352</v>
      </c>
      <c r="H182" s="42"/>
      <c r="I182" s="42"/>
      <c r="J182" s="42"/>
      <c r="K182" s="42"/>
      <c r="L182" s="42"/>
      <c r="M182" s="42"/>
      <c r="N182" s="42"/>
      <c r="O182" s="42"/>
      <c r="P182" s="42"/>
      <c r="Q182" s="42"/>
      <c r="R182" s="42"/>
      <c r="S182" s="42"/>
      <c r="T182" s="42"/>
      <c r="U182" s="42"/>
      <c r="V182" s="42"/>
      <c r="W182" s="42"/>
      <c r="X182" s="42"/>
      <c r="Y182" s="42"/>
      <c r="Z182" s="43"/>
    </row>
    <row r="183" spans="1:26" ht="15">
      <c r="B183" s="52" t="s">
        <v>1354</v>
      </c>
      <c r="C183" s="53"/>
      <c r="D183" s="53"/>
      <c r="E183" s="53"/>
      <c r="F183" s="54"/>
      <c r="G183" s="44" t="s">
        <v>1355</v>
      </c>
      <c r="H183" s="44"/>
      <c r="I183" s="44"/>
      <c r="J183" s="44"/>
      <c r="K183" s="44"/>
      <c r="L183" s="44"/>
      <c r="M183" s="44"/>
      <c r="N183" s="44"/>
      <c r="O183" s="44"/>
      <c r="P183" s="44"/>
      <c r="Q183" s="44"/>
      <c r="R183" s="44"/>
      <c r="S183" s="44"/>
      <c r="T183" s="44"/>
      <c r="U183" s="44"/>
      <c r="V183" s="44"/>
      <c r="W183" s="44"/>
      <c r="X183" s="44"/>
      <c r="Y183" s="44"/>
      <c r="Z183" s="45"/>
    </row>
    <row r="184" spans="1:26" ht="15">
      <c r="B184" s="55" t="s">
        <v>1357</v>
      </c>
      <c r="C184" s="60"/>
      <c r="D184" s="60"/>
      <c r="E184" s="60"/>
      <c r="F184" s="56"/>
      <c r="G184" s="46" t="s">
        <v>1356</v>
      </c>
      <c r="H184" s="46"/>
      <c r="I184" s="46"/>
      <c r="J184" s="46"/>
      <c r="K184" s="46"/>
      <c r="L184" s="46"/>
      <c r="M184" s="46"/>
      <c r="N184" s="46"/>
      <c r="O184" s="46"/>
      <c r="P184" s="46"/>
      <c r="Q184" s="46"/>
      <c r="R184" s="46"/>
      <c r="S184" s="46"/>
      <c r="T184" s="46"/>
      <c r="U184" s="46"/>
      <c r="V184" s="46"/>
      <c r="W184" s="46"/>
      <c r="X184" s="46"/>
      <c r="Y184" s="46"/>
      <c r="Z184" s="47"/>
    </row>
    <row r="185" spans="1:26" ht="15">
      <c r="B185" s="55" t="s">
        <v>1353</v>
      </c>
      <c r="C185" s="60"/>
      <c r="D185" s="60"/>
      <c r="E185" s="60"/>
      <c r="F185" s="56"/>
      <c r="G185" s="48" t="s">
        <v>1361</v>
      </c>
      <c r="H185" s="48"/>
      <c r="I185" s="48"/>
      <c r="J185" s="48"/>
      <c r="K185" s="48"/>
      <c r="L185" s="48"/>
      <c r="M185" s="48"/>
      <c r="N185" s="48"/>
      <c r="O185" s="48"/>
      <c r="P185" s="48"/>
      <c r="Q185" s="48"/>
      <c r="R185" s="48"/>
      <c r="S185" s="48"/>
      <c r="T185" s="48"/>
      <c r="U185" s="48"/>
      <c r="V185" s="48"/>
      <c r="W185" s="48"/>
      <c r="X185" s="48"/>
      <c r="Y185" s="48"/>
      <c r="Z185" s="49"/>
    </row>
    <row r="186" spans="1:26" ht="15">
      <c r="B186" s="55" t="s">
        <v>1358</v>
      </c>
      <c r="C186" s="60"/>
      <c r="D186" s="60"/>
      <c r="E186" s="60"/>
      <c r="F186" s="56"/>
      <c r="G186" s="46" t="s">
        <v>1362</v>
      </c>
      <c r="H186" s="46"/>
      <c r="I186" s="46"/>
      <c r="J186" s="46"/>
      <c r="K186" s="46"/>
      <c r="L186" s="46"/>
      <c r="M186" s="46"/>
      <c r="N186" s="46"/>
      <c r="O186" s="46"/>
      <c r="P186" s="46"/>
      <c r="Q186" s="46"/>
      <c r="R186" s="46"/>
      <c r="S186" s="46"/>
      <c r="T186" s="46"/>
      <c r="U186" s="46"/>
      <c r="V186" s="46"/>
      <c r="W186" s="46"/>
      <c r="X186" s="46"/>
      <c r="Y186" s="46"/>
      <c r="Z186" s="47"/>
    </row>
    <row r="187" spans="1:26" ht="15">
      <c r="B187" s="55" t="s">
        <v>1359</v>
      </c>
      <c r="C187" s="60"/>
      <c r="D187" s="60"/>
      <c r="E187" s="60"/>
      <c r="F187" s="56"/>
      <c r="G187" s="48" t="s">
        <v>1364</v>
      </c>
      <c r="H187" s="48"/>
      <c r="I187" s="48"/>
      <c r="J187" s="48"/>
      <c r="K187" s="48"/>
      <c r="L187" s="48"/>
      <c r="M187" s="48"/>
      <c r="N187" s="48"/>
      <c r="O187" s="48"/>
      <c r="P187" s="48"/>
      <c r="Q187" s="48"/>
      <c r="R187" s="48"/>
      <c r="S187" s="48"/>
      <c r="T187" s="48"/>
      <c r="U187" s="48"/>
      <c r="V187" s="48"/>
      <c r="W187" s="48"/>
      <c r="X187" s="48"/>
      <c r="Y187" s="48"/>
      <c r="Z187" s="49"/>
    </row>
    <row r="188" spans="1:26" ht="15">
      <c r="B188" s="57" t="s">
        <v>1360</v>
      </c>
      <c r="C188" s="58"/>
      <c r="D188" s="58"/>
      <c r="E188" s="58"/>
      <c r="F188" s="59"/>
      <c r="G188" s="50" t="s">
        <v>1365</v>
      </c>
      <c r="H188" s="50"/>
      <c r="I188" s="50"/>
      <c r="J188" s="50"/>
      <c r="K188" s="50"/>
      <c r="L188" s="50"/>
      <c r="M188" s="50"/>
      <c r="N188" s="50"/>
      <c r="O188" s="50"/>
      <c r="P188" s="50"/>
      <c r="Q188" s="50"/>
      <c r="R188" s="50"/>
      <c r="S188" s="50"/>
      <c r="T188" s="50"/>
      <c r="U188" s="50"/>
      <c r="V188" s="50"/>
      <c r="W188" s="50"/>
      <c r="X188" s="50"/>
      <c r="Y188" s="50"/>
      <c r="Z188" s="51"/>
    </row>
    <row r="190" spans="1:26" ht="15">
      <c r="B190" s="1" t="s">
        <v>1366</v>
      </c>
      <c r="M190" s="1" t="s">
        <v>1367</v>
      </c>
    </row>
    <row r="191" spans="1:26" ht="15">
      <c r="M191" s="4" t="s">
        <v>1368</v>
      </c>
    </row>
    <row r="202" spans="1:3" ht="15">
      <c r="B202" s="1" t="s">
        <v>1381</v>
      </c>
    </row>
    <row r="203" spans="1:3" ht="15">
      <c r="B203" s="2" t="s">
        <v>1382</v>
      </c>
    </row>
    <row r="204" spans="1:3">
      <c r="B204" s="2" t="s">
        <v>1428</v>
      </c>
    </row>
    <row r="205" spans="1:3">
      <c r="C205" s="2" t="s">
        <v>1429</v>
      </c>
    </row>
    <row r="207" spans="1:3" ht="15">
      <c r="A207" s="1" t="s">
        <v>1370</v>
      </c>
    </row>
    <row r="209" spans="1:3" ht="15">
      <c r="B209" s="1" t="s">
        <v>1371</v>
      </c>
    </row>
    <row r="211" spans="1:3" ht="15">
      <c r="A211" s="1" t="s">
        <v>1372</v>
      </c>
    </row>
    <row r="213" spans="1:3">
      <c r="B213" s="2" t="s">
        <v>1439</v>
      </c>
    </row>
    <row r="214" spans="1:3">
      <c r="C214" s="2" t="s">
        <v>1373</v>
      </c>
    </row>
    <row r="215" spans="1:3">
      <c r="B215" s="2" t="s">
        <v>1440</v>
      </c>
    </row>
    <row r="216" spans="1:3" ht="15">
      <c r="B216" s="1" t="s">
        <v>1374</v>
      </c>
    </row>
    <row r="217" spans="1:3">
      <c r="B217" s="2" t="s">
        <v>1441</v>
      </c>
    </row>
    <row r="218" spans="1:3">
      <c r="C218" s="2" t="s">
        <v>1442</v>
      </c>
    </row>
    <row r="219" spans="1:3">
      <c r="C219" s="2" t="s">
        <v>1467</v>
      </c>
    </row>
    <row r="220" spans="1:3">
      <c r="B220" s="2" t="s">
        <v>1468</v>
      </c>
    </row>
    <row r="221" spans="1:3">
      <c r="B221" s="2" t="s">
        <v>1375</v>
      </c>
    </row>
    <row r="222" spans="1:3">
      <c r="C222" s="2" t="s">
        <v>1469</v>
      </c>
    </row>
    <row r="223" spans="1:3">
      <c r="C223" s="2" t="s">
        <v>1376</v>
      </c>
    </row>
  </sheetData>
  <hyperlinks>
    <hyperlink ref="A1" r:id="rId1" xr:uid="{64D13D01-27A7-4136-B78C-FE76118BBE0C}"/>
    <hyperlink ref="F122" r:id="rId2" xr:uid="{A603D0F8-B145-4037-ADCE-0D73411092CF}"/>
    <hyperlink ref="F123" r:id="rId3" xr:uid="{CA226431-A2CD-4EB7-AB44-3EDA8CB3C1AE}"/>
    <hyperlink ref="F124" r:id="rId4" xr:uid="{466E81C0-CCE3-4F64-8319-E2A030036BCE}"/>
    <hyperlink ref="F125" r:id="rId5" xr:uid="{2D75C616-249A-474D-8B63-735C1B634E52}"/>
    <hyperlink ref="F130" r:id="rId6" xr:uid="{E5FABB7D-0650-4D4F-9E1D-0493BE0AD618}"/>
    <hyperlink ref="F132" r:id="rId7" xr:uid="{EA7FC124-B019-4E7E-B7D8-41BA1EE10D5B}"/>
    <hyperlink ref="F139" r:id="rId8" xr:uid="{D984C447-7157-4401-B33C-F2C766D26757}"/>
    <hyperlink ref="F140" r:id="rId9" xr:uid="{0F8B2355-E317-45B7-AD79-264F6BBB2E8E}"/>
    <hyperlink ref="F142" r:id="rId10" xr:uid="{16F2E2FC-18CA-4FE0-B756-04243B8C64C1}"/>
    <hyperlink ref="F134" r:id="rId11" xr:uid="{7EC2253C-1301-42FB-BB7E-58A79F391433}"/>
    <hyperlink ref="F147" r:id="rId12" xr:uid="{28465312-E778-42C2-A063-B019ED351C88}"/>
    <hyperlink ref="F146" r:id="rId13" xr:uid="{57E40D65-0FAD-42E9-A6F5-D4EA5A79DF12}"/>
    <hyperlink ref="M191" r:id="rId14" xr:uid="{635EEE47-E772-4EB9-A816-D2606C53FD32}"/>
    <hyperlink ref="B73" r:id="rId15" xr:uid="{6F12B89C-C523-4805-8CC5-99B22CABADAC}"/>
    <hyperlink ref="R11" r:id="rId16" xr:uid="{49509B65-2F82-4464-988D-E2A7F994B604}"/>
    <hyperlink ref="R13" r:id="rId17" xr:uid="{AD6187E0-F040-4003-8389-82EC232371F9}"/>
    <hyperlink ref="R16" r:id="rId18" xr:uid="{48349592-0CB0-4A5D-8D7E-66B7AA50875D}"/>
    <hyperlink ref="R17" r:id="rId19" display="https://ppubs.uspto.gov/pubwebapp/static/pages/ppubsbasic.html" xr:uid="{3875604B-8BBC-4DAF-AE9D-67C816C4334A}"/>
    <hyperlink ref="R19" r:id="rId20" xr:uid="{4198DA61-3D3D-4D00-A9F3-5F108216775A}"/>
    <hyperlink ref="R20" r:id="rId21" xr:uid="{6F6FAC30-8158-4FB7-A96F-FAE73548CD94}"/>
    <hyperlink ref="S18" r:id="rId22" xr:uid="{06BA7CAC-20BA-499F-92E3-8DC326BB088C}"/>
    <hyperlink ref="R15" r:id="rId23" xr:uid="{68DAC4F8-D106-489A-B576-CC32F5A0444C}"/>
    <hyperlink ref="K20" r:id="rId24" xr:uid="{EF4DF96A-BE16-4A0B-9A14-0D0CCDF767A2}"/>
    <hyperlink ref="R10" r:id="rId25" xr:uid="{C7212192-A532-48CD-A9E5-324C134CB048}"/>
    <hyperlink ref="R14" r:id="rId26" xr:uid="{3F0DD02F-264A-463F-8850-23B19F0726B0}"/>
  </hyperlinks>
  <pageMargins left="0.7" right="0.7" top="0.75" bottom="0.75" header="0.3" footer="0.3"/>
  <drawing r:id="rId2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30D12-B16F-4BC5-8728-6B07C0E66DA0}">
  <dimension ref="B1:EQ108"/>
  <sheetViews>
    <sheetView tabSelected="1" zoomScale="85" zoomScaleNormal="85" workbookViewId="0">
      <pane xSplit="2" ySplit="3" topLeftCell="CV39" activePane="bottomRight" state="frozen"/>
      <selection pane="topRight" activeCell="C1" sqref="C1"/>
      <selection pane="bottomLeft" activeCell="A3" sqref="A3"/>
      <selection pane="bottomRight" activeCell="B69" sqref="B69:B70"/>
    </sheetView>
  </sheetViews>
  <sheetFormatPr defaultColWidth="9.140625" defaultRowHeight="14.25"/>
  <cols>
    <col min="1" max="1" width="3.140625" style="2" customWidth="1"/>
    <col min="2" max="2" width="42.85546875" style="2" customWidth="1"/>
    <col min="3" max="39" width="9.28515625" style="2" bestFit="1" customWidth="1"/>
    <col min="40" max="40" width="9.42578125" style="2" bestFit="1" customWidth="1"/>
    <col min="41" max="43" width="9.28515625" style="2" bestFit="1" customWidth="1"/>
    <col min="44" max="44" width="10" style="2" bestFit="1" customWidth="1"/>
    <col min="45" max="48" width="9.28515625" style="2" bestFit="1" customWidth="1"/>
    <col min="49" max="68" width="9.42578125" style="2" bestFit="1" customWidth="1"/>
    <col min="69" max="69" width="9.28515625" style="2" bestFit="1" customWidth="1"/>
    <col min="70" max="77" width="9.140625" style="25"/>
    <col min="78" max="101" width="9.140625" style="2"/>
    <col min="102" max="103" width="9.140625" style="25"/>
    <col min="104" max="104" width="9.85546875" style="25" bestFit="1" customWidth="1"/>
    <col min="105" max="109" width="9.140625" style="25"/>
    <col min="110" max="110" width="9" style="25" customWidth="1"/>
    <col min="111" max="147" width="9.140625" style="25"/>
    <col min="148" max="16384" width="9.140625" style="2"/>
  </cols>
  <sheetData>
    <row r="1" spans="2:147" ht="15">
      <c r="AW1" s="27" t="s">
        <v>43</v>
      </c>
      <c r="BA1" s="27" t="s">
        <v>39</v>
      </c>
      <c r="BE1" s="27" t="s">
        <v>35</v>
      </c>
      <c r="BI1" s="27" t="s">
        <v>31</v>
      </c>
      <c r="BM1" s="27" t="s">
        <v>27</v>
      </c>
      <c r="BQ1" s="27" t="s">
        <v>1189</v>
      </c>
    </row>
    <row r="2" spans="2:147">
      <c r="B2" s="26" t="s">
        <v>90</v>
      </c>
    </row>
    <row r="3" spans="2:147" s="27" customFormat="1" ht="15">
      <c r="B3" s="27" t="s">
        <v>1158</v>
      </c>
      <c r="C3" s="27" t="s">
        <v>89</v>
      </c>
      <c r="D3" s="27" t="s">
        <v>88</v>
      </c>
      <c r="E3" s="27" t="s">
        <v>87</v>
      </c>
      <c r="F3" s="27" t="s">
        <v>86</v>
      </c>
      <c r="G3" s="27" t="s">
        <v>85</v>
      </c>
      <c r="H3" s="27" t="s">
        <v>84</v>
      </c>
      <c r="I3" s="27" t="s">
        <v>83</v>
      </c>
      <c r="J3" s="27" t="s">
        <v>82</v>
      </c>
      <c r="K3" s="27" t="s">
        <v>81</v>
      </c>
      <c r="L3" s="27" t="s">
        <v>80</v>
      </c>
      <c r="M3" s="27" t="s">
        <v>79</v>
      </c>
      <c r="N3" s="27" t="s">
        <v>78</v>
      </c>
      <c r="O3" s="27" t="s">
        <v>77</v>
      </c>
      <c r="P3" s="27" t="s">
        <v>76</v>
      </c>
      <c r="Q3" s="27" t="s">
        <v>75</v>
      </c>
      <c r="R3" s="27" t="s">
        <v>74</v>
      </c>
      <c r="S3" s="27" t="s">
        <v>73</v>
      </c>
      <c r="T3" s="27" t="s">
        <v>72</v>
      </c>
      <c r="U3" s="27" t="s">
        <v>71</v>
      </c>
      <c r="V3" s="27" t="s">
        <v>70</v>
      </c>
      <c r="W3" s="27" t="s">
        <v>69</v>
      </c>
      <c r="X3" s="27" t="s">
        <v>68</v>
      </c>
      <c r="Y3" s="27" t="s">
        <v>67</v>
      </c>
      <c r="Z3" s="27" t="s">
        <v>66</v>
      </c>
      <c r="AA3" s="27" t="s">
        <v>65</v>
      </c>
      <c r="AB3" s="27" t="s">
        <v>64</v>
      </c>
      <c r="AC3" s="27" t="s">
        <v>63</v>
      </c>
      <c r="AD3" s="27" t="s">
        <v>62</v>
      </c>
      <c r="AE3" s="27" t="s">
        <v>61</v>
      </c>
      <c r="AF3" s="27" t="s">
        <v>60</v>
      </c>
      <c r="AG3" s="27" t="s">
        <v>59</v>
      </c>
      <c r="AH3" s="27" t="s">
        <v>58</v>
      </c>
      <c r="AI3" s="27" t="s">
        <v>57</v>
      </c>
      <c r="AJ3" s="27" t="s">
        <v>56</v>
      </c>
      <c r="AK3" s="27" t="s">
        <v>55</v>
      </c>
      <c r="AL3" s="27" t="s">
        <v>54</v>
      </c>
      <c r="AM3" s="27" t="s">
        <v>53</v>
      </c>
      <c r="AN3" s="27" t="s">
        <v>52</v>
      </c>
      <c r="AO3" s="27" t="s">
        <v>51</v>
      </c>
      <c r="AP3" s="27" t="s">
        <v>50</v>
      </c>
      <c r="AQ3" s="27" t="s">
        <v>49</v>
      </c>
      <c r="AR3" s="27" t="s">
        <v>48</v>
      </c>
      <c r="AS3" s="27" t="s">
        <v>47</v>
      </c>
      <c r="AT3" s="27" t="s">
        <v>46</v>
      </c>
      <c r="AU3" s="27" t="s">
        <v>45</v>
      </c>
      <c r="AV3" s="27" t="s">
        <v>44</v>
      </c>
      <c r="AW3" s="27" t="s">
        <v>43</v>
      </c>
      <c r="AX3" s="27" t="s">
        <v>42</v>
      </c>
      <c r="AY3" s="27" t="s">
        <v>41</v>
      </c>
      <c r="AZ3" s="27" t="s">
        <v>40</v>
      </c>
      <c r="BA3" s="27" t="s">
        <v>39</v>
      </c>
      <c r="BB3" s="27" t="s">
        <v>38</v>
      </c>
      <c r="BC3" s="27" t="s">
        <v>37</v>
      </c>
      <c r="BD3" s="27" t="s">
        <v>36</v>
      </c>
      <c r="BE3" s="27" t="s">
        <v>35</v>
      </c>
      <c r="BF3" s="27" t="s">
        <v>34</v>
      </c>
      <c r="BG3" s="27" t="s">
        <v>33</v>
      </c>
      <c r="BH3" s="27" t="s">
        <v>32</v>
      </c>
      <c r="BI3" s="27" t="s">
        <v>31</v>
      </c>
      <c r="BJ3" s="27" t="s">
        <v>30</v>
      </c>
      <c r="BK3" s="27" t="s">
        <v>29</v>
      </c>
      <c r="BL3" s="27" t="s">
        <v>28</v>
      </c>
      <c r="BM3" s="27" t="s">
        <v>27</v>
      </c>
      <c r="BN3" s="27" t="s">
        <v>26</v>
      </c>
      <c r="BO3" s="27" t="s">
        <v>25</v>
      </c>
      <c r="BP3" s="27" t="s">
        <v>24</v>
      </c>
      <c r="BQ3" s="27" t="s">
        <v>1189</v>
      </c>
      <c r="BR3" s="28" t="s">
        <v>1190</v>
      </c>
      <c r="BS3" s="28" t="s">
        <v>1191</v>
      </c>
      <c r="BT3" s="28" t="s">
        <v>1192</v>
      </c>
      <c r="BU3" s="28" t="s">
        <v>1193</v>
      </c>
      <c r="BV3" s="28" t="s">
        <v>1194</v>
      </c>
      <c r="BW3" s="28" t="s">
        <v>1195</v>
      </c>
      <c r="BX3" s="28" t="s">
        <v>1196</v>
      </c>
      <c r="BY3" s="28" t="s">
        <v>1496</v>
      </c>
      <c r="CG3" s="27">
        <v>2008</v>
      </c>
      <c r="CH3" s="27">
        <f>CG3+1</f>
        <v>2009</v>
      </c>
      <c r="CI3" s="27">
        <f t="shared" ref="CI3:EQ3" si="0">CH3+1</f>
        <v>2010</v>
      </c>
      <c r="CJ3" s="27">
        <f t="shared" si="0"/>
        <v>2011</v>
      </c>
      <c r="CK3" s="27">
        <f t="shared" si="0"/>
        <v>2012</v>
      </c>
      <c r="CL3" s="27">
        <f t="shared" si="0"/>
        <v>2013</v>
      </c>
      <c r="CM3" s="27">
        <f t="shared" si="0"/>
        <v>2014</v>
      </c>
      <c r="CN3" s="27">
        <f t="shared" si="0"/>
        <v>2015</v>
      </c>
      <c r="CO3" s="27">
        <f t="shared" si="0"/>
        <v>2016</v>
      </c>
      <c r="CP3" s="27">
        <f t="shared" si="0"/>
        <v>2017</v>
      </c>
      <c r="CQ3" s="27">
        <f t="shared" si="0"/>
        <v>2018</v>
      </c>
      <c r="CR3" s="27">
        <f t="shared" si="0"/>
        <v>2019</v>
      </c>
      <c r="CS3" s="27">
        <f t="shared" si="0"/>
        <v>2020</v>
      </c>
      <c r="CT3" s="27">
        <f t="shared" si="0"/>
        <v>2021</v>
      </c>
      <c r="CU3" s="27">
        <f t="shared" si="0"/>
        <v>2022</v>
      </c>
      <c r="CV3" s="27">
        <f t="shared" si="0"/>
        <v>2023</v>
      </c>
      <c r="CW3" s="27">
        <f t="shared" si="0"/>
        <v>2024</v>
      </c>
      <c r="CX3" s="28">
        <f t="shared" si="0"/>
        <v>2025</v>
      </c>
      <c r="CY3" s="28">
        <f t="shared" si="0"/>
        <v>2026</v>
      </c>
      <c r="CZ3" s="28">
        <f t="shared" si="0"/>
        <v>2027</v>
      </c>
      <c r="DA3" s="28">
        <f t="shared" si="0"/>
        <v>2028</v>
      </c>
      <c r="DB3" s="28">
        <f t="shared" si="0"/>
        <v>2029</v>
      </c>
      <c r="DC3" s="28">
        <f t="shared" si="0"/>
        <v>2030</v>
      </c>
      <c r="DD3" s="28">
        <f t="shared" si="0"/>
        <v>2031</v>
      </c>
      <c r="DE3" s="28">
        <f t="shared" si="0"/>
        <v>2032</v>
      </c>
      <c r="DF3" s="28">
        <f t="shared" si="0"/>
        <v>2033</v>
      </c>
      <c r="DG3" s="28">
        <f t="shared" si="0"/>
        <v>2034</v>
      </c>
      <c r="DH3" s="28">
        <f t="shared" si="0"/>
        <v>2035</v>
      </c>
      <c r="DI3" s="28">
        <f t="shared" si="0"/>
        <v>2036</v>
      </c>
      <c r="DJ3" s="28">
        <f t="shared" si="0"/>
        <v>2037</v>
      </c>
      <c r="DK3" s="28">
        <f t="shared" si="0"/>
        <v>2038</v>
      </c>
      <c r="DL3" s="28">
        <f t="shared" si="0"/>
        <v>2039</v>
      </c>
      <c r="DM3" s="28">
        <f t="shared" si="0"/>
        <v>2040</v>
      </c>
      <c r="DN3" s="28">
        <f t="shared" si="0"/>
        <v>2041</v>
      </c>
      <c r="DO3" s="28">
        <f t="shared" si="0"/>
        <v>2042</v>
      </c>
      <c r="DP3" s="28">
        <f t="shared" si="0"/>
        <v>2043</v>
      </c>
      <c r="DQ3" s="28">
        <f t="shared" si="0"/>
        <v>2044</v>
      </c>
      <c r="DR3" s="28">
        <f t="shared" si="0"/>
        <v>2045</v>
      </c>
      <c r="DS3" s="28">
        <f t="shared" si="0"/>
        <v>2046</v>
      </c>
      <c r="DT3" s="28">
        <f t="shared" si="0"/>
        <v>2047</v>
      </c>
      <c r="DU3" s="28">
        <f t="shared" si="0"/>
        <v>2048</v>
      </c>
      <c r="DV3" s="28">
        <f t="shared" si="0"/>
        <v>2049</v>
      </c>
      <c r="DW3" s="28">
        <f t="shared" si="0"/>
        <v>2050</v>
      </c>
      <c r="DX3" s="28">
        <f t="shared" si="0"/>
        <v>2051</v>
      </c>
      <c r="DY3" s="28">
        <f t="shared" si="0"/>
        <v>2052</v>
      </c>
      <c r="DZ3" s="28">
        <f t="shared" si="0"/>
        <v>2053</v>
      </c>
      <c r="EA3" s="28">
        <f t="shared" si="0"/>
        <v>2054</v>
      </c>
      <c r="EB3" s="28">
        <f t="shared" si="0"/>
        <v>2055</v>
      </c>
      <c r="EC3" s="28">
        <f t="shared" si="0"/>
        <v>2056</v>
      </c>
      <c r="ED3" s="28">
        <f t="shared" si="0"/>
        <v>2057</v>
      </c>
      <c r="EE3" s="28">
        <f t="shared" si="0"/>
        <v>2058</v>
      </c>
      <c r="EF3" s="28">
        <f t="shared" si="0"/>
        <v>2059</v>
      </c>
      <c r="EG3" s="28">
        <f t="shared" si="0"/>
        <v>2060</v>
      </c>
      <c r="EH3" s="28">
        <f t="shared" si="0"/>
        <v>2061</v>
      </c>
      <c r="EI3" s="28">
        <f t="shared" si="0"/>
        <v>2062</v>
      </c>
      <c r="EJ3" s="28">
        <f t="shared" si="0"/>
        <v>2063</v>
      </c>
      <c r="EK3" s="28">
        <f t="shared" si="0"/>
        <v>2064</v>
      </c>
      <c r="EL3" s="28">
        <f t="shared" si="0"/>
        <v>2065</v>
      </c>
      <c r="EM3" s="28">
        <f t="shared" si="0"/>
        <v>2066</v>
      </c>
      <c r="EN3" s="28">
        <f t="shared" si="0"/>
        <v>2067</v>
      </c>
      <c r="EO3" s="28">
        <f t="shared" si="0"/>
        <v>2068</v>
      </c>
      <c r="EP3" s="28">
        <f t="shared" si="0"/>
        <v>2069</v>
      </c>
      <c r="EQ3" s="28">
        <f t="shared" si="0"/>
        <v>2070</v>
      </c>
    </row>
    <row r="4" spans="2:147" s="26" customFormat="1">
      <c r="B4" s="29" t="s">
        <v>1159</v>
      </c>
      <c r="AW4" s="26">
        <v>513</v>
      </c>
      <c r="AX4" s="26">
        <v>328</v>
      </c>
      <c r="AY4" s="26">
        <v>467</v>
      </c>
      <c r="AZ4" s="26">
        <f>1863-SUM(AW4:AY4)</f>
        <v>555</v>
      </c>
      <c r="BA4" s="26">
        <v>469</v>
      </c>
      <c r="BB4" s="26">
        <v>517</v>
      </c>
      <c r="BC4" s="26">
        <v>525</v>
      </c>
      <c r="BD4" s="26">
        <f>2111-SUM(BA4:BC4)</f>
        <v>600</v>
      </c>
      <c r="BE4" s="26">
        <v>528</v>
      </c>
      <c r="BF4" s="26">
        <v>563</v>
      </c>
      <c r="BG4" s="26">
        <v>535</v>
      </c>
      <c r="BH4" s="26">
        <f>2279-SUM(BE4:BG4)</f>
        <v>653</v>
      </c>
      <c r="BI4" s="26">
        <v>566</v>
      </c>
      <c r="BJ4" s="26">
        <v>622</v>
      </c>
      <c r="BK4" s="26">
        <v>620</v>
      </c>
      <c r="BL4" s="26">
        <f>2534-SUM(BI4:BK4)</f>
        <v>726</v>
      </c>
      <c r="BM4" s="26">
        <v>667</v>
      </c>
      <c r="BN4" s="26">
        <v>698</v>
      </c>
      <c r="BO4" s="26">
        <v>679</v>
      </c>
      <c r="BP4" s="26">
        <f>2834-SUM(BM4:BO4)</f>
        <v>790</v>
      </c>
      <c r="BQ4" s="26">
        <v>730</v>
      </c>
      <c r="BR4" s="25"/>
      <c r="BS4" s="25"/>
      <c r="BT4" s="25"/>
      <c r="BU4" s="25"/>
      <c r="BV4" s="25"/>
      <c r="BW4" s="25"/>
      <c r="BX4" s="25"/>
      <c r="BY4" s="25"/>
      <c r="CR4" s="26">
        <v>1959</v>
      </c>
      <c r="CS4" s="2">
        <f t="shared" ref="CS4:CS8" si="1">SUM(AW4:AZ4)</f>
        <v>1863</v>
      </c>
      <c r="CT4" s="2">
        <f t="shared" ref="CT4:CT8" si="2">SUM(BA4:BD4)</f>
        <v>2111</v>
      </c>
      <c r="CU4" s="2">
        <v>2245</v>
      </c>
      <c r="CV4" s="2">
        <f t="shared" ref="CV4:CV8" si="3">SUM(BI4:BL4)</f>
        <v>2534</v>
      </c>
      <c r="CW4" s="2">
        <f>SUM(BM4:BP4)</f>
        <v>2834</v>
      </c>
      <c r="CX4" s="67">
        <f>CW4*(1+CX21)</f>
        <v>3145.7400000000002</v>
      </c>
      <c r="CY4" s="67">
        <f t="shared" ref="CY4:DG4" si="4">CX4*(1+CY21)</f>
        <v>3435.1480800000004</v>
      </c>
      <c r="CZ4" s="67">
        <f t="shared" si="4"/>
        <v>3744.3114072000008</v>
      </c>
      <c r="DA4" s="67">
        <f t="shared" si="4"/>
        <v>4028.8790741472012</v>
      </c>
      <c r="DB4" s="67">
        <f t="shared" si="4"/>
        <v>4310.9006093375056</v>
      </c>
      <c r="DC4" s="67">
        <f t="shared" si="4"/>
        <v>4595.4200495537816</v>
      </c>
      <c r="DD4" s="67">
        <f t="shared" si="4"/>
        <v>4875.7406725765622</v>
      </c>
      <c r="DE4" s="67">
        <f t="shared" si="4"/>
        <v>5129.2791875505436</v>
      </c>
      <c r="DF4" s="67">
        <f t="shared" si="4"/>
        <v>5354.9674718027682</v>
      </c>
      <c r="DG4" s="67">
        <f t="shared" si="4"/>
        <v>5515.6164959568514</v>
      </c>
      <c r="DH4" s="25"/>
      <c r="DI4" s="25"/>
      <c r="DJ4" s="25"/>
      <c r="DK4" s="25"/>
      <c r="DL4" s="25"/>
      <c r="DM4" s="25"/>
      <c r="DN4" s="25"/>
      <c r="DO4" s="25"/>
      <c r="DP4" s="25"/>
      <c r="DQ4" s="25"/>
      <c r="DR4" s="25"/>
      <c r="DS4" s="25"/>
      <c r="DT4" s="25"/>
      <c r="DU4" s="25"/>
      <c r="DV4" s="25"/>
      <c r="DW4" s="25"/>
      <c r="DX4" s="25"/>
      <c r="DY4" s="25"/>
      <c r="DZ4" s="25"/>
      <c r="EA4" s="25"/>
      <c r="EB4" s="25"/>
      <c r="EC4" s="25"/>
      <c r="ED4" s="25"/>
      <c r="EE4" s="25"/>
      <c r="EF4" s="25"/>
      <c r="EG4" s="25"/>
      <c r="EH4" s="25"/>
      <c r="EI4" s="25"/>
      <c r="EJ4" s="25"/>
      <c r="EK4" s="25"/>
      <c r="EL4" s="25"/>
      <c r="EM4" s="25"/>
      <c r="EN4" s="25"/>
      <c r="EO4" s="25"/>
      <c r="EP4" s="25"/>
      <c r="EQ4" s="25"/>
    </row>
    <row r="5" spans="2:147" s="26" customFormat="1">
      <c r="B5" s="29" t="s">
        <v>1160</v>
      </c>
      <c r="AW5" s="26">
        <v>455</v>
      </c>
      <c r="AX5" s="26">
        <v>316</v>
      </c>
      <c r="AY5" s="26">
        <v>467</v>
      </c>
      <c r="AZ5" s="26">
        <f>1763-SUM(AW5:AY5)</f>
        <v>525</v>
      </c>
      <c r="BA5" s="26">
        <v>469</v>
      </c>
      <c r="BB5" s="26">
        <v>518</v>
      </c>
      <c r="BC5" s="26">
        <v>525</v>
      </c>
      <c r="BD5" s="26">
        <f>2141-SUM(BA5:BC5)</f>
        <v>629</v>
      </c>
      <c r="BE5" s="26">
        <v>538</v>
      </c>
      <c r="BF5" s="26">
        <v>600</v>
      </c>
      <c r="BG5" s="26">
        <v>590</v>
      </c>
      <c r="BH5" s="26">
        <f>2725-SUM(BE5:BG5)</f>
        <v>997</v>
      </c>
      <c r="BI5" s="26">
        <v>707</v>
      </c>
      <c r="BJ5" s="26">
        <v>713</v>
      </c>
      <c r="BK5" s="26">
        <v>746</v>
      </c>
      <c r="BL5" s="26">
        <f>3068-SUM(BI5:BK5)</f>
        <v>902</v>
      </c>
      <c r="BM5" s="26">
        <v>778</v>
      </c>
      <c r="BN5" s="26">
        <v>768</v>
      </c>
      <c r="BO5" s="26">
        <v>837</v>
      </c>
      <c r="BP5" s="26">
        <f>3389-SUM(BM5:BO5)</f>
        <v>1006</v>
      </c>
      <c r="BQ5" s="26">
        <v>867</v>
      </c>
      <c r="BR5" s="25"/>
      <c r="BS5" s="25"/>
      <c r="BT5" s="25"/>
      <c r="BU5" s="25"/>
      <c r="BV5" s="25"/>
      <c r="BW5" s="25"/>
      <c r="BX5" s="25"/>
      <c r="BY5" s="25"/>
      <c r="CR5" s="26">
        <v>1983</v>
      </c>
      <c r="CS5" s="2">
        <f t="shared" si="1"/>
        <v>1763</v>
      </c>
      <c r="CT5" s="2">
        <f t="shared" si="2"/>
        <v>2141</v>
      </c>
      <c r="CU5" s="2">
        <v>2759</v>
      </c>
      <c r="CV5" s="2">
        <f t="shared" si="3"/>
        <v>3068</v>
      </c>
      <c r="CW5" s="2">
        <f t="shared" ref="CW5:CW8" si="5">SUM(BM5:BP5)</f>
        <v>3389</v>
      </c>
      <c r="CX5" s="67">
        <f>CW5*(1+CX22)</f>
        <v>3700.7880000000005</v>
      </c>
      <c r="CY5" s="67">
        <f t="shared" ref="CY5:DG8" si="6">CX5*(1+CY22)</f>
        <v>4118.9770440000002</v>
      </c>
      <c r="CZ5" s="67">
        <f t="shared" si="6"/>
        <v>4477.328046828</v>
      </c>
      <c r="DA5" s="67">
        <f t="shared" si="6"/>
        <v>4848.9462747147236</v>
      </c>
      <c r="DB5" s="67">
        <f t="shared" si="6"/>
        <v>5236.8619766919019</v>
      </c>
      <c r="DC5" s="67">
        <f t="shared" si="6"/>
        <v>5645.3372108738704</v>
      </c>
      <c r="DD5" s="67">
        <f t="shared" si="6"/>
        <v>6074.3828389002847</v>
      </c>
      <c r="DE5" s="67">
        <f t="shared" si="6"/>
        <v>6523.8871689789057</v>
      </c>
      <c r="DF5" s="67">
        <f t="shared" si="6"/>
        <v>6993.607045145387</v>
      </c>
      <c r="DG5" s="67">
        <f t="shared" si="6"/>
        <v>7483.1595383055646</v>
      </c>
      <c r="DH5" s="25"/>
      <c r="DI5" s="25"/>
      <c r="DJ5" s="25"/>
      <c r="DK5" s="25"/>
      <c r="DL5" s="25"/>
      <c r="DM5" s="25"/>
      <c r="DN5" s="25"/>
      <c r="DO5" s="25"/>
      <c r="DP5" s="25"/>
      <c r="DQ5" s="25"/>
      <c r="DR5" s="25"/>
      <c r="DS5" s="25"/>
      <c r="DT5" s="25"/>
      <c r="DU5" s="25"/>
      <c r="DV5" s="25"/>
      <c r="DW5" s="25"/>
      <c r="DX5" s="25"/>
      <c r="DY5" s="25"/>
      <c r="DZ5" s="25"/>
      <c r="EA5" s="25"/>
      <c r="EB5" s="25"/>
      <c r="EC5" s="25"/>
      <c r="ED5" s="25"/>
      <c r="EE5" s="25"/>
      <c r="EF5" s="25"/>
      <c r="EG5" s="25"/>
      <c r="EH5" s="25"/>
      <c r="EI5" s="25"/>
      <c r="EJ5" s="25"/>
      <c r="EK5" s="25"/>
      <c r="EL5" s="25"/>
      <c r="EM5" s="25"/>
      <c r="EN5" s="25"/>
      <c r="EO5" s="25"/>
      <c r="EP5" s="25"/>
      <c r="EQ5" s="25"/>
    </row>
    <row r="6" spans="2:147" s="26" customFormat="1">
      <c r="B6" s="29" t="s">
        <v>1161</v>
      </c>
      <c r="AW6" s="26">
        <v>587</v>
      </c>
      <c r="AX6" s="26">
        <v>632</v>
      </c>
      <c r="AY6" s="26">
        <v>600</v>
      </c>
      <c r="AZ6" s="26">
        <f>2524-SUM(AW6:AY6)</f>
        <v>705</v>
      </c>
      <c r="BA6" s="26">
        <v>622</v>
      </c>
      <c r="BB6" s="26">
        <v>640</v>
      </c>
      <c r="BC6" s="26">
        <v>636</v>
      </c>
      <c r="BD6" s="26">
        <f>2607-SUM(BA6:BC6)</f>
        <v>709</v>
      </c>
      <c r="BE6" s="26">
        <v>664</v>
      </c>
      <c r="BF6" s="26">
        <v>666</v>
      </c>
      <c r="BG6" s="26">
        <v>765</v>
      </c>
      <c r="BH6" s="26">
        <f>3031-SUM(BE6:BG6)</f>
        <v>936</v>
      </c>
      <c r="BI6" s="26">
        <v>778</v>
      </c>
      <c r="BJ6" s="26">
        <v>841</v>
      </c>
      <c r="BK6" s="26">
        <v>798</v>
      </c>
      <c r="BL6" s="26">
        <f>3459-SUM(BI6:BK6)</f>
        <v>1042</v>
      </c>
      <c r="BM6" s="26">
        <v>864</v>
      </c>
      <c r="BN6" s="26">
        <v>908</v>
      </c>
      <c r="BO6" s="26">
        <v>938</v>
      </c>
      <c r="BP6" s="26">
        <f>3852-SUM(BM6:BO6)</f>
        <v>1142</v>
      </c>
      <c r="BQ6" s="26">
        <v>945</v>
      </c>
      <c r="BR6" s="25"/>
      <c r="BS6" s="25"/>
      <c r="BT6" s="25"/>
      <c r="BU6" s="25"/>
      <c r="BV6" s="25"/>
      <c r="BW6" s="25"/>
      <c r="BX6" s="25"/>
      <c r="BY6" s="25"/>
      <c r="CR6" s="26">
        <v>2264</v>
      </c>
      <c r="CS6" s="2">
        <f t="shared" si="1"/>
        <v>2524</v>
      </c>
      <c r="CT6" s="2">
        <f t="shared" si="2"/>
        <v>2607</v>
      </c>
      <c r="CU6" s="2">
        <f t="shared" ref="CU6:CU7" si="7">SUM(BE6:BH6)</f>
        <v>3031</v>
      </c>
      <c r="CV6" s="2">
        <f t="shared" si="3"/>
        <v>3459</v>
      </c>
      <c r="CW6" s="2">
        <f t="shared" si="5"/>
        <v>3852</v>
      </c>
      <c r="CX6" s="67">
        <f>CW6*(1+CX23)</f>
        <v>4179.42</v>
      </c>
      <c r="CY6" s="67">
        <f t="shared" si="6"/>
        <v>4446.9028800000006</v>
      </c>
      <c r="CZ6" s="67">
        <f t="shared" si="6"/>
        <v>4722.6108585600005</v>
      </c>
      <c r="DA6" s="67">
        <f t="shared" si="6"/>
        <v>5005.9675100736004</v>
      </c>
      <c r="DB6" s="67">
        <f t="shared" si="6"/>
        <v>5296.3136256578691</v>
      </c>
      <c r="DC6" s="67">
        <f t="shared" si="6"/>
        <v>5592.9071886947104</v>
      </c>
      <c r="DD6" s="67">
        <f t="shared" si="6"/>
        <v>5894.9241768842248</v>
      </c>
      <c r="DE6" s="67">
        <f t="shared" si="6"/>
        <v>6201.4602340822048</v>
      </c>
      <c r="DF6" s="67">
        <f t="shared" si="6"/>
        <v>6511.5332457863151</v>
      </c>
      <c r="DG6" s="67">
        <f t="shared" si="6"/>
        <v>6837.1099080756312</v>
      </c>
      <c r="DH6" s="25"/>
      <c r="DI6" s="25"/>
      <c r="DJ6" s="25"/>
      <c r="DK6" s="25"/>
      <c r="DL6" s="25"/>
      <c r="DM6" s="25"/>
      <c r="DN6" s="25"/>
      <c r="DO6" s="25"/>
      <c r="DP6" s="25"/>
      <c r="DQ6" s="25"/>
      <c r="DR6" s="25"/>
      <c r="DS6" s="25"/>
      <c r="DT6" s="25"/>
      <c r="DU6" s="25"/>
      <c r="DV6" s="25"/>
      <c r="DW6" s="25"/>
      <c r="DX6" s="25"/>
      <c r="DY6" s="25"/>
      <c r="DZ6" s="25"/>
      <c r="EA6" s="25"/>
      <c r="EB6" s="25"/>
      <c r="EC6" s="25"/>
      <c r="ED6" s="25"/>
      <c r="EE6" s="25"/>
      <c r="EF6" s="25"/>
      <c r="EG6" s="25"/>
      <c r="EH6" s="25"/>
      <c r="EI6" s="25"/>
      <c r="EJ6" s="25"/>
      <c r="EK6" s="25"/>
      <c r="EL6" s="25"/>
      <c r="EM6" s="25"/>
      <c r="EN6" s="25"/>
      <c r="EO6" s="25"/>
      <c r="EP6" s="25"/>
      <c r="EQ6" s="25"/>
    </row>
    <row r="7" spans="2:147" s="26" customFormat="1">
      <c r="B7" s="29" t="s">
        <v>1162</v>
      </c>
      <c r="AW7" s="26">
        <v>67</v>
      </c>
      <c r="AX7" s="26">
        <v>48</v>
      </c>
      <c r="AY7" s="26">
        <v>66</v>
      </c>
      <c r="AZ7" s="26">
        <f>263-SUM(AW7:AY7)</f>
        <v>82</v>
      </c>
      <c r="BA7" s="26">
        <v>289</v>
      </c>
      <c r="BB7" s="26">
        <v>301</v>
      </c>
      <c r="BC7" s="26">
        <v>295</v>
      </c>
      <c r="BD7" s="26">
        <f>1188-SUM(BA7:BC7)</f>
        <v>303</v>
      </c>
      <c r="BE7" s="26">
        <v>301</v>
      </c>
      <c r="BF7" s="26">
        <v>306</v>
      </c>
      <c r="BG7" s="26">
        <v>294</v>
      </c>
      <c r="BH7" s="26">
        <f>1200-SUM(BE7:BG7)</f>
        <v>299</v>
      </c>
      <c r="BI7" s="26">
        <v>284</v>
      </c>
      <c r="BJ7" s="26">
        <v>311</v>
      </c>
      <c r="BK7" s="26">
        <v>311</v>
      </c>
      <c r="BL7" s="26">
        <f>1226-SUM(BI7:BK7)</f>
        <v>320</v>
      </c>
      <c r="BM7" s="26">
        <v>310</v>
      </c>
      <c r="BN7" s="26">
        <v>327</v>
      </c>
      <c r="BO7" s="26">
        <v>329</v>
      </c>
      <c r="BP7" s="26">
        <f>1307-SUM(BM7:BO7)</f>
        <v>341</v>
      </c>
      <c r="BQ7" s="26">
        <v>406</v>
      </c>
      <c r="BR7" s="25"/>
      <c r="BS7" s="25"/>
      <c r="BT7" s="25"/>
      <c r="BU7" s="25"/>
      <c r="BV7" s="25"/>
      <c r="BW7" s="25"/>
      <c r="BX7" s="25"/>
      <c r="BY7" s="25"/>
      <c r="CR7" s="26">
        <v>924</v>
      </c>
      <c r="CS7" s="2">
        <f t="shared" si="1"/>
        <v>263</v>
      </c>
      <c r="CT7" s="2">
        <f t="shared" si="2"/>
        <v>1188</v>
      </c>
      <c r="CU7" s="2">
        <f t="shared" si="7"/>
        <v>1200</v>
      </c>
      <c r="CV7" s="2">
        <f t="shared" si="3"/>
        <v>1226</v>
      </c>
      <c r="CW7" s="2">
        <f t="shared" si="5"/>
        <v>1307</v>
      </c>
      <c r="CX7" s="67">
        <f>CW7*(1+CX24)</f>
        <v>2025.8500000000001</v>
      </c>
      <c r="CY7" s="67">
        <f t="shared" si="6"/>
        <v>2309.4690000000005</v>
      </c>
      <c r="CZ7" s="67">
        <f t="shared" si="6"/>
        <v>2632.7946600000009</v>
      </c>
      <c r="DA7" s="67">
        <f t="shared" si="6"/>
        <v>2975.0579658000006</v>
      </c>
      <c r="DB7" s="67">
        <f t="shared" si="6"/>
        <v>3361.8155013540004</v>
      </c>
      <c r="DC7" s="67">
        <f t="shared" si="6"/>
        <v>3765.2333615164807</v>
      </c>
      <c r="DD7" s="67">
        <f t="shared" si="6"/>
        <v>4217.061364898459</v>
      </c>
      <c r="DE7" s="67">
        <f t="shared" si="6"/>
        <v>4680.9381150372901</v>
      </c>
      <c r="DF7" s="67">
        <f t="shared" si="6"/>
        <v>5195.8413076913921</v>
      </c>
      <c r="DG7" s="67">
        <f t="shared" si="6"/>
        <v>5715.425438460532</v>
      </c>
      <c r="DH7" s="25"/>
      <c r="DI7" s="25"/>
      <c r="DJ7" s="25"/>
      <c r="DK7" s="25"/>
      <c r="DL7" s="25"/>
      <c r="DM7" s="25"/>
      <c r="DN7" s="25"/>
      <c r="DO7" s="25"/>
      <c r="DP7" s="25"/>
      <c r="DQ7" s="25"/>
      <c r="DR7" s="25"/>
      <c r="DS7" s="25"/>
      <c r="DT7" s="25"/>
      <c r="DU7" s="25"/>
      <c r="DV7" s="25"/>
      <c r="DW7" s="25"/>
      <c r="DX7" s="25"/>
      <c r="DY7" s="25"/>
      <c r="DZ7" s="25"/>
      <c r="EA7" s="25"/>
      <c r="EB7" s="25"/>
      <c r="EC7" s="25"/>
      <c r="ED7" s="25"/>
      <c r="EE7" s="25"/>
      <c r="EF7" s="25"/>
      <c r="EG7" s="25"/>
      <c r="EH7" s="25"/>
      <c r="EI7" s="25"/>
      <c r="EJ7" s="25"/>
      <c r="EK7" s="25"/>
      <c r="EL7" s="25"/>
      <c r="EM7" s="25"/>
      <c r="EN7" s="25"/>
      <c r="EO7" s="25"/>
      <c r="EP7" s="25"/>
      <c r="EQ7" s="25"/>
    </row>
    <row r="8" spans="2:147" s="26" customFormat="1">
      <c r="B8" s="29" t="s">
        <v>1163</v>
      </c>
      <c r="AW8" s="26">
        <v>483</v>
      </c>
      <c r="AX8" s="26">
        <v>369</v>
      </c>
      <c r="AY8" s="26">
        <v>518</v>
      </c>
      <c r="AZ8" s="26">
        <f>1682-SUM(AW8:AY8)</f>
        <v>312</v>
      </c>
      <c r="BA8" s="26">
        <v>281</v>
      </c>
      <c r="BB8" s="26">
        <v>310</v>
      </c>
      <c r="BC8" s="26">
        <v>299</v>
      </c>
      <c r="BD8" s="26">
        <f>1214-SUM(BA8:BC8)</f>
        <v>324</v>
      </c>
      <c r="BE8" s="26">
        <v>323</v>
      </c>
      <c r="BF8" s="26">
        <v>337</v>
      </c>
      <c r="BG8" s="26">
        <v>332</v>
      </c>
      <c r="BH8" s="26">
        <f>1376-SUM(BE8:BG8)</f>
        <v>384</v>
      </c>
      <c r="BI8" s="26">
        <v>355</v>
      </c>
      <c r="BJ8" s="26">
        <v>373</v>
      </c>
      <c r="BK8" s="26">
        <v>384</v>
      </c>
      <c r="BL8" s="26">
        <f>1876-SUM(BI8:BK8)</f>
        <v>764</v>
      </c>
      <c r="BM8" s="26">
        <v>478</v>
      </c>
      <c r="BN8" s="26">
        <v>416</v>
      </c>
      <c r="BO8" s="26">
        <v>441</v>
      </c>
      <c r="BP8" s="26">
        <f>2136-SUM(BM8:BO8)</f>
        <v>801</v>
      </c>
      <c r="BQ8" s="26">
        <v>563</v>
      </c>
      <c r="BR8" s="25"/>
      <c r="BS8" s="25"/>
      <c r="BT8" s="25"/>
      <c r="BU8" s="25"/>
      <c r="BV8" s="25"/>
      <c r="BW8" s="25"/>
      <c r="BX8" s="25"/>
      <c r="BY8" s="25"/>
      <c r="CR8" s="26">
        <v>1059</v>
      </c>
      <c r="CS8" s="2">
        <f t="shared" si="1"/>
        <v>1682</v>
      </c>
      <c r="CT8" s="2">
        <f t="shared" si="2"/>
        <v>1214</v>
      </c>
      <c r="CU8" s="2">
        <v>1658</v>
      </c>
      <c r="CV8" s="2">
        <f t="shared" si="3"/>
        <v>1876</v>
      </c>
      <c r="CW8" s="2">
        <f t="shared" si="5"/>
        <v>2136</v>
      </c>
      <c r="CX8" s="67">
        <f>CW8*(1+CX25)</f>
        <v>2403</v>
      </c>
      <c r="CY8" s="67">
        <f t="shared" si="6"/>
        <v>2643.3</v>
      </c>
      <c r="CZ8" s="67">
        <f t="shared" si="6"/>
        <v>2854.7640000000006</v>
      </c>
      <c r="DA8" s="67">
        <f t="shared" si="6"/>
        <v>3068.8713000000007</v>
      </c>
      <c r="DB8" s="67">
        <f t="shared" si="6"/>
        <v>3283.6922910000008</v>
      </c>
      <c r="DC8" s="67">
        <f t="shared" si="6"/>
        <v>3503.6996744970006</v>
      </c>
      <c r="DD8" s="67">
        <f t="shared" si="6"/>
        <v>3724.4327539903115</v>
      </c>
      <c r="DE8" s="67">
        <f t="shared" si="6"/>
        <v>3955.3475847377113</v>
      </c>
      <c r="DF8" s="67">
        <f t="shared" si="6"/>
        <v>4196.623787406711</v>
      </c>
      <c r="DG8" s="67">
        <f t="shared" si="6"/>
        <v>4616.2861661473826</v>
      </c>
      <c r="DH8" s="25"/>
      <c r="DI8" s="25"/>
      <c r="DJ8" s="25"/>
      <c r="DK8" s="25"/>
      <c r="DL8" s="25"/>
      <c r="DM8" s="25"/>
      <c r="DN8" s="25"/>
      <c r="DO8" s="25"/>
      <c r="DP8" s="25"/>
      <c r="DQ8" s="25"/>
      <c r="DR8" s="25"/>
      <c r="DS8" s="25"/>
      <c r="DT8" s="25"/>
      <c r="DU8" s="25"/>
      <c r="DV8" s="25"/>
      <c r="DW8" s="25"/>
      <c r="DX8" s="25"/>
      <c r="DY8" s="25"/>
      <c r="DZ8" s="25"/>
      <c r="EA8" s="25"/>
      <c r="EB8" s="25"/>
      <c r="EC8" s="25"/>
      <c r="ED8" s="25"/>
      <c r="EE8" s="25"/>
      <c r="EF8" s="25"/>
      <c r="EG8" s="25"/>
      <c r="EH8" s="25"/>
      <c r="EI8" s="25"/>
      <c r="EJ8" s="25"/>
      <c r="EK8" s="25"/>
      <c r="EL8" s="25"/>
      <c r="EM8" s="25"/>
      <c r="EN8" s="25"/>
      <c r="EO8" s="25"/>
      <c r="EP8" s="25"/>
      <c r="EQ8" s="25"/>
    </row>
    <row r="9" spans="2:147" s="27" customFormat="1" ht="15">
      <c r="B9" s="27" t="s">
        <v>1164</v>
      </c>
      <c r="AW9" s="27">
        <f>SUM(AW4:AW8)</f>
        <v>2105</v>
      </c>
      <c r="AX9" s="27">
        <f>SUM(AX4:AX8)</f>
        <v>1693</v>
      </c>
      <c r="AY9" s="27">
        <f>SUM(AY4:AY8)</f>
        <v>2118</v>
      </c>
      <c r="AZ9" s="27">
        <f>SUM(AZ4:AZ8)+250</f>
        <v>2429</v>
      </c>
      <c r="BA9" s="27">
        <f>SUM(BA4:BA8)+61</f>
        <v>2191</v>
      </c>
      <c r="BB9" s="27">
        <f>SUM(BB4:BB8)+73</f>
        <v>2359</v>
      </c>
      <c r="BC9" s="27">
        <f>SUM(BC4:BC8)+69</f>
        <v>2349</v>
      </c>
      <c r="BD9" s="27">
        <f>SUM(BD4:BD8)+277-61-73-69</f>
        <v>2639</v>
      </c>
      <c r="BE9" s="27">
        <f>SUM(BE4:BE8)+69</f>
        <v>2423</v>
      </c>
      <c r="BF9" s="27">
        <f>SUM(BF4:BF8)+77</f>
        <v>2549</v>
      </c>
      <c r="BG9" s="27">
        <f>SUM(BG4:BG8)+72</f>
        <v>2588</v>
      </c>
      <c r="BH9" s="27">
        <f>SUM(BH4:BH8)-69-72-77</f>
        <v>3051</v>
      </c>
      <c r="BI9" s="27">
        <f t="shared" ref="BI9:BQ9" si="8">SUM(BI4:BI8)</f>
        <v>2690</v>
      </c>
      <c r="BJ9" s="27">
        <f t="shared" si="8"/>
        <v>2860</v>
      </c>
      <c r="BK9" s="27">
        <f t="shared" si="8"/>
        <v>2859</v>
      </c>
      <c r="BL9" s="27">
        <f t="shared" si="8"/>
        <v>3754</v>
      </c>
      <c r="BM9" s="27">
        <f t="shared" si="8"/>
        <v>3097</v>
      </c>
      <c r="BN9" s="27">
        <f t="shared" si="8"/>
        <v>3117</v>
      </c>
      <c r="BO9" s="27">
        <f t="shared" si="8"/>
        <v>3224</v>
      </c>
      <c r="BP9" s="27">
        <f t="shared" si="8"/>
        <v>4080</v>
      </c>
      <c r="BQ9" s="27">
        <f t="shared" si="8"/>
        <v>3511</v>
      </c>
      <c r="BR9" s="28"/>
      <c r="BS9" s="28"/>
      <c r="BT9" s="28"/>
      <c r="BU9" s="28"/>
      <c r="BV9" s="28"/>
      <c r="BW9" s="28"/>
      <c r="BX9" s="28"/>
      <c r="BY9" s="28"/>
      <c r="CR9" s="1">
        <f>SUM(CR4:CR8)+286</f>
        <v>8475</v>
      </c>
      <c r="CS9" s="1">
        <f>SUM(CS4:CS8)+250</f>
        <v>8345</v>
      </c>
      <c r="CT9" s="1">
        <f>SUM(CT4:CT8)+277</f>
        <v>9538</v>
      </c>
      <c r="CU9" s="1">
        <f>SUM(CU4:CU8)</f>
        <v>10893</v>
      </c>
      <c r="CV9" s="1">
        <f>SUM(CV4:CV8)</f>
        <v>12163</v>
      </c>
      <c r="CW9" s="1">
        <f>SUM(CW4:CW8)</f>
        <v>13518</v>
      </c>
      <c r="CX9" s="68">
        <f>SUM(CX4:CX8)</f>
        <v>15454.798000000001</v>
      </c>
      <c r="CY9" s="68">
        <f t="shared" ref="CY9:DG9" si="9">SUM(CY4:CY8)</f>
        <v>16953.797004</v>
      </c>
      <c r="CZ9" s="68">
        <f t="shared" si="9"/>
        <v>18431.808972588005</v>
      </c>
      <c r="DA9" s="68">
        <f t="shared" si="9"/>
        <v>19927.722124735526</v>
      </c>
      <c r="DB9" s="68">
        <f t="shared" si="9"/>
        <v>21489.584004041277</v>
      </c>
      <c r="DC9" s="68">
        <f t="shared" si="9"/>
        <v>23102.597485135848</v>
      </c>
      <c r="DD9" s="68">
        <f t="shared" si="9"/>
        <v>24786.541807249843</v>
      </c>
      <c r="DE9" s="68">
        <f t="shared" si="9"/>
        <v>26490.912290386656</v>
      </c>
      <c r="DF9" s="68">
        <f t="shared" si="9"/>
        <v>28252.572857832576</v>
      </c>
      <c r="DG9" s="68">
        <f t="shared" si="9"/>
        <v>30167.597546945963</v>
      </c>
      <c r="DH9" s="28"/>
      <c r="DI9" s="28"/>
      <c r="DJ9" s="28"/>
      <c r="DK9" s="28"/>
      <c r="DL9" s="28"/>
      <c r="DM9" s="28"/>
      <c r="DN9" s="28"/>
      <c r="DO9" s="28"/>
      <c r="DP9" s="28"/>
      <c r="DQ9" s="28"/>
      <c r="DR9" s="28"/>
      <c r="DS9" s="28"/>
      <c r="DT9" s="28"/>
      <c r="DU9" s="28"/>
      <c r="DV9" s="28"/>
      <c r="DW9" s="28"/>
      <c r="DX9" s="28"/>
      <c r="DY9" s="28"/>
      <c r="DZ9" s="28"/>
      <c r="EA9" s="28"/>
      <c r="EB9" s="28"/>
      <c r="EC9" s="28"/>
      <c r="ED9" s="28"/>
      <c r="EE9" s="28"/>
      <c r="EF9" s="28"/>
      <c r="EG9" s="28"/>
      <c r="EH9" s="28"/>
      <c r="EI9" s="28"/>
      <c r="EJ9" s="28"/>
      <c r="EK9" s="28"/>
      <c r="EL9" s="28"/>
      <c r="EM9" s="28"/>
      <c r="EN9" s="28"/>
      <c r="EO9" s="28"/>
      <c r="EP9" s="28"/>
      <c r="EQ9" s="28"/>
    </row>
    <row r="10" spans="2:147" s="26" customFormat="1">
      <c r="B10" s="29" t="s">
        <v>1165</v>
      </c>
      <c r="AW10" s="26">
        <v>432</v>
      </c>
      <c r="AX10" s="26">
        <v>241</v>
      </c>
      <c r="AY10" s="26">
        <v>435</v>
      </c>
      <c r="AZ10" s="26">
        <f>1567-SUM(AW10:AY10)</f>
        <v>459</v>
      </c>
      <c r="BA10" s="26">
        <v>412</v>
      </c>
      <c r="BB10" s="26">
        <v>474</v>
      </c>
      <c r="BC10" s="26">
        <v>439</v>
      </c>
      <c r="BD10" s="26">
        <f>1848-SUM(BA10:BC10)</f>
        <v>523</v>
      </c>
      <c r="BE10" s="26">
        <v>464</v>
      </c>
      <c r="BF10" s="26">
        <v>500</v>
      </c>
      <c r="BG10" s="26">
        <v>481</v>
      </c>
      <c r="BH10" s="26">
        <f>1997-SUM(BE10:BG10)</f>
        <v>552</v>
      </c>
      <c r="BI10" s="26">
        <v>566</v>
      </c>
      <c r="BJ10" s="26">
        <v>562</v>
      </c>
      <c r="BK10" s="26">
        <v>515</v>
      </c>
      <c r="BL10" s="26">
        <f>2273-SUM(BI10:BK10)</f>
        <v>630</v>
      </c>
      <c r="BM10" s="26">
        <v>588</v>
      </c>
      <c r="BN10" s="26">
        <v>602</v>
      </c>
      <c r="BO10" s="26">
        <v>570</v>
      </c>
      <c r="BP10" s="26">
        <f>2447-SUM(BM10:BO10)</f>
        <v>687</v>
      </c>
      <c r="BQ10" s="26">
        <v>639</v>
      </c>
      <c r="BR10" s="25"/>
      <c r="BS10" s="25"/>
      <c r="BT10" s="25"/>
      <c r="BU10" s="25"/>
      <c r="BV10" s="25"/>
      <c r="BW10" s="25"/>
      <c r="BX10" s="25"/>
      <c r="BY10" s="25"/>
      <c r="CR10" s="26">
        <v>1815</v>
      </c>
      <c r="CS10" s="2">
        <f t="shared" ref="CS10:CS14" si="10">SUM(AW10:AZ10)</f>
        <v>1567</v>
      </c>
      <c r="CT10" s="2">
        <v>1848</v>
      </c>
      <c r="CU10" s="2">
        <v>1997</v>
      </c>
      <c r="CV10" s="2">
        <v>2273</v>
      </c>
      <c r="CW10" s="2">
        <v>2447</v>
      </c>
      <c r="CX10" s="67">
        <f>CW10*(1+CX27)</f>
        <v>2593.8200000000002</v>
      </c>
      <c r="CY10" s="67">
        <f t="shared" ref="CY10:DG10" si="11">CX10*(1+CY27)</f>
        <v>2775.3874000000005</v>
      </c>
      <c r="CZ10" s="67">
        <f t="shared" si="11"/>
        <v>2891.9536708000005</v>
      </c>
      <c r="DA10" s="67">
        <f t="shared" si="11"/>
        <v>3007.6318176320005</v>
      </c>
      <c r="DB10" s="67">
        <f t="shared" si="11"/>
        <v>3127.9370903372806</v>
      </c>
      <c r="DC10" s="67">
        <f t="shared" si="11"/>
        <v>3253.054573950772</v>
      </c>
      <c r="DD10" s="67">
        <f t="shared" si="11"/>
        <v>3383.1767569088029</v>
      </c>
      <c r="DE10" s="67">
        <f t="shared" si="11"/>
        <v>3518.5038271851549</v>
      </c>
      <c r="DF10" s="67">
        <f t="shared" si="11"/>
        <v>3659.2439802725612</v>
      </c>
      <c r="DG10" s="67">
        <f t="shared" si="11"/>
        <v>3805.6137394834636</v>
      </c>
      <c r="DH10" s="25"/>
      <c r="DI10" s="25"/>
      <c r="DJ10" s="25"/>
      <c r="DK10" s="25"/>
      <c r="DL10" s="25"/>
      <c r="DM10" s="25"/>
      <c r="DN10" s="25"/>
      <c r="DO10" s="25"/>
      <c r="DP10" s="25"/>
      <c r="DQ10" s="25"/>
      <c r="DR10" s="25"/>
      <c r="DS10" s="25"/>
      <c r="DT10" s="25"/>
      <c r="DU10" s="25"/>
      <c r="DV10" s="25"/>
      <c r="DW10" s="25"/>
      <c r="DX10" s="25"/>
      <c r="DY10" s="25"/>
      <c r="DZ10" s="25"/>
      <c r="EA10" s="25"/>
      <c r="EB10" s="25"/>
      <c r="EC10" s="25"/>
      <c r="ED10" s="25"/>
      <c r="EE10" s="25"/>
      <c r="EF10" s="25"/>
      <c r="EG10" s="25"/>
      <c r="EH10" s="25"/>
      <c r="EI10" s="25"/>
      <c r="EJ10" s="25"/>
      <c r="EK10" s="25"/>
      <c r="EL10" s="25"/>
      <c r="EM10" s="25"/>
      <c r="EN10" s="25"/>
      <c r="EO10" s="25"/>
      <c r="EP10" s="25"/>
      <c r="EQ10" s="25"/>
    </row>
    <row r="11" spans="2:147" s="26" customFormat="1">
      <c r="B11" s="29" t="s">
        <v>1166</v>
      </c>
      <c r="AW11" s="26">
        <v>316</v>
      </c>
      <c r="AX11" s="26">
        <v>216</v>
      </c>
      <c r="AY11" s="26">
        <v>334</v>
      </c>
      <c r="AZ11" s="26">
        <f>1206-SUM(AW11:AY11)</f>
        <v>340</v>
      </c>
      <c r="BA11" s="26">
        <v>309</v>
      </c>
      <c r="BB11" s="26">
        <v>353</v>
      </c>
      <c r="BC11" s="26">
        <v>328</v>
      </c>
      <c r="BD11" s="26">
        <f>1342-SUM(BA11:BC11)</f>
        <v>352</v>
      </c>
      <c r="BE11" s="26">
        <v>327</v>
      </c>
      <c r="BF11" s="26">
        <v>364</v>
      </c>
      <c r="BG11" s="26">
        <v>347</v>
      </c>
      <c r="BH11" s="26">
        <f>1413-SUM(BE11:BG11)</f>
        <v>375</v>
      </c>
      <c r="BI11" s="26">
        <v>375</v>
      </c>
      <c r="BJ11" s="26">
        <v>393</v>
      </c>
      <c r="BK11" s="26">
        <v>362</v>
      </c>
      <c r="BL11" s="26">
        <f>1544-SUM(BI11:BK11)</f>
        <v>414</v>
      </c>
      <c r="BM11" s="26">
        <v>393</v>
      </c>
      <c r="BN11" s="26">
        <v>428</v>
      </c>
      <c r="BO11" s="26">
        <v>420</v>
      </c>
      <c r="BP11" s="26">
        <f>1704-SUM(BM11:BO11)</f>
        <v>463</v>
      </c>
      <c r="BQ11" s="26">
        <v>443</v>
      </c>
      <c r="BR11" s="25"/>
      <c r="BS11" s="25"/>
      <c r="BT11" s="25"/>
      <c r="BU11" s="25"/>
      <c r="BV11" s="25"/>
      <c r="BW11" s="25"/>
      <c r="BX11" s="25"/>
      <c r="BY11" s="25"/>
      <c r="CR11" s="26">
        <v>1383</v>
      </c>
      <c r="CS11" s="2">
        <f t="shared" si="10"/>
        <v>1206</v>
      </c>
      <c r="CT11" s="2">
        <v>1342</v>
      </c>
      <c r="CU11" s="2">
        <v>1413</v>
      </c>
      <c r="CV11" s="2">
        <v>1544</v>
      </c>
      <c r="CW11" s="2">
        <v>1704</v>
      </c>
      <c r="CX11" s="67">
        <f>CW11*(1+CX28)</f>
        <v>1848.84</v>
      </c>
      <c r="CY11" s="67">
        <f t="shared" ref="CY11:DG11" si="12">CX11*(1+CY28)</f>
        <v>1994.8983599999999</v>
      </c>
      <c r="CZ11" s="67">
        <f t="shared" si="12"/>
        <v>2158.4800255200003</v>
      </c>
      <c r="DA11" s="67">
        <f t="shared" si="12"/>
        <v>2266.4040267960004</v>
      </c>
      <c r="DB11" s="67">
        <f t="shared" si="12"/>
        <v>2379.7242281358003</v>
      </c>
      <c r="DC11" s="67">
        <f t="shared" si="12"/>
        <v>2474.9131972612327</v>
      </c>
      <c r="DD11" s="67">
        <f t="shared" si="12"/>
        <v>2573.9097251516819</v>
      </c>
      <c r="DE11" s="67">
        <f t="shared" si="12"/>
        <v>2651.1270169062323</v>
      </c>
      <c r="DF11" s="67">
        <f t="shared" si="12"/>
        <v>2730.6608274134192</v>
      </c>
      <c r="DG11" s="67">
        <f t="shared" si="12"/>
        <v>2812.5806522358216</v>
      </c>
      <c r="DH11" s="25"/>
      <c r="DI11" s="25"/>
      <c r="DJ11" s="25"/>
      <c r="DK11" s="25"/>
      <c r="DL11" s="25"/>
      <c r="DM11" s="25"/>
      <c r="DN11" s="25"/>
      <c r="DO11" s="25"/>
      <c r="DP11" s="25"/>
      <c r="DQ11" s="25"/>
      <c r="DR11" s="25"/>
      <c r="DS11" s="25"/>
      <c r="DT11" s="25"/>
      <c r="DU11" s="25"/>
      <c r="DV11" s="25"/>
      <c r="DW11" s="25"/>
      <c r="DX11" s="25"/>
      <c r="DY11" s="25"/>
      <c r="DZ11" s="25"/>
      <c r="EA11" s="25"/>
      <c r="EB11" s="25"/>
      <c r="EC11" s="25"/>
      <c r="ED11" s="25"/>
      <c r="EE11" s="25"/>
      <c r="EF11" s="25"/>
      <c r="EG11" s="25"/>
      <c r="EH11" s="25"/>
      <c r="EI11" s="25"/>
      <c r="EJ11" s="25"/>
      <c r="EK11" s="25"/>
      <c r="EL11" s="25"/>
      <c r="EM11" s="25"/>
      <c r="EN11" s="25"/>
      <c r="EO11" s="25"/>
      <c r="EP11" s="25"/>
      <c r="EQ11" s="25"/>
    </row>
    <row r="12" spans="2:147" s="26" customFormat="1">
      <c r="B12" s="29" t="s">
        <v>1167</v>
      </c>
      <c r="AW12" s="26">
        <v>392</v>
      </c>
      <c r="AX12" s="26">
        <v>330</v>
      </c>
      <c r="AY12" s="26">
        <v>430</v>
      </c>
      <c r="AZ12" s="26">
        <f>1722-SUM(AW12:AY12)</f>
        <v>570</v>
      </c>
      <c r="BA12" s="26">
        <v>640</v>
      </c>
      <c r="BB12" s="26">
        <v>674</v>
      </c>
      <c r="BC12" s="26">
        <v>639</v>
      </c>
      <c r="BD12" s="26">
        <f>2664-SUM(BA12:BC12)</f>
        <v>711</v>
      </c>
      <c r="BE12" s="26">
        <v>685</v>
      </c>
      <c r="BF12" s="26">
        <v>676</v>
      </c>
      <c r="BG12" s="26">
        <v>672</v>
      </c>
      <c r="BH12" s="26">
        <f>2807-SUM(BE12:BG12)</f>
        <v>774</v>
      </c>
      <c r="BI12" s="26">
        <v>769</v>
      </c>
      <c r="BJ12" s="26">
        <v>766</v>
      </c>
      <c r="BK12" s="26">
        <v>752</v>
      </c>
      <c r="BL12" s="26">
        <f>3147-SUM(BI12:BK12)</f>
        <v>860</v>
      </c>
      <c r="BM12" s="26">
        <v>830</v>
      </c>
      <c r="BN12" s="26">
        <v>832</v>
      </c>
      <c r="BO12" s="26">
        <v>849</v>
      </c>
      <c r="BP12" s="26">
        <f>3507-SUM(BM12:BO12)</f>
        <v>996</v>
      </c>
      <c r="BQ12" s="26">
        <v>945</v>
      </c>
      <c r="BR12" s="25"/>
      <c r="BS12" s="25"/>
      <c r="BT12" s="25"/>
      <c r="BU12" s="25"/>
      <c r="BV12" s="25"/>
      <c r="BW12" s="25"/>
      <c r="BX12" s="25"/>
      <c r="BY12" s="25"/>
      <c r="CR12" s="26">
        <v>1639</v>
      </c>
      <c r="CS12" s="2">
        <f t="shared" si="10"/>
        <v>1722</v>
      </c>
      <c r="CT12" s="2">
        <v>2664</v>
      </c>
      <c r="CU12" s="2">
        <v>2807</v>
      </c>
      <c r="CV12" s="2">
        <v>3147</v>
      </c>
      <c r="CW12" s="2">
        <v>3507</v>
      </c>
      <c r="CX12" s="67">
        <f>CW12*(1+CX29)</f>
        <v>3878.7420000000002</v>
      </c>
      <c r="CY12" s="67">
        <f t="shared" ref="CY12:DG12" si="13">CX12*(1+CY29)</f>
        <v>4247.2224900000001</v>
      </c>
      <c r="CZ12" s="67">
        <f t="shared" si="13"/>
        <v>4587.0002892000002</v>
      </c>
      <c r="DA12" s="67">
        <f t="shared" si="13"/>
        <v>4908.0903094440009</v>
      </c>
      <c r="DB12" s="67">
        <f t="shared" si="13"/>
        <v>5251.656631105081</v>
      </c>
      <c r="DC12" s="67">
        <f t="shared" si="13"/>
        <v>5619.2725952824367</v>
      </c>
      <c r="DD12" s="67">
        <f t="shared" si="13"/>
        <v>6001.3831317616423</v>
      </c>
      <c r="DE12" s="67">
        <f t="shared" si="13"/>
        <v>6391.4730353261484</v>
      </c>
      <c r="DF12" s="67">
        <f t="shared" si="13"/>
        <v>6806.9187826223479</v>
      </c>
      <c r="DG12" s="67">
        <f t="shared" si="13"/>
        <v>7235.7546659275558</v>
      </c>
      <c r="DH12" s="25"/>
      <c r="DI12" s="25"/>
      <c r="DJ12" s="25"/>
      <c r="DK12" s="25"/>
      <c r="DL12" s="25"/>
      <c r="DM12" s="25"/>
      <c r="DN12" s="25"/>
      <c r="DO12" s="25"/>
      <c r="DP12" s="25"/>
      <c r="DQ12" s="25"/>
      <c r="DR12" s="25"/>
      <c r="DS12" s="25"/>
      <c r="DT12" s="25"/>
      <c r="DU12" s="25"/>
      <c r="DV12" s="25"/>
      <c r="DW12" s="25"/>
      <c r="DX12" s="25"/>
      <c r="DY12" s="25"/>
      <c r="DZ12" s="25"/>
      <c r="EA12" s="25"/>
      <c r="EB12" s="25"/>
      <c r="EC12" s="25"/>
      <c r="ED12" s="25"/>
      <c r="EE12" s="25"/>
      <c r="EF12" s="25"/>
      <c r="EG12" s="25"/>
      <c r="EH12" s="25"/>
      <c r="EI12" s="25"/>
      <c r="EJ12" s="25"/>
      <c r="EK12" s="25"/>
      <c r="EL12" s="25"/>
      <c r="EM12" s="25"/>
      <c r="EN12" s="25"/>
      <c r="EO12" s="25"/>
      <c r="EP12" s="25"/>
      <c r="EQ12" s="25"/>
    </row>
    <row r="13" spans="2:147" s="26" customFormat="1">
      <c r="B13" s="29" t="s">
        <v>1168</v>
      </c>
      <c r="AW13" s="26">
        <v>261</v>
      </c>
      <c r="AX13" s="26">
        <v>177</v>
      </c>
      <c r="AY13" s="26">
        <v>302</v>
      </c>
      <c r="AZ13" s="26">
        <f>1047-SUM(AW13:AY13)</f>
        <v>307</v>
      </c>
      <c r="BA13" s="26">
        <v>278</v>
      </c>
      <c r="BB13" s="26">
        <v>307</v>
      </c>
      <c r="BC13" s="26">
        <v>282</v>
      </c>
      <c r="BD13" s="26">
        <f>1167-SUM(BA13:BC13)</f>
        <v>300</v>
      </c>
      <c r="BE13" s="26">
        <v>279</v>
      </c>
      <c r="BF13" s="26">
        <v>290</v>
      </c>
      <c r="BG13" s="26">
        <v>280</v>
      </c>
      <c r="BH13" s="26">
        <f>1146-SUM(BE13:BG13)</f>
        <v>297</v>
      </c>
      <c r="BI13" s="26">
        <v>284</v>
      </c>
      <c r="BJ13" s="26">
        <v>296</v>
      </c>
      <c r="BK13" s="26">
        <v>291</v>
      </c>
      <c r="BL13" s="26">
        <f>993-SUM(BI13:BK13)</f>
        <v>122</v>
      </c>
      <c r="BM13" s="26">
        <v>171</v>
      </c>
      <c r="BN13" s="26">
        <v>307</v>
      </c>
      <c r="BO13" s="26">
        <v>304</v>
      </c>
      <c r="BP13" s="26">
        <f>867-SUM(BM13:BO13)</f>
        <v>85</v>
      </c>
      <c r="BQ13" s="26">
        <v>166</v>
      </c>
      <c r="BR13" s="25"/>
      <c r="BS13" s="25"/>
      <c r="BT13" s="25"/>
      <c r="BU13" s="25"/>
      <c r="BV13" s="25"/>
      <c r="BW13" s="25"/>
      <c r="BX13" s="25"/>
      <c r="BY13" s="25"/>
      <c r="CR13" s="26">
        <v>1157</v>
      </c>
      <c r="CS13" s="2">
        <f t="shared" si="10"/>
        <v>1047</v>
      </c>
      <c r="CT13" s="2">
        <v>1167</v>
      </c>
      <c r="CU13" s="2">
        <v>733</v>
      </c>
      <c r="CV13" s="2">
        <v>713</v>
      </c>
      <c r="CW13" s="2">
        <v>707</v>
      </c>
      <c r="CX13" s="67">
        <f>CW13*(1+CX30)</f>
        <v>714.07</v>
      </c>
      <c r="CY13" s="67">
        <f t="shared" ref="CY13:DG13" si="14">CX13*(1+CY30)</f>
        <v>678.36649999999997</v>
      </c>
      <c r="CZ13" s="67">
        <f t="shared" si="14"/>
        <v>664.79917</v>
      </c>
      <c r="DA13" s="67">
        <f t="shared" si="14"/>
        <v>658.15117829999997</v>
      </c>
      <c r="DB13" s="67">
        <f t="shared" si="14"/>
        <v>651.56966651699997</v>
      </c>
      <c r="DC13" s="67">
        <f t="shared" si="14"/>
        <v>645.05396985182995</v>
      </c>
      <c r="DD13" s="67">
        <f t="shared" si="14"/>
        <v>638.60343015331159</v>
      </c>
      <c r="DE13" s="67">
        <f t="shared" si="14"/>
        <v>632.21739585177852</v>
      </c>
      <c r="DF13" s="67">
        <f t="shared" si="14"/>
        <v>625.89522189326078</v>
      </c>
      <c r="DG13" s="67">
        <f t="shared" si="14"/>
        <v>619.63626967432822</v>
      </c>
      <c r="DH13" s="25"/>
      <c r="DI13" s="25"/>
      <c r="DJ13" s="25"/>
      <c r="DK13" s="25"/>
      <c r="DL13" s="25"/>
      <c r="DM13" s="25"/>
      <c r="DN13" s="25"/>
      <c r="DO13" s="25"/>
      <c r="DP13" s="25"/>
      <c r="DQ13" s="25"/>
      <c r="DR13" s="25"/>
      <c r="DS13" s="25"/>
      <c r="DT13" s="25"/>
      <c r="DU13" s="25"/>
      <c r="DV13" s="25"/>
      <c r="DW13" s="25"/>
      <c r="DX13" s="25"/>
      <c r="DY13" s="25"/>
      <c r="DZ13" s="25"/>
      <c r="EA13" s="25"/>
      <c r="EB13" s="25"/>
      <c r="EC13" s="25"/>
      <c r="ED13" s="25"/>
      <c r="EE13" s="25"/>
      <c r="EF13" s="25"/>
      <c r="EG13" s="25"/>
      <c r="EH13" s="25"/>
      <c r="EI13" s="25"/>
      <c r="EJ13" s="25"/>
      <c r="EK13" s="25"/>
      <c r="EL13" s="25"/>
      <c r="EM13" s="25"/>
      <c r="EN13" s="25"/>
      <c r="EO13" s="25"/>
      <c r="EP13" s="25"/>
      <c r="EQ13" s="25"/>
    </row>
    <row r="14" spans="2:147" s="26" customFormat="1">
      <c r="B14" s="29" t="s">
        <v>1169</v>
      </c>
      <c r="AW14" s="26">
        <v>82</v>
      </c>
      <c r="AX14" s="26">
        <v>107</v>
      </c>
      <c r="AY14" s="26">
        <v>118</v>
      </c>
      <c r="AZ14" s="26">
        <f>464-SUM(AW14:AY14)</f>
        <v>157</v>
      </c>
      <c r="BA14" s="26">
        <v>123</v>
      </c>
      <c r="BB14" s="26">
        <v>127</v>
      </c>
      <c r="BC14" s="26">
        <v>123</v>
      </c>
      <c r="BD14" s="26">
        <f>549-SUM(BA14:BC14)</f>
        <v>176</v>
      </c>
      <c r="BE14" s="26">
        <v>97</v>
      </c>
      <c r="BF14" s="26">
        <v>114</v>
      </c>
      <c r="BG14" s="26">
        <v>111</v>
      </c>
      <c r="BH14" s="26">
        <f>475-SUM(BE14:BG14)</f>
        <v>153</v>
      </c>
      <c r="BI14" s="26">
        <v>94</v>
      </c>
      <c r="BJ14" s="26">
        <v>119</v>
      </c>
      <c r="BK14" s="26">
        <v>130</v>
      </c>
      <c r="BL14" s="26">
        <f>378-SUM(BI14:BK14)</f>
        <v>35</v>
      </c>
      <c r="BM14" s="26">
        <v>164</v>
      </c>
      <c r="BN14" s="26">
        <v>136</v>
      </c>
      <c r="BO14" s="26">
        <v>127</v>
      </c>
      <c r="BP14" s="26">
        <f>552-SUM(BM14:BO14)</f>
        <v>125</v>
      </c>
      <c r="BQ14" s="26">
        <v>162</v>
      </c>
      <c r="BR14" s="25"/>
      <c r="BS14" s="25"/>
      <c r="BT14" s="25"/>
      <c r="BU14" s="25"/>
      <c r="BV14" s="25"/>
      <c r="BW14" s="25"/>
      <c r="BX14" s="25"/>
      <c r="BY14" s="25"/>
      <c r="CR14" s="26">
        <v>415</v>
      </c>
      <c r="CS14" s="2">
        <f t="shared" si="10"/>
        <v>464</v>
      </c>
      <c r="CT14" s="2">
        <v>549</v>
      </c>
      <c r="CU14" s="2">
        <v>606</v>
      </c>
      <c r="CV14" s="2">
        <v>658</v>
      </c>
      <c r="CW14" s="2">
        <v>712</v>
      </c>
      <c r="CX14" s="67">
        <f>CW14*(1+CX31)</f>
        <v>776.08</v>
      </c>
      <c r="CY14" s="67">
        <f t="shared" ref="CY14:DG14" si="15">CX14*(1+CY31)</f>
        <v>842.04679999999996</v>
      </c>
      <c r="CZ14" s="67">
        <f t="shared" si="15"/>
        <v>900.99007600000004</v>
      </c>
      <c r="DA14" s="67">
        <f t="shared" si="15"/>
        <v>964.05938132000006</v>
      </c>
      <c r="DB14" s="67">
        <f t="shared" si="15"/>
        <v>1031.5435380124002</v>
      </c>
      <c r="DC14" s="67">
        <f t="shared" si="15"/>
        <v>1103.7515856732682</v>
      </c>
      <c r="DD14" s="67">
        <f t="shared" si="15"/>
        <v>1181.014196670397</v>
      </c>
      <c r="DE14" s="67">
        <f t="shared" si="15"/>
        <v>1263.685190437325</v>
      </c>
      <c r="DF14" s="67">
        <f t="shared" si="15"/>
        <v>1352.1431537679377</v>
      </c>
      <c r="DG14" s="67">
        <f t="shared" si="15"/>
        <v>1446.7931745316935</v>
      </c>
      <c r="DH14" s="25"/>
      <c r="DI14" s="25"/>
      <c r="DJ14" s="25"/>
      <c r="DK14" s="25"/>
      <c r="DL14" s="25"/>
      <c r="DM14" s="25"/>
      <c r="DN14" s="25"/>
      <c r="DO14" s="25"/>
      <c r="DP14" s="25"/>
      <c r="DQ14" s="25"/>
      <c r="DR14" s="25"/>
      <c r="DS14" s="25"/>
      <c r="DT14" s="25"/>
      <c r="DU14" s="25"/>
      <c r="DV14" s="25"/>
      <c r="DW14" s="25"/>
      <c r="DX14" s="25"/>
      <c r="DY14" s="25"/>
      <c r="DZ14" s="25"/>
      <c r="EA14" s="25"/>
      <c r="EB14" s="25"/>
      <c r="EC14" s="25"/>
      <c r="ED14" s="25"/>
      <c r="EE14" s="25"/>
      <c r="EF14" s="25"/>
      <c r="EG14" s="25"/>
      <c r="EH14" s="25"/>
      <c r="EI14" s="25"/>
      <c r="EJ14" s="25"/>
      <c r="EK14" s="25"/>
      <c r="EL14" s="25"/>
      <c r="EM14" s="25"/>
      <c r="EN14" s="25"/>
      <c r="EO14" s="25"/>
      <c r="EP14" s="25"/>
      <c r="EQ14" s="25"/>
    </row>
    <row r="15" spans="2:147" s="27" customFormat="1" ht="15">
      <c r="B15" s="27" t="s">
        <v>1170</v>
      </c>
      <c r="AW15" s="27">
        <f t="shared" ref="AW15:BP15" si="16">SUM(AW10:AW14)</f>
        <v>1483</v>
      </c>
      <c r="AX15" s="27">
        <f t="shared" si="16"/>
        <v>1071</v>
      </c>
      <c r="AY15" s="27">
        <f t="shared" si="16"/>
        <v>1619</v>
      </c>
      <c r="AZ15" s="27">
        <f t="shared" si="16"/>
        <v>1833</v>
      </c>
      <c r="BA15" s="27">
        <f t="shared" si="16"/>
        <v>1762</v>
      </c>
      <c r="BB15" s="27">
        <f t="shared" si="16"/>
        <v>1935</v>
      </c>
      <c r="BC15" s="27">
        <f t="shared" si="16"/>
        <v>1811</v>
      </c>
      <c r="BD15" s="27">
        <f t="shared" si="16"/>
        <v>2062</v>
      </c>
      <c r="BE15" s="27">
        <f t="shared" si="16"/>
        <v>1852</v>
      </c>
      <c r="BF15" s="27">
        <f t="shared" si="16"/>
        <v>1944</v>
      </c>
      <c r="BG15" s="27">
        <f t="shared" si="16"/>
        <v>1891</v>
      </c>
      <c r="BH15" s="27">
        <f t="shared" si="16"/>
        <v>2151</v>
      </c>
      <c r="BI15" s="27">
        <f t="shared" si="16"/>
        <v>2088</v>
      </c>
      <c r="BJ15" s="27">
        <f t="shared" si="16"/>
        <v>2136</v>
      </c>
      <c r="BK15" s="27">
        <f t="shared" si="16"/>
        <v>2050</v>
      </c>
      <c r="BL15" s="27">
        <f t="shared" si="16"/>
        <v>2061</v>
      </c>
      <c r="BM15" s="27">
        <f t="shared" si="16"/>
        <v>2146</v>
      </c>
      <c r="BN15" s="27">
        <f t="shared" si="16"/>
        <v>2305</v>
      </c>
      <c r="BO15" s="27">
        <f t="shared" si="16"/>
        <v>2270</v>
      </c>
      <c r="BP15" s="27">
        <f t="shared" si="16"/>
        <v>2356</v>
      </c>
      <c r="BQ15" s="27">
        <f>SUM(BQ10:BQ14)</f>
        <v>2355</v>
      </c>
      <c r="BR15" s="28"/>
      <c r="BS15" s="28"/>
      <c r="BT15" s="28"/>
      <c r="BU15" s="28"/>
      <c r="BV15" s="28"/>
      <c r="BW15" s="28"/>
      <c r="BX15" s="28"/>
      <c r="BY15" s="28"/>
      <c r="CR15" s="1">
        <f t="shared" ref="CR15:CV15" si="17">SUM(CR10:CR14)</f>
        <v>6409</v>
      </c>
      <c r="CS15" s="1">
        <f t="shared" si="17"/>
        <v>6006</v>
      </c>
      <c r="CT15" s="1">
        <f t="shared" si="17"/>
        <v>7570</v>
      </c>
      <c r="CU15" s="1">
        <f t="shared" si="17"/>
        <v>7556</v>
      </c>
      <c r="CV15" s="1">
        <f t="shared" si="17"/>
        <v>8335</v>
      </c>
      <c r="CW15" s="1">
        <f>SUM(CW10:CW14)</f>
        <v>9077</v>
      </c>
      <c r="CX15" s="68">
        <f>SUM(CX10:CX14)</f>
        <v>9811.5519999999997</v>
      </c>
      <c r="CY15" s="68">
        <f>SUM(CY10:CY14)</f>
        <v>10537.921550000001</v>
      </c>
      <c r="CZ15" s="68">
        <f t="shared" ref="CZ15:DG15" si="18">SUM(CZ10:CZ14)</f>
        <v>11203.223231520002</v>
      </c>
      <c r="DA15" s="68">
        <f t="shared" si="18"/>
        <v>11804.336713492003</v>
      </c>
      <c r="DB15" s="68">
        <f t="shared" si="18"/>
        <v>12442.431154107562</v>
      </c>
      <c r="DC15" s="68">
        <f t="shared" si="18"/>
        <v>13096.045922019539</v>
      </c>
      <c r="DD15" s="68">
        <f t="shared" si="18"/>
        <v>13778.087240645835</v>
      </c>
      <c r="DE15" s="68">
        <f t="shared" si="18"/>
        <v>14457.00646570664</v>
      </c>
      <c r="DF15" s="68">
        <f t="shared" si="18"/>
        <v>15174.861965969527</v>
      </c>
      <c r="DG15" s="68">
        <f t="shared" si="18"/>
        <v>15920.378501852863</v>
      </c>
      <c r="DH15" s="28"/>
      <c r="DI15" s="28"/>
      <c r="DJ15" s="28"/>
      <c r="DK15" s="28"/>
      <c r="DL15" s="28"/>
      <c r="DM15" s="28"/>
      <c r="DN15" s="28"/>
      <c r="DO15" s="28"/>
      <c r="DP15" s="28"/>
      <c r="DQ15" s="28"/>
      <c r="DR15" s="28"/>
      <c r="DS15" s="28"/>
      <c r="DT15" s="28"/>
      <c r="DU15" s="28"/>
      <c r="DV15" s="28"/>
      <c r="DW15" s="28"/>
      <c r="DX15" s="28"/>
      <c r="DY15" s="28"/>
      <c r="DZ15" s="28"/>
      <c r="EA15" s="28"/>
      <c r="EB15" s="28"/>
      <c r="EC15" s="28"/>
      <c r="ED15" s="28"/>
      <c r="EE15" s="28"/>
      <c r="EF15" s="28"/>
      <c r="EG15" s="28"/>
      <c r="EH15" s="28"/>
      <c r="EI15" s="28"/>
      <c r="EJ15" s="28"/>
      <c r="EK15" s="28"/>
      <c r="EL15" s="28"/>
      <c r="EM15" s="28"/>
      <c r="EN15" s="28"/>
      <c r="EO15" s="28"/>
      <c r="EP15" s="28"/>
      <c r="EQ15" s="28"/>
    </row>
    <row r="16" spans="2:147" s="27" customFormat="1" ht="15">
      <c r="B16" s="27" t="s">
        <v>1171</v>
      </c>
      <c r="AW16" s="27">
        <f t="shared" ref="AW16:BQ16" si="19">AW9+AW15</f>
        <v>3588</v>
      </c>
      <c r="AX16" s="27">
        <f t="shared" si="19"/>
        <v>2764</v>
      </c>
      <c r="AY16" s="27">
        <f t="shared" si="19"/>
        <v>3737</v>
      </c>
      <c r="AZ16" s="27">
        <f t="shared" si="19"/>
        <v>4262</v>
      </c>
      <c r="BA16" s="27">
        <f t="shared" si="19"/>
        <v>3953</v>
      </c>
      <c r="BB16" s="27">
        <f t="shared" si="19"/>
        <v>4294</v>
      </c>
      <c r="BC16" s="27">
        <f t="shared" si="19"/>
        <v>4160</v>
      </c>
      <c r="BD16" s="27">
        <f t="shared" si="19"/>
        <v>4701</v>
      </c>
      <c r="BE16" s="27">
        <f t="shared" si="19"/>
        <v>4275</v>
      </c>
      <c r="BF16" s="27">
        <f t="shared" si="19"/>
        <v>4493</v>
      </c>
      <c r="BG16" s="27">
        <f t="shared" si="19"/>
        <v>4479</v>
      </c>
      <c r="BH16" s="27">
        <f t="shared" si="19"/>
        <v>5202</v>
      </c>
      <c r="BI16" s="27">
        <f t="shared" si="19"/>
        <v>4778</v>
      </c>
      <c r="BJ16" s="27">
        <f t="shared" si="19"/>
        <v>4996</v>
      </c>
      <c r="BK16" s="27">
        <f t="shared" si="19"/>
        <v>4909</v>
      </c>
      <c r="BL16" s="27">
        <f t="shared" si="19"/>
        <v>5815</v>
      </c>
      <c r="BM16" s="27">
        <f t="shared" si="19"/>
        <v>5243</v>
      </c>
      <c r="BN16" s="27">
        <f t="shared" si="19"/>
        <v>5422</v>
      </c>
      <c r="BO16" s="27">
        <f t="shared" si="19"/>
        <v>5494</v>
      </c>
      <c r="BP16" s="27">
        <f t="shared" si="19"/>
        <v>6436</v>
      </c>
      <c r="BQ16" s="27">
        <f t="shared" si="19"/>
        <v>5866</v>
      </c>
      <c r="BR16" s="28"/>
      <c r="BS16" s="28"/>
      <c r="BT16" s="28"/>
      <c r="BU16" s="28"/>
      <c r="BV16" s="28"/>
      <c r="BW16" s="28"/>
      <c r="BX16" s="28"/>
      <c r="BY16" s="28"/>
      <c r="CR16" s="1">
        <f t="shared" ref="CR16:DG16" si="20">CR9+CR15</f>
        <v>14884</v>
      </c>
      <c r="CS16" s="1">
        <f t="shared" si="20"/>
        <v>14351</v>
      </c>
      <c r="CT16" s="1">
        <f t="shared" si="20"/>
        <v>17108</v>
      </c>
      <c r="CU16" s="1">
        <f t="shared" si="20"/>
        <v>18449</v>
      </c>
      <c r="CV16" s="1">
        <f t="shared" si="20"/>
        <v>20498</v>
      </c>
      <c r="CW16" s="1">
        <f t="shared" si="20"/>
        <v>22595</v>
      </c>
      <c r="CX16" s="68">
        <f t="shared" si="20"/>
        <v>25266.35</v>
      </c>
      <c r="CY16" s="68">
        <f t="shared" si="20"/>
        <v>27491.718553999999</v>
      </c>
      <c r="CZ16" s="68">
        <f t="shared" si="20"/>
        <v>29635.032204108007</v>
      </c>
      <c r="DA16" s="68">
        <f t="shared" si="20"/>
        <v>31732.058838227531</v>
      </c>
      <c r="DB16" s="68">
        <f t="shared" si="20"/>
        <v>33932.015158148839</v>
      </c>
      <c r="DC16" s="68">
        <f t="shared" si="20"/>
        <v>36198.643407155389</v>
      </c>
      <c r="DD16" s="68">
        <f t="shared" si="20"/>
        <v>38564.62904789568</v>
      </c>
      <c r="DE16" s="68">
        <f t="shared" si="20"/>
        <v>40947.918756093291</v>
      </c>
      <c r="DF16" s="68">
        <f t="shared" si="20"/>
        <v>43427.434823802105</v>
      </c>
      <c r="DG16" s="68">
        <f t="shared" si="20"/>
        <v>46087.976048798824</v>
      </c>
      <c r="DH16" s="28"/>
      <c r="DI16" s="28"/>
      <c r="DJ16" s="28"/>
      <c r="DK16" s="28"/>
      <c r="DL16" s="28"/>
      <c r="DM16" s="28"/>
      <c r="DN16" s="28"/>
      <c r="DO16" s="28"/>
      <c r="DP16" s="28"/>
      <c r="DQ16" s="28"/>
      <c r="DR16" s="28"/>
      <c r="DS16" s="28"/>
      <c r="DT16" s="28"/>
      <c r="DU16" s="28"/>
      <c r="DV16" s="28"/>
      <c r="DW16" s="28"/>
      <c r="DX16" s="28"/>
      <c r="DY16" s="28"/>
      <c r="DZ16" s="28"/>
      <c r="EA16" s="28"/>
      <c r="EB16" s="28"/>
      <c r="EC16" s="28"/>
      <c r="ED16" s="28"/>
      <c r="EE16" s="28"/>
      <c r="EF16" s="28"/>
      <c r="EG16" s="28"/>
      <c r="EH16" s="28"/>
      <c r="EI16" s="28"/>
      <c r="EJ16" s="28"/>
      <c r="EK16" s="28"/>
      <c r="EL16" s="28"/>
      <c r="EM16" s="28"/>
      <c r="EN16" s="28"/>
      <c r="EO16" s="28"/>
      <c r="EP16" s="28"/>
      <c r="EQ16" s="28"/>
    </row>
    <row r="17" spans="2:147" s="27" customFormat="1" ht="15">
      <c r="BR17" s="28"/>
      <c r="BS17" s="28"/>
      <c r="BT17" s="28"/>
      <c r="BU17" s="28"/>
      <c r="BV17" s="28"/>
      <c r="BW17" s="28"/>
      <c r="BX17" s="28"/>
      <c r="BY17" s="28"/>
      <c r="CX17" s="28"/>
      <c r="CY17" s="28"/>
      <c r="CZ17" s="28"/>
      <c r="DA17" s="28"/>
      <c r="DB17" s="28"/>
      <c r="DC17" s="28"/>
      <c r="DD17" s="28"/>
      <c r="DE17" s="28"/>
      <c r="DF17" s="28"/>
      <c r="DG17" s="28"/>
      <c r="DH17" s="28"/>
      <c r="DI17" s="28"/>
      <c r="DJ17" s="28"/>
      <c r="DK17" s="28"/>
      <c r="DL17" s="28"/>
      <c r="DM17" s="28"/>
      <c r="DN17" s="28"/>
      <c r="DO17" s="28"/>
      <c r="DP17" s="28"/>
      <c r="DQ17" s="28"/>
      <c r="DR17" s="28"/>
      <c r="DS17" s="28"/>
      <c r="DT17" s="28"/>
      <c r="DU17" s="28"/>
      <c r="DV17" s="28"/>
      <c r="DW17" s="28"/>
      <c r="DX17" s="28"/>
      <c r="DY17" s="28"/>
      <c r="DZ17" s="28"/>
      <c r="EA17" s="28"/>
      <c r="EB17" s="28"/>
      <c r="EC17" s="28"/>
      <c r="ED17" s="28"/>
      <c r="EE17" s="28"/>
      <c r="EF17" s="28"/>
      <c r="EG17" s="28"/>
      <c r="EH17" s="28"/>
      <c r="EI17" s="28"/>
      <c r="EJ17" s="28"/>
      <c r="EK17" s="28"/>
      <c r="EL17" s="28"/>
      <c r="EM17" s="28"/>
      <c r="EN17" s="28"/>
      <c r="EO17" s="28"/>
      <c r="EP17" s="28"/>
      <c r="EQ17" s="28"/>
    </row>
    <row r="18" spans="2:147" s="27" customFormat="1" ht="15">
      <c r="B18" s="26" t="s">
        <v>1197</v>
      </c>
      <c r="AW18" s="30">
        <f t="shared" ref="AW18:BQ18" si="21">AW9/AW16</f>
        <v>0.58667781493868454</v>
      </c>
      <c r="AX18" s="30">
        <f t="shared" si="21"/>
        <v>0.61251808972503619</v>
      </c>
      <c r="AY18" s="30">
        <f t="shared" si="21"/>
        <v>0.56676478458656676</v>
      </c>
      <c r="AZ18" s="30">
        <f t="shared" si="21"/>
        <v>0.56992022524636321</v>
      </c>
      <c r="BA18" s="30">
        <f t="shared" si="21"/>
        <v>0.55426258537819373</v>
      </c>
      <c r="BB18" s="30">
        <f t="shared" si="21"/>
        <v>0.54937121564974378</v>
      </c>
      <c r="BC18" s="30">
        <f t="shared" si="21"/>
        <v>0.56466346153846159</v>
      </c>
      <c r="BD18" s="30">
        <f t="shared" si="21"/>
        <v>0.56136992129334184</v>
      </c>
      <c r="BE18" s="30">
        <f t="shared" si="21"/>
        <v>0.56678362573099417</v>
      </c>
      <c r="BF18" s="30">
        <f t="shared" si="21"/>
        <v>0.56732695303805925</v>
      </c>
      <c r="BG18" s="30">
        <f t="shared" si="21"/>
        <v>0.57780754632730524</v>
      </c>
      <c r="BH18" s="30">
        <f t="shared" si="21"/>
        <v>0.58650519031141868</v>
      </c>
      <c r="BI18" s="30">
        <f t="shared" si="21"/>
        <v>0.56299706990372544</v>
      </c>
      <c r="BJ18" s="30">
        <f t="shared" si="21"/>
        <v>0.57245796637309843</v>
      </c>
      <c r="BK18" s="30">
        <f t="shared" si="21"/>
        <v>0.58239967406803828</v>
      </c>
      <c r="BL18" s="30">
        <f t="shared" si="21"/>
        <v>0.64557179707652623</v>
      </c>
      <c r="BM18" s="30">
        <f t="shared" si="21"/>
        <v>0.59069235170703793</v>
      </c>
      <c r="BN18" s="30">
        <f t="shared" si="21"/>
        <v>0.57488011803762451</v>
      </c>
      <c r="BO18" s="30">
        <f t="shared" si="21"/>
        <v>0.58682198762286131</v>
      </c>
      <c r="BP18" s="30">
        <f t="shared" si="21"/>
        <v>0.63393412057178367</v>
      </c>
      <c r="BQ18" s="30">
        <f t="shared" si="21"/>
        <v>0.59853392430958063</v>
      </c>
      <c r="BR18" s="28"/>
      <c r="BS18" s="28"/>
      <c r="BT18" s="28"/>
      <c r="BU18" s="28"/>
      <c r="BV18" s="28"/>
      <c r="BW18" s="28"/>
      <c r="BX18" s="28"/>
      <c r="BY18" s="28"/>
      <c r="CR18" s="30">
        <f t="shared" ref="CR18:CW18" si="22">CR9/CR16</f>
        <v>0.56940338618650899</v>
      </c>
      <c r="CS18" s="30">
        <f t="shared" si="22"/>
        <v>0.58149257891436135</v>
      </c>
      <c r="CT18" s="30">
        <f t="shared" si="22"/>
        <v>0.55751695113397237</v>
      </c>
      <c r="CU18" s="30">
        <f t="shared" si="22"/>
        <v>0.59043850615209492</v>
      </c>
      <c r="CV18" s="30">
        <f t="shared" si="22"/>
        <v>0.59337496341106455</v>
      </c>
      <c r="CW18" s="30">
        <f t="shared" si="22"/>
        <v>0.59827395441469355</v>
      </c>
      <c r="CX18" s="66">
        <f t="shared" ref="CX18:DG18" si="23">CX9/CX16</f>
        <v>0.61167513313161581</v>
      </c>
      <c r="CY18" s="66">
        <f t="shared" si="23"/>
        <v>0.61668742063901461</v>
      </c>
      <c r="CZ18" s="66">
        <f t="shared" si="23"/>
        <v>0.62196014654686249</v>
      </c>
      <c r="DA18" s="66">
        <f t="shared" si="23"/>
        <v>0.62799965884119213</v>
      </c>
      <c r="DB18" s="66">
        <f t="shared" si="23"/>
        <v>0.63331293186931492</v>
      </c>
      <c r="DC18" s="66">
        <f t="shared" si="23"/>
        <v>0.63821721784659902</v>
      </c>
      <c r="DD18" s="66">
        <f t="shared" si="23"/>
        <v>0.64272734936633202</v>
      </c>
      <c r="DE18" s="66">
        <f t="shared" si="23"/>
        <v>0.64694160521759492</v>
      </c>
      <c r="DF18" s="66">
        <f t="shared" si="23"/>
        <v>0.65056969108264362</v>
      </c>
      <c r="DG18" s="66">
        <f t="shared" si="23"/>
        <v>0.6545654665981413</v>
      </c>
      <c r="DH18" s="28"/>
      <c r="DI18" s="28"/>
      <c r="DJ18" s="28"/>
      <c r="DK18" s="28"/>
      <c r="DL18" s="28"/>
      <c r="DM18" s="28"/>
      <c r="DN18" s="28"/>
      <c r="DO18" s="28"/>
      <c r="DP18" s="28"/>
      <c r="DQ18" s="28"/>
      <c r="DR18" s="28"/>
      <c r="DS18" s="28"/>
      <c r="DT18" s="28"/>
      <c r="DU18" s="28"/>
      <c r="DV18" s="28"/>
      <c r="DW18" s="28"/>
      <c r="DX18" s="28"/>
      <c r="DY18" s="28"/>
      <c r="DZ18" s="28"/>
      <c r="EA18" s="28"/>
      <c r="EB18" s="28"/>
      <c r="EC18" s="28"/>
      <c r="ED18" s="28"/>
      <c r="EE18" s="28"/>
      <c r="EF18" s="28"/>
      <c r="EG18" s="28"/>
      <c r="EH18" s="28"/>
      <c r="EI18" s="28"/>
      <c r="EJ18" s="28"/>
      <c r="EK18" s="28"/>
      <c r="EL18" s="28"/>
      <c r="EM18" s="28"/>
      <c r="EN18" s="28"/>
      <c r="EO18" s="28"/>
      <c r="EP18" s="28"/>
      <c r="EQ18" s="28"/>
    </row>
    <row r="19" spans="2:147" s="27" customFormat="1" ht="15">
      <c r="B19" s="26" t="s">
        <v>1207</v>
      </c>
      <c r="AW19" s="30">
        <f t="shared" ref="AW19:BQ19" si="24">AW15/AW16</f>
        <v>0.41332218506131552</v>
      </c>
      <c r="AX19" s="30">
        <f t="shared" si="24"/>
        <v>0.38748191027496381</v>
      </c>
      <c r="AY19" s="30">
        <f t="shared" si="24"/>
        <v>0.43323521541343324</v>
      </c>
      <c r="AZ19" s="30">
        <f t="shared" si="24"/>
        <v>0.43007977475363679</v>
      </c>
      <c r="BA19" s="30">
        <f t="shared" si="24"/>
        <v>0.44573741462180622</v>
      </c>
      <c r="BB19" s="30">
        <f t="shared" si="24"/>
        <v>0.45062878435025616</v>
      </c>
      <c r="BC19" s="30">
        <f t="shared" si="24"/>
        <v>0.43533653846153847</v>
      </c>
      <c r="BD19" s="30">
        <f t="shared" si="24"/>
        <v>0.43863007870665816</v>
      </c>
      <c r="BE19" s="30">
        <f t="shared" si="24"/>
        <v>0.43321637426900583</v>
      </c>
      <c r="BF19" s="30">
        <f t="shared" si="24"/>
        <v>0.43267304696194081</v>
      </c>
      <c r="BG19" s="30">
        <f t="shared" si="24"/>
        <v>0.42219245367269481</v>
      </c>
      <c r="BH19" s="30">
        <f t="shared" si="24"/>
        <v>0.41349480968858132</v>
      </c>
      <c r="BI19" s="30">
        <f t="shared" si="24"/>
        <v>0.43700293009627461</v>
      </c>
      <c r="BJ19" s="30">
        <f t="shared" si="24"/>
        <v>0.42754203362690152</v>
      </c>
      <c r="BK19" s="30">
        <f t="shared" si="24"/>
        <v>0.41760032593196172</v>
      </c>
      <c r="BL19" s="30">
        <f t="shared" si="24"/>
        <v>0.35442820292347377</v>
      </c>
      <c r="BM19" s="30">
        <f t="shared" si="24"/>
        <v>0.40930764829296207</v>
      </c>
      <c r="BN19" s="30">
        <f t="shared" si="24"/>
        <v>0.42511988196237549</v>
      </c>
      <c r="BO19" s="30">
        <f t="shared" si="24"/>
        <v>0.41317801237713869</v>
      </c>
      <c r="BP19" s="30">
        <f t="shared" si="24"/>
        <v>0.36606587942821628</v>
      </c>
      <c r="BQ19" s="30">
        <f t="shared" si="24"/>
        <v>0.40146607569041937</v>
      </c>
      <c r="BR19" s="28"/>
      <c r="BS19" s="28"/>
      <c r="BT19" s="28"/>
      <c r="BU19" s="28"/>
      <c r="BV19" s="28"/>
      <c r="BW19" s="28"/>
      <c r="BX19" s="28"/>
      <c r="BY19" s="28"/>
      <c r="CR19" s="30">
        <f t="shared" ref="CR19:CW19" si="25">CR15/CR16</f>
        <v>0.43059661381349101</v>
      </c>
      <c r="CS19" s="30">
        <f t="shared" si="25"/>
        <v>0.41850742108563865</v>
      </c>
      <c r="CT19" s="30">
        <f t="shared" si="25"/>
        <v>0.44248304886602757</v>
      </c>
      <c r="CU19" s="30">
        <f t="shared" si="25"/>
        <v>0.40956149384790502</v>
      </c>
      <c r="CV19" s="30">
        <f t="shared" si="25"/>
        <v>0.40662503658893551</v>
      </c>
      <c r="CW19" s="30">
        <f t="shared" si="25"/>
        <v>0.4017260455853065</v>
      </c>
      <c r="CX19" s="66">
        <f t="shared" ref="CX19:DG19" si="26">CX15/CX16</f>
        <v>0.38832486686838424</v>
      </c>
      <c r="CY19" s="66">
        <f t="shared" si="26"/>
        <v>0.38331257936098545</v>
      </c>
      <c r="CZ19" s="66">
        <f t="shared" si="26"/>
        <v>0.37803985345313751</v>
      </c>
      <c r="DA19" s="66">
        <f t="shared" si="26"/>
        <v>0.37200034115880776</v>
      </c>
      <c r="DB19" s="66">
        <f t="shared" si="26"/>
        <v>0.36668706813068508</v>
      </c>
      <c r="DC19" s="66">
        <f t="shared" si="26"/>
        <v>0.36178278215340087</v>
      </c>
      <c r="DD19" s="66">
        <f t="shared" si="26"/>
        <v>0.35727265063366792</v>
      </c>
      <c r="DE19" s="66">
        <f t="shared" si="26"/>
        <v>0.35305839478240519</v>
      </c>
      <c r="DF19" s="66">
        <f t="shared" si="26"/>
        <v>0.34943030891735632</v>
      </c>
      <c r="DG19" s="66">
        <f t="shared" si="26"/>
        <v>0.34543453340185876</v>
      </c>
      <c r="DH19" s="28"/>
      <c r="DI19" s="28"/>
      <c r="DJ19" s="28"/>
      <c r="DK19" s="28"/>
      <c r="DL19" s="28"/>
      <c r="DM19" s="28"/>
      <c r="DN19" s="28"/>
      <c r="DO19" s="28"/>
      <c r="DP19" s="28"/>
      <c r="DQ19" s="28"/>
      <c r="DR19" s="28"/>
      <c r="DS19" s="28"/>
      <c r="DT19" s="28"/>
      <c r="DU19" s="28"/>
      <c r="DV19" s="28"/>
      <c r="DW19" s="28"/>
      <c r="DX19" s="28"/>
      <c r="DY19" s="28"/>
      <c r="DZ19" s="28"/>
      <c r="EA19" s="28"/>
      <c r="EB19" s="28"/>
      <c r="EC19" s="28"/>
      <c r="ED19" s="28"/>
      <c r="EE19" s="28"/>
      <c r="EF19" s="28"/>
      <c r="EG19" s="28"/>
      <c r="EH19" s="28"/>
      <c r="EI19" s="28"/>
      <c r="EJ19" s="28"/>
      <c r="EK19" s="28"/>
      <c r="EL19" s="28"/>
      <c r="EM19" s="28"/>
      <c r="EN19" s="28"/>
      <c r="EO19" s="28"/>
      <c r="EP19" s="28"/>
      <c r="EQ19" s="28"/>
    </row>
    <row r="20" spans="2:147" s="26" customFormat="1">
      <c r="BQ20" s="31"/>
      <c r="BR20" s="25"/>
      <c r="BS20" s="25"/>
      <c r="BT20" s="25"/>
      <c r="BU20" s="25"/>
      <c r="BV20" s="25"/>
      <c r="BW20" s="25"/>
      <c r="BX20" s="25"/>
      <c r="BY20" s="25"/>
      <c r="CX20" s="25"/>
      <c r="CY20" s="25"/>
      <c r="CZ20" s="25"/>
      <c r="DA20" s="25"/>
      <c r="DB20" s="25"/>
      <c r="DC20" s="25"/>
      <c r="DD20" s="25"/>
      <c r="DE20" s="25"/>
      <c r="DF20" s="25"/>
      <c r="DG20" s="25"/>
      <c r="DH20" s="25"/>
      <c r="DI20" s="25"/>
      <c r="DJ20" s="25"/>
      <c r="DK20" s="25"/>
      <c r="DL20" s="25"/>
      <c r="DM20" s="25"/>
      <c r="DN20" s="25"/>
      <c r="DO20" s="25"/>
      <c r="DP20" s="25"/>
      <c r="DQ20" s="25"/>
      <c r="DR20" s="25"/>
      <c r="DS20" s="25"/>
      <c r="DT20" s="25"/>
      <c r="DU20" s="25"/>
      <c r="DV20" s="25"/>
      <c r="DW20" s="25"/>
      <c r="DX20" s="25"/>
      <c r="DY20" s="25"/>
      <c r="DZ20" s="25"/>
      <c r="EA20" s="25"/>
      <c r="EB20" s="25"/>
      <c r="EC20" s="25"/>
      <c r="ED20" s="25"/>
      <c r="EE20" s="25"/>
      <c r="EF20" s="25"/>
      <c r="EG20" s="25"/>
      <c r="EH20" s="25"/>
      <c r="EI20" s="25"/>
      <c r="EJ20" s="25"/>
      <c r="EK20" s="25"/>
      <c r="EL20" s="25"/>
      <c r="EM20" s="25"/>
      <c r="EN20" s="25"/>
      <c r="EO20" s="25"/>
      <c r="EP20" s="25"/>
      <c r="EQ20" s="25"/>
    </row>
    <row r="21" spans="2:147" s="26" customFormat="1">
      <c r="B21" s="29" t="s">
        <v>1172</v>
      </c>
      <c r="AW21" s="33"/>
      <c r="AX21" s="33"/>
      <c r="AY21" s="33"/>
      <c r="AZ21" s="33"/>
      <c r="BA21" s="30">
        <f t="shared" ref="BA21:BJ25" si="27">BA4/AW4-1</f>
        <v>-8.5769980506822607E-2</v>
      </c>
      <c r="BB21" s="30">
        <f t="shared" si="27"/>
        <v>0.57621951219512191</v>
      </c>
      <c r="BC21" s="30">
        <f t="shared" si="27"/>
        <v>0.12419700214132767</v>
      </c>
      <c r="BD21" s="30">
        <f t="shared" si="27"/>
        <v>8.1081081081081141E-2</v>
      </c>
      <c r="BE21" s="30">
        <f t="shared" si="27"/>
        <v>0.12579957356076754</v>
      </c>
      <c r="BF21" s="30">
        <f t="shared" si="27"/>
        <v>8.8974854932301728E-2</v>
      </c>
      <c r="BG21" s="30">
        <f t="shared" si="27"/>
        <v>1.904761904761898E-2</v>
      </c>
      <c r="BH21" s="30">
        <f t="shared" si="27"/>
        <v>8.8333333333333375E-2</v>
      </c>
      <c r="BI21" s="30">
        <f t="shared" si="27"/>
        <v>7.1969696969697017E-2</v>
      </c>
      <c r="BJ21" s="30">
        <f t="shared" si="27"/>
        <v>0.10479573712255763</v>
      </c>
      <c r="BK21" s="30">
        <f t="shared" ref="BK21:BQ25" si="28">BK4/BG4-1</f>
        <v>0.1588785046728971</v>
      </c>
      <c r="BL21" s="30">
        <f t="shared" si="28"/>
        <v>0.11179173047473201</v>
      </c>
      <c r="BM21" s="30">
        <f t="shared" si="28"/>
        <v>0.17844522968197873</v>
      </c>
      <c r="BN21" s="30">
        <f t="shared" si="28"/>
        <v>0.12218649517684876</v>
      </c>
      <c r="BO21" s="30">
        <f t="shared" si="28"/>
        <v>9.5161290322580694E-2</v>
      </c>
      <c r="BP21" s="30">
        <f t="shared" si="28"/>
        <v>8.8154269972451793E-2</v>
      </c>
      <c r="BQ21" s="30">
        <f>BQ4/BM4-1</f>
        <v>9.4452773613193486E-2</v>
      </c>
      <c r="BR21" s="25"/>
      <c r="BS21" s="25"/>
      <c r="BT21" s="25"/>
      <c r="BU21" s="25"/>
      <c r="BV21" s="25"/>
      <c r="BW21" s="25"/>
      <c r="BX21" s="25"/>
      <c r="BY21" s="25"/>
      <c r="CS21" s="30">
        <f t="shared" ref="CS21:CW25" si="29">CS4/CR4-1</f>
        <v>-4.9004594180704464E-2</v>
      </c>
      <c r="CT21" s="30">
        <f t="shared" si="29"/>
        <v>0.13311862587224899</v>
      </c>
      <c r="CU21" s="30">
        <f t="shared" si="29"/>
        <v>6.3477025106584595E-2</v>
      </c>
      <c r="CV21" s="30">
        <f t="shared" si="29"/>
        <v>0.1287305122494431</v>
      </c>
      <c r="CW21" s="30">
        <f t="shared" si="29"/>
        <v>0.11838989739542227</v>
      </c>
      <c r="CX21" s="66">
        <v>0.11</v>
      </c>
      <c r="CY21" s="66">
        <v>9.1999999999999998E-2</v>
      </c>
      <c r="CZ21" s="66">
        <v>0.09</v>
      </c>
      <c r="DA21" s="66">
        <v>7.5999999999999998E-2</v>
      </c>
      <c r="DB21" s="66">
        <v>7.0000000000000007E-2</v>
      </c>
      <c r="DC21" s="66">
        <v>6.6000000000000003E-2</v>
      </c>
      <c r="DD21" s="66">
        <v>6.0999999999999999E-2</v>
      </c>
      <c r="DE21" s="66">
        <v>5.1999999999999998E-2</v>
      </c>
      <c r="DF21" s="66">
        <v>4.3999999999999997E-2</v>
      </c>
      <c r="DG21" s="66">
        <v>0.03</v>
      </c>
      <c r="DH21" s="25"/>
      <c r="DI21" s="25"/>
      <c r="DJ21" s="25"/>
      <c r="DK21" s="25"/>
      <c r="DL21" s="25"/>
      <c r="DM21" s="25"/>
      <c r="DN21" s="25"/>
      <c r="DO21" s="25"/>
      <c r="DP21" s="25"/>
      <c r="DQ21" s="25"/>
      <c r="DR21" s="25"/>
      <c r="DS21" s="25"/>
      <c r="DT21" s="25"/>
      <c r="DU21" s="25"/>
      <c r="DV21" s="25"/>
      <c r="DW21" s="25"/>
      <c r="DX21" s="25"/>
      <c r="DY21" s="25"/>
      <c r="DZ21" s="25"/>
      <c r="EA21" s="25"/>
      <c r="EB21" s="25"/>
      <c r="EC21" s="25"/>
      <c r="ED21" s="25"/>
      <c r="EE21" s="25"/>
      <c r="EF21" s="25"/>
      <c r="EG21" s="25"/>
      <c r="EH21" s="25"/>
      <c r="EI21" s="25"/>
      <c r="EJ21" s="25"/>
      <c r="EK21" s="25"/>
      <c r="EL21" s="25"/>
      <c r="EM21" s="25"/>
      <c r="EN21" s="25"/>
      <c r="EO21" s="25"/>
      <c r="EP21" s="25"/>
      <c r="EQ21" s="25"/>
    </row>
    <row r="22" spans="2:147" s="26" customFormat="1">
      <c r="B22" s="29" t="s">
        <v>1173</v>
      </c>
      <c r="AW22" s="33"/>
      <c r="AX22" s="33"/>
      <c r="AY22" s="33"/>
      <c r="AZ22" s="33"/>
      <c r="BA22" s="30">
        <f t="shared" si="27"/>
        <v>3.076923076923066E-2</v>
      </c>
      <c r="BB22" s="30">
        <f t="shared" si="27"/>
        <v>0.639240506329114</v>
      </c>
      <c r="BC22" s="30">
        <f t="shared" si="27"/>
        <v>0.12419700214132767</v>
      </c>
      <c r="BD22" s="30">
        <f t="shared" si="27"/>
        <v>0.1980952380952381</v>
      </c>
      <c r="BE22" s="30">
        <f t="shared" si="27"/>
        <v>0.14712153518123672</v>
      </c>
      <c r="BF22" s="30">
        <f t="shared" si="27"/>
        <v>0.15830115830115821</v>
      </c>
      <c r="BG22" s="30">
        <f t="shared" si="27"/>
        <v>0.12380952380952381</v>
      </c>
      <c r="BH22" s="30">
        <f t="shared" si="27"/>
        <v>0.58505564387917319</v>
      </c>
      <c r="BI22" s="30">
        <f t="shared" si="27"/>
        <v>0.31412639405204468</v>
      </c>
      <c r="BJ22" s="30">
        <f t="shared" si="27"/>
        <v>0.18833333333333324</v>
      </c>
      <c r="BK22" s="30">
        <f t="shared" si="28"/>
        <v>0.264406779661017</v>
      </c>
      <c r="BL22" s="30">
        <f t="shared" si="28"/>
        <v>-9.5285857572718125E-2</v>
      </c>
      <c r="BM22" s="30">
        <f t="shared" si="28"/>
        <v>0.10042432814710045</v>
      </c>
      <c r="BN22" s="30">
        <f t="shared" si="28"/>
        <v>7.7138849929873743E-2</v>
      </c>
      <c r="BO22" s="30">
        <f t="shared" si="28"/>
        <v>0.12198391420911525</v>
      </c>
      <c r="BP22" s="30">
        <f t="shared" si="28"/>
        <v>0.11529933481152987</v>
      </c>
      <c r="BQ22" s="30">
        <f t="shared" si="28"/>
        <v>0.11439588688946012</v>
      </c>
      <c r="BR22" s="25"/>
      <c r="BS22" s="25"/>
      <c r="BT22" s="25"/>
      <c r="BU22" s="25"/>
      <c r="BV22" s="25"/>
      <c r="BW22" s="25"/>
      <c r="BX22" s="25"/>
      <c r="BY22" s="25"/>
      <c r="CS22" s="30">
        <f t="shared" si="29"/>
        <v>-0.11094301563287945</v>
      </c>
      <c r="CT22" s="30">
        <f t="shared" si="29"/>
        <v>0.21440726035167335</v>
      </c>
      <c r="CU22" s="30">
        <f t="shared" si="29"/>
        <v>0.2886501634750116</v>
      </c>
      <c r="CV22" s="30">
        <f t="shared" si="29"/>
        <v>0.11199710039869526</v>
      </c>
      <c r="CW22" s="30">
        <f t="shared" si="29"/>
        <v>0.10462842242503267</v>
      </c>
      <c r="CX22" s="66">
        <v>9.1999999999999998E-2</v>
      </c>
      <c r="CY22" s="66">
        <v>0.113</v>
      </c>
      <c r="CZ22" s="66">
        <v>8.6999999999999994E-2</v>
      </c>
      <c r="DA22" s="66">
        <v>8.3000000000000004E-2</v>
      </c>
      <c r="DB22" s="66">
        <v>0.08</v>
      </c>
      <c r="DC22" s="66">
        <v>7.8E-2</v>
      </c>
      <c r="DD22" s="66">
        <v>7.5999999999999998E-2</v>
      </c>
      <c r="DE22" s="66">
        <v>7.3999999999999996E-2</v>
      </c>
      <c r="DF22" s="66">
        <v>7.1999999999999995E-2</v>
      </c>
      <c r="DG22" s="66">
        <v>7.0000000000000007E-2</v>
      </c>
      <c r="DH22" s="25"/>
      <c r="DI22" s="25"/>
      <c r="DJ22" s="25"/>
      <c r="DK22" s="25"/>
      <c r="DL22" s="25"/>
      <c r="DM22" s="25"/>
      <c r="DN22" s="25"/>
      <c r="DO22" s="25"/>
      <c r="DP22" s="25"/>
      <c r="DQ22" s="25"/>
      <c r="DR22" s="25"/>
      <c r="DS22" s="25"/>
      <c r="DT22" s="25"/>
      <c r="DU22" s="25"/>
      <c r="DV22" s="25"/>
      <c r="DW22" s="25"/>
      <c r="DX22" s="25"/>
      <c r="DY22" s="25"/>
      <c r="DZ22" s="25"/>
      <c r="EA22" s="25"/>
      <c r="EB22" s="25"/>
      <c r="EC22" s="25"/>
      <c r="ED22" s="25"/>
      <c r="EE22" s="25"/>
      <c r="EF22" s="25"/>
      <c r="EG22" s="25"/>
      <c r="EH22" s="25"/>
      <c r="EI22" s="25"/>
      <c r="EJ22" s="25"/>
      <c r="EK22" s="25"/>
      <c r="EL22" s="25"/>
      <c r="EM22" s="25"/>
      <c r="EN22" s="25"/>
      <c r="EO22" s="25"/>
      <c r="EP22" s="25"/>
      <c r="EQ22" s="25"/>
    </row>
    <row r="23" spans="2:147" s="26" customFormat="1">
      <c r="B23" s="29" t="s">
        <v>1174</v>
      </c>
      <c r="AW23" s="33"/>
      <c r="AX23" s="33"/>
      <c r="AY23" s="33"/>
      <c r="AZ23" s="33"/>
      <c r="BA23" s="30">
        <f t="shared" si="27"/>
        <v>5.9625212947189032E-2</v>
      </c>
      <c r="BB23" s="30">
        <f t="shared" si="27"/>
        <v>1.2658227848101333E-2</v>
      </c>
      <c r="BC23" s="30">
        <f t="shared" si="27"/>
        <v>6.0000000000000053E-2</v>
      </c>
      <c r="BD23" s="30">
        <f t="shared" si="27"/>
        <v>5.6737588652482351E-3</v>
      </c>
      <c r="BE23" s="30">
        <f t="shared" si="27"/>
        <v>6.7524115755627001E-2</v>
      </c>
      <c r="BF23" s="30">
        <f t="shared" si="27"/>
        <v>4.0624999999999911E-2</v>
      </c>
      <c r="BG23" s="30">
        <f t="shared" si="27"/>
        <v>0.20283018867924518</v>
      </c>
      <c r="BH23" s="30">
        <f t="shared" si="27"/>
        <v>0.32016925246826511</v>
      </c>
      <c r="BI23" s="30">
        <f t="shared" si="27"/>
        <v>0.17168674698795172</v>
      </c>
      <c r="BJ23" s="30">
        <f t="shared" si="27"/>
        <v>0.26276276276276267</v>
      </c>
      <c r="BK23" s="30">
        <f t="shared" si="28"/>
        <v>4.3137254901960853E-2</v>
      </c>
      <c r="BL23" s="30">
        <f t="shared" si="28"/>
        <v>0.11324786324786329</v>
      </c>
      <c r="BM23" s="30">
        <f t="shared" si="28"/>
        <v>0.11053984575835485</v>
      </c>
      <c r="BN23" s="30">
        <f t="shared" si="28"/>
        <v>7.9667063020214091E-2</v>
      </c>
      <c r="BO23" s="30">
        <f t="shared" si="28"/>
        <v>0.17543859649122817</v>
      </c>
      <c r="BP23" s="30">
        <f t="shared" si="28"/>
        <v>9.5969289827255277E-2</v>
      </c>
      <c r="BQ23" s="30">
        <f t="shared" si="28"/>
        <v>9.375E-2</v>
      </c>
      <c r="BR23" s="25"/>
      <c r="BS23" s="25"/>
      <c r="BT23" s="25"/>
      <c r="BU23" s="25"/>
      <c r="BV23" s="25"/>
      <c r="BW23" s="25"/>
      <c r="BX23" s="25"/>
      <c r="BY23" s="25"/>
      <c r="CS23" s="30">
        <f t="shared" si="29"/>
        <v>0.11484098939929321</v>
      </c>
      <c r="CT23" s="30">
        <f t="shared" si="29"/>
        <v>3.2884310618066515E-2</v>
      </c>
      <c r="CU23" s="30">
        <f t="shared" si="29"/>
        <v>0.16263904871499801</v>
      </c>
      <c r="CV23" s="30">
        <f t="shared" si="29"/>
        <v>0.14120752226987787</v>
      </c>
      <c r="CW23" s="30">
        <f t="shared" si="29"/>
        <v>0.11361665221162176</v>
      </c>
      <c r="CX23" s="66">
        <v>8.5000000000000006E-2</v>
      </c>
      <c r="CY23" s="66">
        <v>6.4000000000000001E-2</v>
      </c>
      <c r="CZ23" s="66">
        <v>6.2E-2</v>
      </c>
      <c r="DA23" s="66">
        <v>0.06</v>
      </c>
      <c r="DB23" s="66">
        <v>5.8000000000000003E-2</v>
      </c>
      <c r="DC23" s="66">
        <v>5.6000000000000001E-2</v>
      </c>
      <c r="DD23" s="66">
        <v>5.3999999999999999E-2</v>
      </c>
      <c r="DE23" s="66">
        <v>5.1999999999999998E-2</v>
      </c>
      <c r="DF23" s="66">
        <v>0.05</v>
      </c>
      <c r="DG23" s="66">
        <v>0.05</v>
      </c>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row>
    <row r="24" spans="2:147">
      <c r="B24" s="29" t="s">
        <v>1175</v>
      </c>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33"/>
      <c r="AX24" s="33"/>
      <c r="AY24" s="33"/>
      <c r="AZ24" s="33"/>
      <c r="BA24" s="8">
        <f t="shared" si="27"/>
        <v>3.3134328358208958</v>
      </c>
      <c r="BB24" s="8">
        <f t="shared" si="27"/>
        <v>5.270833333333333</v>
      </c>
      <c r="BC24" s="8">
        <f t="shared" si="27"/>
        <v>3.4696969696969697</v>
      </c>
      <c r="BD24" s="8">
        <f t="shared" si="27"/>
        <v>2.6951219512195124</v>
      </c>
      <c r="BE24" s="8">
        <f t="shared" si="27"/>
        <v>4.1522491349480939E-2</v>
      </c>
      <c r="BF24" s="8">
        <f t="shared" si="27"/>
        <v>1.6611295681063121E-2</v>
      </c>
      <c r="BG24" s="8">
        <f t="shared" si="27"/>
        <v>-3.3898305084745228E-3</v>
      </c>
      <c r="BH24" s="8">
        <f t="shared" si="27"/>
        <v>-1.320132013201325E-2</v>
      </c>
      <c r="BI24" s="8">
        <f t="shared" si="27"/>
        <v>-5.6478405315614655E-2</v>
      </c>
      <c r="BJ24" s="8">
        <f t="shared" si="27"/>
        <v>1.6339869281045694E-2</v>
      </c>
      <c r="BK24" s="8">
        <f t="shared" si="28"/>
        <v>5.7823129251700633E-2</v>
      </c>
      <c r="BL24" s="8">
        <f t="shared" si="28"/>
        <v>7.0234113712374535E-2</v>
      </c>
      <c r="BM24" s="8">
        <f t="shared" si="28"/>
        <v>9.1549295774647987E-2</v>
      </c>
      <c r="BN24" s="8">
        <f t="shared" si="28"/>
        <v>5.1446945337620509E-2</v>
      </c>
      <c r="BO24" s="8">
        <f t="shared" si="28"/>
        <v>5.7877813504823239E-2</v>
      </c>
      <c r="BP24" s="8">
        <f t="shared" si="28"/>
        <v>6.5625000000000044E-2</v>
      </c>
      <c r="BQ24" s="8">
        <f t="shared" si="28"/>
        <v>0.30967741935483861</v>
      </c>
      <c r="CS24" s="8">
        <f t="shared" si="29"/>
        <v>-0.71536796536796543</v>
      </c>
      <c r="CT24" s="8">
        <f t="shared" si="29"/>
        <v>3.5171102661596958</v>
      </c>
      <c r="CU24" s="8">
        <f t="shared" si="29"/>
        <v>1.0101010101010166E-2</v>
      </c>
      <c r="CV24" s="8">
        <f t="shared" si="29"/>
        <v>2.1666666666666723E-2</v>
      </c>
      <c r="CW24" s="8">
        <f t="shared" si="29"/>
        <v>6.6068515497553104E-2</v>
      </c>
      <c r="CX24" s="66">
        <v>0.55000000000000004</v>
      </c>
      <c r="CY24" s="66">
        <v>0.14000000000000001</v>
      </c>
      <c r="CZ24" s="66">
        <v>0.14000000000000001</v>
      </c>
      <c r="DA24" s="66">
        <v>0.13</v>
      </c>
      <c r="DB24" s="66">
        <v>0.13</v>
      </c>
      <c r="DC24" s="66">
        <v>0.12</v>
      </c>
      <c r="DD24" s="66">
        <v>0.12</v>
      </c>
      <c r="DE24" s="66">
        <v>0.11</v>
      </c>
      <c r="DF24" s="66">
        <v>0.11</v>
      </c>
      <c r="DG24" s="66">
        <v>0.1</v>
      </c>
    </row>
    <row r="25" spans="2:147">
      <c r="B25" s="29" t="s">
        <v>1176</v>
      </c>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33"/>
      <c r="AX25" s="33"/>
      <c r="AY25" s="33"/>
      <c r="AZ25" s="33"/>
      <c r="BA25" s="8">
        <f t="shared" si="27"/>
        <v>-0.41821946169772262</v>
      </c>
      <c r="BB25" s="8">
        <f t="shared" si="27"/>
        <v>-0.15989159891598914</v>
      </c>
      <c r="BC25" s="8">
        <f t="shared" si="27"/>
        <v>-0.42277992277992282</v>
      </c>
      <c r="BD25" s="8">
        <f t="shared" si="27"/>
        <v>3.8461538461538547E-2</v>
      </c>
      <c r="BE25" s="8">
        <f t="shared" si="27"/>
        <v>0.14946619217081847</v>
      </c>
      <c r="BF25" s="8">
        <f t="shared" si="27"/>
        <v>8.7096774193548443E-2</v>
      </c>
      <c r="BG25" s="8">
        <f t="shared" si="27"/>
        <v>0.11036789297658856</v>
      </c>
      <c r="BH25" s="8">
        <f t="shared" si="27"/>
        <v>0.18518518518518512</v>
      </c>
      <c r="BI25" s="8">
        <f t="shared" si="27"/>
        <v>9.9071207430340591E-2</v>
      </c>
      <c r="BJ25" s="8">
        <f t="shared" si="27"/>
        <v>0.10682492581602365</v>
      </c>
      <c r="BK25" s="8">
        <f t="shared" si="28"/>
        <v>0.15662650602409633</v>
      </c>
      <c r="BL25" s="8">
        <f t="shared" si="28"/>
        <v>0.98958333333333326</v>
      </c>
      <c r="BM25" s="8">
        <f t="shared" si="28"/>
        <v>0.3464788732394366</v>
      </c>
      <c r="BN25" s="8">
        <f t="shared" si="28"/>
        <v>0.11528150134048265</v>
      </c>
      <c r="BO25" s="8">
        <f t="shared" si="28"/>
        <v>0.1484375</v>
      </c>
      <c r="BP25" s="8">
        <f t="shared" si="28"/>
        <v>4.8429319371727786E-2</v>
      </c>
      <c r="BQ25" s="8">
        <f t="shared" si="28"/>
        <v>0.17782426778242688</v>
      </c>
      <c r="CS25" s="8">
        <f t="shared" si="29"/>
        <v>0.58829084041548629</v>
      </c>
      <c r="CT25" s="8">
        <f t="shared" si="29"/>
        <v>-0.2782401902497027</v>
      </c>
      <c r="CU25" s="8">
        <f t="shared" si="29"/>
        <v>0.36573311367380557</v>
      </c>
      <c r="CV25" s="8">
        <f t="shared" si="29"/>
        <v>0.13148371531966219</v>
      </c>
      <c r="CW25" s="8">
        <f t="shared" si="29"/>
        <v>0.13859275053304909</v>
      </c>
      <c r="CX25" s="66">
        <v>0.125</v>
      </c>
      <c r="CY25" s="66">
        <v>0.1</v>
      </c>
      <c r="CZ25" s="66">
        <v>0.08</v>
      </c>
      <c r="DA25" s="66">
        <v>7.4999999999999997E-2</v>
      </c>
      <c r="DB25" s="66">
        <v>7.0000000000000007E-2</v>
      </c>
      <c r="DC25" s="66">
        <v>6.7000000000000004E-2</v>
      </c>
      <c r="DD25" s="66">
        <v>6.3E-2</v>
      </c>
      <c r="DE25" s="66">
        <v>6.2E-2</v>
      </c>
      <c r="DF25" s="66">
        <v>6.0999999999999999E-2</v>
      </c>
      <c r="DG25" s="66">
        <v>0.1</v>
      </c>
    </row>
    <row r="26" spans="2:147" s="1" customFormat="1" ht="15">
      <c r="B26" s="27" t="s">
        <v>1584</v>
      </c>
      <c r="C26" s="27"/>
      <c r="D26" s="27"/>
      <c r="E26" s="27"/>
      <c r="F26" s="27"/>
      <c r="G26" s="27"/>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75"/>
      <c r="AX26" s="75"/>
      <c r="AY26" s="75"/>
      <c r="AZ26" s="75"/>
      <c r="BA26" s="76">
        <f t="shared" ref="BA26:BP26" si="30">BA9/AW9-1</f>
        <v>4.0855106888361137E-2</v>
      </c>
      <c r="BB26" s="76">
        <f t="shared" si="30"/>
        <v>0.39338452451269945</v>
      </c>
      <c r="BC26" s="76">
        <f t="shared" si="30"/>
        <v>0.10906515580736542</v>
      </c>
      <c r="BD26" s="76">
        <f t="shared" si="30"/>
        <v>8.6455331412103709E-2</v>
      </c>
      <c r="BE26" s="76">
        <f t="shared" si="30"/>
        <v>0.10588772250114098</v>
      </c>
      <c r="BF26" s="76">
        <f t="shared" si="30"/>
        <v>8.0542602797795571E-2</v>
      </c>
      <c r="BG26" s="76">
        <f t="shared" si="30"/>
        <v>0.10174542358450411</v>
      </c>
      <c r="BH26" s="76">
        <f t="shared" si="30"/>
        <v>0.15611974232663894</v>
      </c>
      <c r="BI26" s="76">
        <f t="shared" si="30"/>
        <v>0.11019397441188605</v>
      </c>
      <c r="BJ26" s="76">
        <f t="shared" si="30"/>
        <v>0.12200863083562186</v>
      </c>
      <c r="BK26" s="76">
        <f t="shared" si="30"/>
        <v>0.10471406491499224</v>
      </c>
      <c r="BL26" s="76">
        <f t="shared" si="30"/>
        <v>0.23041625696492951</v>
      </c>
      <c r="BM26" s="76">
        <f t="shared" si="30"/>
        <v>0.1513011152416357</v>
      </c>
      <c r="BN26" s="76">
        <f t="shared" si="30"/>
        <v>8.9860139860139965E-2</v>
      </c>
      <c r="BO26" s="76">
        <f t="shared" si="30"/>
        <v>0.12766701643931455</v>
      </c>
      <c r="BP26" s="76">
        <f t="shared" si="30"/>
        <v>8.6840703249866813E-2</v>
      </c>
      <c r="BQ26" s="76">
        <f t="shared" ref="BQ26:BQ33" si="31">BQ9/BM9-1</f>
        <v>0.13367775266386817</v>
      </c>
      <c r="BR26" s="28"/>
      <c r="BS26" s="28"/>
      <c r="BT26" s="28"/>
      <c r="BU26" s="28"/>
      <c r="BV26" s="28"/>
      <c r="BW26" s="28"/>
      <c r="BX26" s="28"/>
      <c r="BY26" s="28"/>
      <c r="CS26" s="76">
        <f t="shared" ref="CS26:CV26" si="32">CS9/CR9-1</f>
        <v>-1.5339233038348055E-2</v>
      </c>
      <c r="CT26" s="76">
        <f t="shared" si="32"/>
        <v>0.14295985620131813</v>
      </c>
      <c r="CU26" s="76">
        <f t="shared" si="32"/>
        <v>0.14206332564478918</v>
      </c>
      <c r="CV26" s="76">
        <f t="shared" si="32"/>
        <v>0.11658863490314886</v>
      </c>
      <c r="CW26" s="76">
        <f>CW9/CV9-1</f>
        <v>0.1114034366521417</v>
      </c>
      <c r="CX26" s="77">
        <f>CX9/CW9-1</f>
        <v>0.14327548453913308</v>
      </c>
      <c r="CY26" s="77">
        <f t="shared" ref="CY26:DG26" si="33">CY9/CX9-1</f>
        <v>9.6992468228960238E-2</v>
      </c>
      <c r="CZ26" s="77">
        <f t="shared" si="33"/>
        <v>8.7178817125113106E-2</v>
      </c>
      <c r="DA26" s="77">
        <f t="shared" si="33"/>
        <v>8.1159323774039782E-2</v>
      </c>
      <c r="DB26" s="77">
        <f t="shared" si="33"/>
        <v>7.8376337723370382E-2</v>
      </c>
      <c r="DC26" s="77">
        <f t="shared" si="33"/>
        <v>7.5060246898740912E-2</v>
      </c>
      <c r="DD26" s="77">
        <f t="shared" si="33"/>
        <v>7.2889826488014675E-2</v>
      </c>
      <c r="DE26" s="77">
        <f t="shared" si="33"/>
        <v>6.8761931228272344E-2</v>
      </c>
      <c r="DF26" s="77">
        <f t="shared" si="33"/>
        <v>6.6500562462139756E-2</v>
      </c>
      <c r="DG26" s="77">
        <f t="shared" si="33"/>
        <v>6.7782311322576616E-2</v>
      </c>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8"/>
      <c r="EI26" s="28"/>
      <c r="EJ26" s="28"/>
      <c r="EK26" s="28"/>
      <c r="EL26" s="28"/>
      <c r="EM26" s="28"/>
      <c r="EN26" s="28"/>
      <c r="EO26" s="28"/>
      <c r="EP26" s="28"/>
      <c r="EQ26" s="28"/>
    </row>
    <row r="27" spans="2:147">
      <c r="B27" s="29" t="s">
        <v>1177</v>
      </c>
      <c r="AW27" s="9"/>
      <c r="AX27" s="9"/>
      <c r="AY27" s="9"/>
      <c r="AZ27" s="9"/>
      <c r="BA27" s="8">
        <f t="shared" ref="BA27:BP31" si="34">BA10/AW10-1</f>
        <v>-4.629629629629628E-2</v>
      </c>
      <c r="BB27" s="8">
        <f t="shared" si="34"/>
        <v>0.96680497925311193</v>
      </c>
      <c r="BC27" s="8">
        <f t="shared" si="34"/>
        <v>9.1954022988505191E-3</v>
      </c>
      <c r="BD27" s="8">
        <f t="shared" si="34"/>
        <v>0.13943355119825718</v>
      </c>
      <c r="BE27" s="8">
        <f t="shared" si="34"/>
        <v>0.12621359223300965</v>
      </c>
      <c r="BF27" s="8">
        <f t="shared" si="34"/>
        <v>5.4852320675105481E-2</v>
      </c>
      <c r="BG27" s="8">
        <f t="shared" si="34"/>
        <v>9.567198177676528E-2</v>
      </c>
      <c r="BH27" s="8">
        <f t="shared" si="34"/>
        <v>5.5449330783938766E-2</v>
      </c>
      <c r="BI27" s="8">
        <f t="shared" si="34"/>
        <v>0.21982758620689657</v>
      </c>
      <c r="BJ27" s="8">
        <f t="shared" si="34"/>
        <v>0.12400000000000011</v>
      </c>
      <c r="BK27" s="8">
        <f t="shared" si="34"/>
        <v>7.0686070686070579E-2</v>
      </c>
      <c r="BL27" s="8">
        <f t="shared" si="34"/>
        <v>0.14130434782608692</v>
      </c>
      <c r="BM27" s="8">
        <f t="shared" si="34"/>
        <v>3.8869257950530089E-2</v>
      </c>
      <c r="BN27" s="8">
        <f t="shared" si="34"/>
        <v>7.1174377224199281E-2</v>
      </c>
      <c r="BO27" s="8">
        <f t="shared" si="34"/>
        <v>0.10679611650485432</v>
      </c>
      <c r="BP27" s="8">
        <f t="shared" si="34"/>
        <v>9.0476190476190377E-2</v>
      </c>
      <c r="BQ27" s="8">
        <f t="shared" si="31"/>
        <v>8.6734693877551061E-2</v>
      </c>
      <c r="CS27" s="8">
        <f t="shared" ref="CS27:CW31" si="35">CS10/CR10-1</f>
        <v>-0.13663911845730026</v>
      </c>
      <c r="CT27" s="8">
        <f t="shared" si="35"/>
        <v>0.17932354818123808</v>
      </c>
      <c r="CU27" s="8">
        <f t="shared" si="35"/>
        <v>8.0627705627705604E-2</v>
      </c>
      <c r="CV27" s="8">
        <f t="shared" si="35"/>
        <v>0.13820731096644967</v>
      </c>
      <c r="CW27" s="8">
        <f t="shared" si="35"/>
        <v>7.6550813902331649E-2</v>
      </c>
      <c r="CX27" s="66">
        <v>0.06</v>
      </c>
      <c r="CY27" s="66">
        <v>7.0000000000000007E-2</v>
      </c>
      <c r="CZ27" s="66">
        <v>4.2000000000000003E-2</v>
      </c>
      <c r="DA27" s="66">
        <v>0.04</v>
      </c>
      <c r="DB27" s="66">
        <v>0.04</v>
      </c>
      <c r="DC27" s="66">
        <v>0.04</v>
      </c>
      <c r="DD27" s="66">
        <v>0.04</v>
      </c>
      <c r="DE27" s="66">
        <v>0.04</v>
      </c>
      <c r="DF27" s="66">
        <v>0.04</v>
      </c>
      <c r="DG27" s="66">
        <v>0.04</v>
      </c>
    </row>
    <row r="28" spans="2:147">
      <c r="B28" s="29" t="s">
        <v>1178</v>
      </c>
      <c r="AW28" s="9"/>
      <c r="AX28" s="9"/>
      <c r="AY28" s="9"/>
      <c r="AZ28" s="9"/>
      <c r="BA28" s="8">
        <f t="shared" si="34"/>
        <v>-2.2151898734177222E-2</v>
      </c>
      <c r="BB28" s="8">
        <f t="shared" si="34"/>
        <v>0.6342592592592593</v>
      </c>
      <c r="BC28" s="8">
        <f t="shared" si="34"/>
        <v>-1.7964071856287456E-2</v>
      </c>
      <c r="BD28" s="8">
        <f t="shared" si="34"/>
        <v>3.529411764705892E-2</v>
      </c>
      <c r="BE28" s="8">
        <f t="shared" si="34"/>
        <v>5.8252427184465994E-2</v>
      </c>
      <c r="BF28" s="8">
        <f t="shared" si="34"/>
        <v>3.1161473087818692E-2</v>
      </c>
      <c r="BG28" s="8">
        <f t="shared" si="34"/>
        <v>5.7926829268292623E-2</v>
      </c>
      <c r="BH28" s="8">
        <f t="shared" si="34"/>
        <v>6.5340909090909172E-2</v>
      </c>
      <c r="BI28" s="8">
        <f t="shared" si="34"/>
        <v>0.14678899082568808</v>
      </c>
      <c r="BJ28" s="8">
        <f t="shared" si="34"/>
        <v>7.9670329670329609E-2</v>
      </c>
      <c r="BK28" s="8">
        <f t="shared" si="34"/>
        <v>4.3227665706051965E-2</v>
      </c>
      <c r="BL28" s="8">
        <f t="shared" si="34"/>
        <v>0.10400000000000009</v>
      </c>
      <c r="BM28" s="8">
        <f t="shared" si="34"/>
        <v>4.8000000000000043E-2</v>
      </c>
      <c r="BN28" s="8">
        <f t="shared" si="34"/>
        <v>8.9058524173027953E-2</v>
      </c>
      <c r="BO28" s="8">
        <f t="shared" si="34"/>
        <v>0.16022099447513805</v>
      </c>
      <c r="BP28" s="8">
        <f t="shared" si="34"/>
        <v>0.1183574879227054</v>
      </c>
      <c r="BQ28" s="8">
        <f t="shared" si="31"/>
        <v>0.12722646310432562</v>
      </c>
      <c r="CS28" s="8">
        <f t="shared" si="35"/>
        <v>-0.12798264642082424</v>
      </c>
      <c r="CT28" s="8">
        <f t="shared" si="35"/>
        <v>0.11276948590381419</v>
      </c>
      <c r="CU28" s="8">
        <f t="shared" si="35"/>
        <v>5.2906110283159391E-2</v>
      </c>
      <c r="CV28" s="8">
        <f t="shared" si="35"/>
        <v>9.2710544939844208E-2</v>
      </c>
      <c r="CW28" s="8">
        <f t="shared" si="35"/>
        <v>0.10362694300518127</v>
      </c>
      <c r="CX28" s="66">
        <v>8.5000000000000006E-2</v>
      </c>
      <c r="CY28" s="66">
        <v>7.9000000000000001E-2</v>
      </c>
      <c r="CZ28" s="66">
        <v>8.2000000000000003E-2</v>
      </c>
      <c r="DA28" s="66">
        <v>0.05</v>
      </c>
      <c r="DB28" s="66">
        <v>0.05</v>
      </c>
      <c r="DC28" s="66">
        <v>0.04</v>
      </c>
      <c r="DD28" s="66">
        <v>0.04</v>
      </c>
      <c r="DE28" s="66">
        <v>0.03</v>
      </c>
      <c r="DF28" s="66">
        <v>0.03</v>
      </c>
      <c r="DG28" s="66">
        <v>0.03</v>
      </c>
    </row>
    <row r="29" spans="2:147">
      <c r="B29" s="29" t="s">
        <v>1179</v>
      </c>
      <c r="AW29" s="9"/>
      <c r="AX29" s="9"/>
      <c r="AY29" s="9"/>
      <c r="AZ29" s="9"/>
      <c r="BA29" s="8">
        <f t="shared" si="34"/>
        <v>0.63265306122448983</v>
      </c>
      <c r="BB29" s="8">
        <f t="shared" si="34"/>
        <v>1.0424242424242425</v>
      </c>
      <c r="BC29" s="8">
        <f t="shared" si="34"/>
        <v>0.48604651162790691</v>
      </c>
      <c r="BD29" s="8">
        <f t="shared" si="34"/>
        <v>0.24736842105263168</v>
      </c>
      <c r="BE29" s="8">
        <f t="shared" si="34"/>
        <v>7.03125E-2</v>
      </c>
      <c r="BF29" s="8">
        <f t="shared" si="34"/>
        <v>2.9673590504450953E-3</v>
      </c>
      <c r="BG29" s="8">
        <f t="shared" si="34"/>
        <v>5.164319248826299E-2</v>
      </c>
      <c r="BH29" s="8">
        <f t="shared" si="34"/>
        <v>8.8607594936708889E-2</v>
      </c>
      <c r="BI29" s="8">
        <f t="shared" si="34"/>
        <v>0.1226277372262774</v>
      </c>
      <c r="BJ29" s="8">
        <f t="shared" si="34"/>
        <v>0.13313609467455612</v>
      </c>
      <c r="BK29" s="8">
        <f t="shared" si="34"/>
        <v>0.11904761904761907</v>
      </c>
      <c r="BL29" s="8">
        <f t="shared" si="34"/>
        <v>0.11111111111111116</v>
      </c>
      <c r="BM29" s="8">
        <f t="shared" si="34"/>
        <v>7.9323797139141838E-2</v>
      </c>
      <c r="BN29" s="8">
        <f t="shared" si="34"/>
        <v>8.6161879895561455E-2</v>
      </c>
      <c r="BO29" s="8">
        <f t="shared" si="34"/>
        <v>0.1289893617021276</v>
      </c>
      <c r="BP29" s="8">
        <f t="shared" si="34"/>
        <v>0.1581395348837209</v>
      </c>
      <c r="BQ29" s="8">
        <f t="shared" si="31"/>
        <v>0.13855421686746983</v>
      </c>
      <c r="CS29" s="8">
        <f t="shared" si="35"/>
        <v>5.064063453325196E-2</v>
      </c>
      <c r="CT29" s="8">
        <f t="shared" si="35"/>
        <v>0.54703832752613235</v>
      </c>
      <c r="CU29" s="8">
        <f t="shared" si="35"/>
        <v>5.3678678678678704E-2</v>
      </c>
      <c r="CV29" s="8">
        <f t="shared" si="35"/>
        <v>0.12112575703598139</v>
      </c>
      <c r="CW29" s="8">
        <f t="shared" si="35"/>
        <v>0.11439466158245959</v>
      </c>
      <c r="CX29" s="66">
        <v>0.106</v>
      </c>
      <c r="CY29" s="66">
        <v>9.5000000000000001E-2</v>
      </c>
      <c r="CZ29" s="66">
        <v>0.08</v>
      </c>
      <c r="DA29" s="66">
        <v>7.0000000000000007E-2</v>
      </c>
      <c r="DB29" s="66">
        <v>7.0000000000000007E-2</v>
      </c>
      <c r="DC29" s="66">
        <v>7.0000000000000007E-2</v>
      </c>
      <c r="DD29" s="66">
        <v>6.8000000000000005E-2</v>
      </c>
      <c r="DE29" s="66">
        <v>6.5000000000000002E-2</v>
      </c>
      <c r="DF29" s="66">
        <v>6.5000000000000002E-2</v>
      </c>
      <c r="DG29" s="66">
        <v>6.3E-2</v>
      </c>
    </row>
    <row r="30" spans="2:147">
      <c r="B30" s="29" t="s">
        <v>1180</v>
      </c>
      <c r="AW30" s="9"/>
      <c r="AX30" s="9"/>
      <c r="AY30" s="9"/>
      <c r="AZ30" s="9"/>
      <c r="BA30" s="8">
        <f t="shared" si="34"/>
        <v>6.5134099616858343E-2</v>
      </c>
      <c r="BB30" s="8">
        <f t="shared" si="34"/>
        <v>0.73446327683615809</v>
      </c>
      <c r="BC30" s="8">
        <f t="shared" si="34"/>
        <v>-6.6225165562913912E-2</v>
      </c>
      <c r="BD30" s="8">
        <f t="shared" si="34"/>
        <v>-2.2801302931596101E-2</v>
      </c>
      <c r="BE30" s="8">
        <f t="shared" si="34"/>
        <v>3.597122302158251E-3</v>
      </c>
      <c r="BF30" s="8">
        <f t="shared" si="34"/>
        <v>-5.5374592833876246E-2</v>
      </c>
      <c r="BG30" s="8">
        <f t="shared" si="34"/>
        <v>-7.0921985815602939E-3</v>
      </c>
      <c r="BH30" s="8">
        <f t="shared" si="34"/>
        <v>-1.0000000000000009E-2</v>
      </c>
      <c r="BI30" s="8">
        <f t="shared" si="34"/>
        <v>1.7921146953405076E-2</v>
      </c>
      <c r="BJ30" s="8">
        <f t="shared" si="34"/>
        <v>2.0689655172413834E-2</v>
      </c>
      <c r="BK30" s="8">
        <f t="shared" si="34"/>
        <v>3.9285714285714368E-2</v>
      </c>
      <c r="BL30" s="8">
        <f t="shared" si="34"/>
        <v>-0.58922558922558921</v>
      </c>
      <c r="BM30" s="8">
        <f t="shared" si="34"/>
        <v>-0.397887323943662</v>
      </c>
      <c r="BN30" s="8">
        <f t="shared" si="34"/>
        <v>3.716216216216206E-2</v>
      </c>
      <c r="BO30" s="8">
        <f t="shared" si="34"/>
        <v>4.4673539518900407E-2</v>
      </c>
      <c r="BP30" s="8">
        <f t="shared" si="34"/>
        <v>-0.30327868852459017</v>
      </c>
      <c r="BQ30" s="8">
        <f t="shared" si="31"/>
        <v>-2.9239766081871399E-2</v>
      </c>
      <c r="CS30" s="8">
        <f t="shared" si="35"/>
        <v>-9.5073465859982664E-2</v>
      </c>
      <c r="CT30" s="8">
        <f t="shared" si="35"/>
        <v>0.11461318051575931</v>
      </c>
      <c r="CU30" s="8">
        <f t="shared" si="35"/>
        <v>-0.37189374464438729</v>
      </c>
      <c r="CV30" s="8">
        <f t="shared" si="35"/>
        <v>-2.7285129604365577E-2</v>
      </c>
      <c r="CW30" s="8">
        <f t="shared" si="35"/>
        <v>-8.4151472650771941E-3</v>
      </c>
      <c r="CX30" s="66">
        <v>0.01</v>
      </c>
      <c r="CY30" s="66">
        <v>-0.05</v>
      </c>
      <c r="CZ30" s="66">
        <v>-0.02</v>
      </c>
      <c r="DA30" s="66">
        <v>-0.01</v>
      </c>
      <c r="DB30" s="66">
        <v>-0.01</v>
      </c>
      <c r="DC30" s="66">
        <v>-0.01</v>
      </c>
      <c r="DD30" s="66">
        <v>-0.01</v>
      </c>
      <c r="DE30" s="66">
        <v>-0.01</v>
      </c>
      <c r="DF30" s="66">
        <v>-0.01</v>
      </c>
      <c r="DG30" s="66">
        <v>-0.01</v>
      </c>
    </row>
    <row r="31" spans="2:147">
      <c r="B31" s="29" t="s">
        <v>1181</v>
      </c>
      <c r="AW31" s="9"/>
      <c r="AX31" s="9"/>
      <c r="AY31" s="9"/>
      <c r="AZ31" s="9"/>
      <c r="BA31" s="8">
        <f t="shared" si="34"/>
        <v>0.5</v>
      </c>
      <c r="BB31" s="8">
        <f t="shared" si="34"/>
        <v>0.18691588785046731</v>
      </c>
      <c r="BC31" s="8">
        <f t="shared" si="34"/>
        <v>4.2372881355932313E-2</v>
      </c>
      <c r="BD31" s="8">
        <f t="shared" si="34"/>
        <v>0.12101910828025475</v>
      </c>
      <c r="BE31" s="8">
        <f t="shared" si="34"/>
        <v>-0.21138211382113825</v>
      </c>
      <c r="BF31" s="8">
        <f t="shared" si="34"/>
        <v>-0.10236220472440949</v>
      </c>
      <c r="BG31" s="8">
        <f t="shared" si="34"/>
        <v>-9.7560975609756073E-2</v>
      </c>
      <c r="BH31" s="8">
        <f t="shared" si="34"/>
        <v>-0.13068181818181823</v>
      </c>
      <c r="BI31" s="8">
        <f t="shared" si="34"/>
        <v>-3.0927835051546393E-2</v>
      </c>
      <c r="BJ31" s="8">
        <f t="shared" si="34"/>
        <v>4.3859649122806932E-2</v>
      </c>
      <c r="BK31" s="8">
        <f t="shared" si="34"/>
        <v>0.1711711711711712</v>
      </c>
      <c r="BL31" s="8">
        <f t="shared" si="34"/>
        <v>-0.77124183006535951</v>
      </c>
      <c r="BM31" s="8">
        <f t="shared" si="34"/>
        <v>0.74468085106382986</v>
      </c>
      <c r="BN31" s="8">
        <f t="shared" si="34"/>
        <v>0.14285714285714279</v>
      </c>
      <c r="BO31" s="8">
        <f t="shared" si="34"/>
        <v>-2.3076923076923106E-2</v>
      </c>
      <c r="BP31" s="8">
        <f t="shared" si="34"/>
        <v>2.5714285714285716</v>
      </c>
      <c r="BQ31" s="8">
        <f t="shared" si="31"/>
        <v>-1.2195121951219523E-2</v>
      </c>
      <c r="CS31" s="8">
        <f t="shared" si="35"/>
        <v>0.1180722891566266</v>
      </c>
      <c r="CT31" s="8">
        <f t="shared" si="35"/>
        <v>0.1831896551724137</v>
      </c>
      <c r="CU31" s="8">
        <f t="shared" si="35"/>
        <v>0.10382513661202175</v>
      </c>
      <c r="CV31" s="8">
        <f t="shared" si="35"/>
        <v>8.5808580858085737E-2</v>
      </c>
      <c r="CW31" s="8">
        <f t="shared" si="35"/>
        <v>8.2066869300911893E-2</v>
      </c>
      <c r="CX31" s="66">
        <v>0.09</v>
      </c>
      <c r="CY31" s="66">
        <v>8.5000000000000006E-2</v>
      </c>
      <c r="CZ31" s="66">
        <v>7.0000000000000007E-2</v>
      </c>
      <c r="DA31" s="66">
        <v>7.0000000000000007E-2</v>
      </c>
      <c r="DB31" s="66">
        <v>7.0000000000000007E-2</v>
      </c>
      <c r="DC31" s="66">
        <v>7.0000000000000007E-2</v>
      </c>
      <c r="DD31" s="66">
        <v>7.0000000000000007E-2</v>
      </c>
      <c r="DE31" s="66">
        <v>7.0000000000000007E-2</v>
      </c>
      <c r="DF31" s="66">
        <v>7.0000000000000007E-2</v>
      </c>
      <c r="DG31" s="66">
        <v>7.0000000000000007E-2</v>
      </c>
    </row>
    <row r="32" spans="2:147" s="1" customFormat="1" ht="15">
      <c r="B32" s="27" t="s">
        <v>1583</v>
      </c>
      <c r="AW32" s="78"/>
      <c r="AX32" s="78"/>
      <c r="AY32" s="78"/>
      <c r="AZ32" s="78"/>
      <c r="BA32" s="76">
        <f t="shared" ref="BA32:BP32" si="36">BA15/AW15-1</f>
        <v>0.18813216453135539</v>
      </c>
      <c r="BB32" s="76">
        <f t="shared" si="36"/>
        <v>0.80672268907563027</v>
      </c>
      <c r="BC32" s="76">
        <f t="shared" si="36"/>
        <v>0.118591723285979</v>
      </c>
      <c r="BD32" s="76">
        <f t="shared" si="36"/>
        <v>0.12493180578286966</v>
      </c>
      <c r="BE32" s="76">
        <f t="shared" si="36"/>
        <v>5.1078320090805818E-2</v>
      </c>
      <c r="BF32" s="76">
        <f t="shared" si="36"/>
        <v>4.6511627906977715E-3</v>
      </c>
      <c r="BG32" s="76">
        <f t="shared" si="36"/>
        <v>4.417448923246825E-2</v>
      </c>
      <c r="BH32" s="76">
        <f t="shared" si="36"/>
        <v>4.3161978661493627E-2</v>
      </c>
      <c r="BI32" s="76">
        <f t="shared" si="36"/>
        <v>0.12742980561555073</v>
      </c>
      <c r="BJ32" s="76">
        <f t="shared" si="36"/>
        <v>9.8765432098765427E-2</v>
      </c>
      <c r="BK32" s="76">
        <f t="shared" si="36"/>
        <v>8.4082496033844434E-2</v>
      </c>
      <c r="BL32" s="76">
        <f t="shared" si="36"/>
        <v>-4.1841004184100417E-2</v>
      </c>
      <c r="BM32" s="76">
        <f t="shared" si="36"/>
        <v>2.7777777777777679E-2</v>
      </c>
      <c r="BN32" s="76">
        <f t="shared" si="36"/>
        <v>7.9119850187265861E-2</v>
      </c>
      <c r="BO32" s="76">
        <f t="shared" si="36"/>
        <v>0.1073170731707318</v>
      </c>
      <c r="BP32" s="76">
        <f t="shared" si="36"/>
        <v>0.14313440077632222</v>
      </c>
      <c r="BQ32" s="76">
        <f t="shared" si="31"/>
        <v>9.7390493942218104E-2</v>
      </c>
      <c r="BR32" s="28"/>
      <c r="BS32" s="28"/>
      <c r="BT32" s="28"/>
      <c r="BU32" s="28"/>
      <c r="BV32" s="28"/>
      <c r="BW32" s="28"/>
      <c r="BX32" s="28"/>
      <c r="BY32" s="28"/>
      <c r="CS32" s="76">
        <f t="shared" ref="CS32:CV32" si="37">CS15/CR15-1</f>
        <v>-6.2880324543610588E-2</v>
      </c>
      <c r="CT32" s="76">
        <f t="shared" si="37"/>
        <v>0.26040626040626047</v>
      </c>
      <c r="CU32" s="76">
        <f t="shared" si="37"/>
        <v>-1.8494055482166649E-3</v>
      </c>
      <c r="CV32" s="76">
        <f t="shared" si="37"/>
        <v>0.10309687665431455</v>
      </c>
      <c r="CW32" s="76">
        <f>CW15/CV15-1</f>
        <v>8.9022195560887862E-2</v>
      </c>
      <c r="CX32" s="77">
        <f>CX15/CW15-1</f>
        <v>8.0924534537842874E-2</v>
      </c>
      <c r="CY32" s="77">
        <f t="shared" ref="CY32:DG32" si="38">CY15/CX15-1</f>
        <v>7.4032074640179468E-2</v>
      </c>
      <c r="CZ32" s="77">
        <f t="shared" si="38"/>
        <v>6.3134051469570851E-2</v>
      </c>
      <c r="DA32" s="77">
        <f t="shared" si="38"/>
        <v>5.3655405194532158E-2</v>
      </c>
      <c r="DB32" s="77">
        <f t="shared" si="38"/>
        <v>5.4055933518588617E-2</v>
      </c>
      <c r="DC32" s="77">
        <f t="shared" si="38"/>
        <v>5.2531113880923685E-2</v>
      </c>
      <c r="DD32" s="77">
        <f t="shared" si="38"/>
        <v>5.2079942502302856E-2</v>
      </c>
      <c r="DE32" s="77">
        <f t="shared" si="38"/>
        <v>4.9275288594339051E-2</v>
      </c>
      <c r="DF32" s="77">
        <f t="shared" si="38"/>
        <v>4.9654505029496088E-2</v>
      </c>
      <c r="DG32" s="77">
        <f t="shared" si="38"/>
        <v>4.9128389935618522E-2</v>
      </c>
      <c r="DH32" s="28"/>
      <c r="DI32" s="28"/>
      <c r="DJ32" s="28"/>
      <c r="DK32" s="28"/>
      <c r="DL32" s="28"/>
      <c r="DM32" s="28"/>
      <c r="DN32" s="28"/>
      <c r="DO32" s="28"/>
      <c r="DP32" s="28"/>
      <c r="DQ32" s="28"/>
      <c r="DR32" s="28"/>
      <c r="DS32" s="28"/>
      <c r="DT32" s="28"/>
      <c r="DU32" s="28"/>
      <c r="DV32" s="28"/>
      <c r="DW32" s="28"/>
      <c r="DX32" s="28"/>
      <c r="DY32" s="28"/>
      <c r="DZ32" s="28"/>
      <c r="EA32" s="28"/>
      <c r="EB32" s="28"/>
      <c r="EC32" s="28"/>
      <c r="ED32" s="28"/>
      <c r="EE32" s="28"/>
      <c r="EF32" s="28"/>
      <c r="EG32" s="28"/>
      <c r="EH32" s="28"/>
      <c r="EI32" s="28"/>
      <c r="EJ32" s="28"/>
      <c r="EK32" s="28"/>
      <c r="EL32" s="28"/>
      <c r="EM32" s="28"/>
      <c r="EN32" s="28"/>
      <c r="EO32" s="28"/>
      <c r="EP32" s="28"/>
      <c r="EQ32" s="28"/>
    </row>
    <row r="33" spans="2:147" s="1" customFormat="1" ht="15">
      <c r="B33" s="27" t="s">
        <v>1182</v>
      </c>
      <c r="AW33" s="78"/>
      <c r="AX33" s="78"/>
      <c r="AY33" s="78"/>
      <c r="AZ33" s="78"/>
      <c r="BA33" s="76">
        <f t="shared" ref="BA33:BP33" si="39">BA16/AW16-1</f>
        <v>0.1017279821627648</v>
      </c>
      <c r="BB33" s="76">
        <f t="shared" si="39"/>
        <v>0.55354558610709126</v>
      </c>
      <c r="BC33" s="76">
        <f t="shared" si="39"/>
        <v>0.11319240032111311</v>
      </c>
      <c r="BD33" s="76">
        <f t="shared" si="39"/>
        <v>0.10300328484279686</v>
      </c>
      <c r="BE33" s="76">
        <f t="shared" si="39"/>
        <v>8.1457121173792002E-2</v>
      </c>
      <c r="BF33" s="76">
        <f t="shared" si="39"/>
        <v>4.6343735444806633E-2</v>
      </c>
      <c r="BG33" s="76">
        <f t="shared" si="39"/>
        <v>7.6682692307692202E-2</v>
      </c>
      <c r="BH33" s="76">
        <f t="shared" si="39"/>
        <v>0.10657306955966805</v>
      </c>
      <c r="BI33" s="76">
        <f t="shared" si="39"/>
        <v>0.11766081871345024</v>
      </c>
      <c r="BJ33" s="76">
        <f t="shared" si="39"/>
        <v>0.11195192521700426</v>
      </c>
      <c r="BK33" s="76">
        <f t="shared" si="39"/>
        <v>9.6003572225943357E-2</v>
      </c>
      <c r="BL33" s="76">
        <f t="shared" si="39"/>
        <v>0.1178392925797771</v>
      </c>
      <c r="BM33" s="76">
        <f t="shared" si="39"/>
        <v>9.7321054834658804E-2</v>
      </c>
      <c r="BN33" s="76">
        <f t="shared" si="39"/>
        <v>8.526821457165723E-2</v>
      </c>
      <c r="BO33" s="76">
        <f t="shared" si="39"/>
        <v>0.11916887349765726</v>
      </c>
      <c r="BP33" s="76">
        <f t="shared" si="39"/>
        <v>0.10679277730008607</v>
      </c>
      <c r="BQ33" s="76">
        <f t="shared" si="31"/>
        <v>0.11882510013351144</v>
      </c>
      <c r="BR33" s="28"/>
      <c r="BS33" s="28"/>
      <c r="BT33" s="28"/>
      <c r="BU33" s="28"/>
      <c r="BV33" s="28"/>
      <c r="BW33" s="28"/>
      <c r="BX33" s="28"/>
      <c r="BY33" s="28"/>
      <c r="CS33" s="76">
        <f>CS16/CR16-1</f>
        <v>-3.5810266057511475E-2</v>
      </c>
      <c r="CT33" s="76">
        <f>CT16/CS16-1</f>
        <v>0.19211204794090997</v>
      </c>
      <c r="CU33" s="76">
        <f>CU16/CT16-1</f>
        <v>7.8384381575870909E-2</v>
      </c>
      <c r="CV33" s="76">
        <f>CV16/CU16-1</f>
        <v>0.11106293024012137</v>
      </c>
      <c r="CW33" s="76">
        <f>CW16/CV16-1</f>
        <v>0.1023026636745048</v>
      </c>
      <c r="CX33" s="77">
        <f>CX16/CW16-1</f>
        <v>0.11822748395662752</v>
      </c>
      <c r="CY33" s="77">
        <f t="shared" ref="CY33:DG33" si="40">CY16/CX16-1</f>
        <v>8.8076376445351157E-2</v>
      </c>
      <c r="CZ33" s="77">
        <f t="shared" si="40"/>
        <v>7.7962155981556869E-2</v>
      </c>
      <c r="DA33" s="77">
        <f t="shared" si="40"/>
        <v>7.0761746424855776E-2</v>
      </c>
      <c r="DB33" s="77">
        <f t="shared" si="40"/>
        <v>6.9329139062071388E-2</v>
      </c>
      <c r="DC33" s="77">
        <f t="shared" si="40"/>
        <v>6.6799105164911277E-2</v>
      </c>
      <c r="DD33" s="77">
        <f t="shared" si="40"/>
        <v>6.5361168763374389E-2</v>
      </c>
      <c r="DE33" s="77">
        <f t="shared" si="40"/>
        <v>6.1799886762495815E-2</v>
      </c>
      <c r="DF33" s="77">
        <f t="shared" si="40"/>
        <v>6.0552920466558469E-2</v>
      </c>
      <c r="DG33" s="77">
        <f t="shared" si="40"/>
        <v>6.1264065809811585E-2</v>
      </c>
      <c r="DH33" s="28"/>
      <c r="DI33" s="28"/>
      <c r="DJ33" s="28"/>
      <c r="DK33" s="28"/>
      <c r="DL33" s="28"/>
      <c r="DM33" s="28"/>
      <c r="DN33" s="28"/>
      <c r="DO33" s="28"/>
      <c r="DP33" s="28"/>
      <c r="DQ33" s="28"/>
      <c r="DR33" s="28"/>
      <c r="DS33" s="28"/>
      <c r="DT33" s="28"/>
      <c r="DU33" s="28"/>
      <c r="DV33" s="28"/>
      <c r="DW33" s="28"/>
      <c r="DX33" s="28"/>
      <c r="DY33" s="28"/>
      <c r="DZ33" s="28"/>
      <c r="EA33" s="28"/>
      <c r="EB33" s="28"/>
      <c r="EC33" s="28"/>
      <c r="ED33" s="28"/>
      <c r="EE33" s="28"/>
      <c r="EF33" s="28"/>
      <c r="EG33" s="28"/>
      <c r="EH33" s="28"/>
      <c r="EI33" s="28"/>
      <c r="EJ33" s="28"/>
      <c r="EK33" s="28"/>
      <c r="EL33" s="28"/>
      <c r="EM33" s="28"/>
      <c r="EN33" s="28"/>
      <c r="EO33" s="28"/>
      <c r="EP33" s="28"/>
      <c r="EQ33" s="28"/>
    </row>
    <row r="35" spans="2:147">
      <c r="B35" s="29" t="s">
        <v>1183</v>
      </c>
      <c r="AW35" s="2">
        <v>2643</v>
      </c>
      <c r="AX35" s="2">
        <v>1966</v>
      </c>
      <c r="AY35" s="2">
        <v>2748</v>
      </c>
      <c r="AZ35" s="26">
        <f>10455-SUM(AW35:AY35)</f>
        <v>3098</v>
      </c>
      <c r="BA35" s="2">
        <v>2784</v>
      </c>
      <c r="BB35" s="2">
        <v>3100</v>
      </c>
      <c r="BC35" s="2">
        <v>3019</v>
      </c>
      <c r="BD35" s="26">
        <f>12321-SUM(BA35:BC35)</f>
        <v>3418</v>
      </c>
      <c r="BE35" s="2">
        <v>3105</v>
      </c>
      <c r="BF35" s="2">
        <v>3311</v>
      </c>
      <c r="BG35" s="2">
        <v>3360</v>
      </c>
      <c r="BH35" s="26">
        <f>13638-SUM(BE35:BG35)</f>
        <v>3862</v>
      </c>
      <c r="BI35" s="2">
        <v>3512</v>
      </c>
      <c r="BJ35" s="2">
        <v>3711</v>
      </c>
      <c r="BK35" s="2">
        <v>3678</v>
      </c>
      <c r="BL35" s="26">
        <f>15257-SUM(BI35:BK35)</f>
        <v>4356</v>
      </c>
      <c r="BM35" s="2">
        <v>3914</v>
      </c>
      <c r="BN35" s="2">
        <v>4047</v>
      </c>
      <c r="BO35" s="2">
        <v>4109</v>
      </c>
      <c r="BP35" s="26">
        <f>16943-SUM(BM35:BO35)</f>
        <v>4873</v>
      </c>
      <c r="BQ35" s="2">
        <v>4440</v>
      </c>
      <c r="CR35" s="2">
        <v>10957</v>
      </c>
      <c r="CS35" s="2">
        <f t="shared" ref="CS35:CS36" si="41">SUM(AW35:AZ35)</f>
        <v>10455</v>
      </c>
      <c r="CT35" s="2">
        <f t="shared" ref="CT35:CT36" si="42">SUM(BA35:BD35)</f>
        <v>12321</v>
      </c>
      <c r="CU35" s="2">
        <f t="shared" ref="CU35:CU36" si="43">SUM(BE35:BH35)</f>
        <v>13638</v>
      </c>
      <c r="CV35" s="2">
        <f t="shared" ref="CV35:CV36" si="44">SUM(BI35:BL35)</f>
        <v>15257</v>
      </c>
      <c r="CW35" s="2">
        <f t="shared" ref="CW35:CW36" si="45">SUM(BM35:BP35)</f>
        <v>16943</v>
      </c>
      <c r="CY35" s="67"/>
    </row>
    <row r="36" spans="2:147">
      <c r="B36" s="29" t="s">
        <v>1184</v>
      </c>
      <c r="AW36" s="2">
        <v>945</v>
      </c>
      <c r="AX36" s="2">
        <v>798</v>
      </c>
      <c r="AY36" s="2">
        <v>989</v>
      </c>
      <c r="AZ36" s="26">
        <f>3896-SUM(AW36:AY36)</f>
        <v>1164</v>
      </c>
      <c r="BA36" s="2">
        <v>1169</v>
      </c>
      <c r="BB36" s="2">
        <v>1194</v>
      </c>
      <c r="BC36" s="2">
        <v>1141</v>
      </c>
      <c r="BD36" s="26">
        <f>4787-SUM(BA36:BC36)</f>
        <v>1283</v>
      </c>
      <c r="BE36" s="2">
        <v>1170</v>
      </c>
      <c r="BF36" s="2">
        <v>1182</v>
      </c>
      <c r="BG36" s="2">
        <v>1119</v>
      </c>
      <c r="BH36" s="26">
        <f>4811-SUM(BE36:BG36)</f>
        <v>1340</v>
      </c>
      <c r="BI36" s="2">
        <v>1266</v>
      </c>
      <c r="BJ36" s="2">
        <v>1285</v>
      </c>
      <c r="BK36" s="2">
        <v>1231</v>
      </c>
      <c r="BL36" s="26">
        <f>5241-SUM(BI36:BK36)</f>
        <v>1459</v>
      </c>
      <c r="BM36" s="2">
        <v>1329</v>
      </c>
      <c r="BN36" s="2">
        <v>1375</v>
      </c>
      <c r="BO36" s="2">
        <v>1385</v>
      </c>
      <c r="BP36" s="26">
        <f>5652-SUM(BM36:BO36)</f>
        <v>1563</v>
      </c>
      <c r="BQ36" s="2">
        <v>1426</v>
      </c>
      <c r="CR36" s="2">
        <v>3927</v>
      </c>
      <c r="CS36" s="2">
        <f t="shared" si="41"/>
        <v>3896</v>
      </c>
      <c r="CT36" s="2">
        <f t="shared" si="42"/>
        <v>4787</v>
      </c>
      <c r="CU36" s="2">
        <f t="shared" si="43"/>
        <v>4811</v>
      </c>
      <c r="CV36" s="2">
        <f t="shared" si="44"/>
        <v>5241</v>
      </c>
      <c r="CW36" s="2">
        <f t="shared" si="45"/>
        <v>5652</v>
      </c>
    </row>
    <row r="37" spans="2:147" s="1" customFormat="1" ht="15">
      <c r="B37" s="34" t="s">
        <v>1185</v>
      </c>
      <c r="AW37" s="1">
        <f t="shared" ref="AW37:BP37" si="46">AW35+AW36</f>
        <v>3588</v>
      </c>
      <c r="AX37" s="1">
        <f t="shared" si="46"/>
        <v>2764</v>
      </c>
      <c r="AY37" s="1">
        <f t="shared" si="46"/>
        <v>3737</v>
      </c>
      <c r="AZ37" s="1">
        <f t="shared" si="46"/>
        <v>4262</v>
      </c>
      <c r="BA37" s="1">
        <f t="shared" si="46"/>
        <v>3953</v>
      </c>
      <c r="BB37" s="1">
        <f t="shared" si="46"/>
        <v>4294</v>
      </c>
      <c r="BC37" s="1">
        <f t="shared" si="46"/>
        <v>4160</v>
      </c>
      <c r="BD37" s="1">
        <f t="shared" si="46"/>
        <v>4701</v>
      </c>
      <c r="BE37" s="1">
        <f t="shared" si="46"/>
        <v>4275</v>
      </c>
      <c r="BF37" s="1">
        <f t="shared" si="46"/>
        <v>4493</v>
      </c>
      <c r="BG37" s="1">
        <f t="shared" si="46"/>
        <v>4479</v>
      </c>
      <c r="BH37" s="1">
        <f t="shared" si="46"/>
        <v>5202</v>
      </c>
      <c r="BI37" s="1">
        <f t="shared" si="46"/>
        <v>4778</v>
      </c>
      <c r="BJ37" s="1">
        <f t="shared" si="46"/>
        <v>4996</v>
      </c>
      <c r="BK37" s="1">
        <f t="shared" si="46"/>
        <v>4909</v>
      </c>
      <c r="BL37" s="1">
        <f t="shared" si="46"/>
        <v>5815</v>
      </c>
      <c r="BM37" s="1">
        <f t="shared" si="46"/>
        <v>5243</v>
      </c>
      <c r="BN37" s="1">
        <f t="shared" si="46"/>
        <v>5422</v>
      </c>
      <c r="BO37" s="1">
        <f t="shared" si="46"/>
        <v>5494</v>
      </c>
      <c r="BP37" s="1">
        <f t="shared" si="46"/>
        <v>6436</v>
      </c>
      <c r="BQ37" s="1">
        <f>BQ35+BQ36</f>
        <v>5866</v>
      </c>
      <c r="BR37" s="28"/>
      <c r="BS37" s="28"/>
      <c r="BT37" s="28"/>
      <c r="BU37" s="28"/>
      <c r="BV37" s="28"/>
      <c r="BW37" s="28"/>
      <c r="BX37" s="28"/>
      <c r="BY37" s="28"/>
      <c r="CR37" s="1">
        <f t="shared" ref="CR37:CV37" si="47">CR35+CR36</f>
        <v>14884</v>
      </c>
      <c r="CS37" s="1">
        <f t="shared" si="47"/>
        <v>14351</v>
      </c>
      <c r="CT37" s="1">
        <f t="shared" si="47"/>
        <v>17108</v>
      </c>
      <c r="CU37" s="1">
        <f t="shared" si="47"/>
        <v>18449</v>
      </c>
      <c r="CV37" s="1">
        <f t="shared" si="47"/>
        <v>20498</v>
      </c>
      <c r="CW37" s="1">
        <f>CW35+CW36</f>
        <v>22595</v>
      </c>
      <c r="CX37" s="28"/>
      <c r="CY37" s="28"/>
      <c r="CZ37" s="28"/>
      <c r="DA37" s="28"/>
      <c r="DB37" s="28"/>
      <c r="DC37" s="28"/>
      <c r="DD37" s="28"/>
      <c r="DE37" s="28"/>
      <c r="DF37" s="28"/>
      <c r="DG37" s="28"/>
      <c r="DH37" s="28"/>
      <c r="DI37" s="28"/>
      <c r="DJ37" s="28"/>
      <c r="DK37" s="28"/>
      <c r="DL37" s="28"/>
      <c r="DM37" s="28"/>
      <c r="DN37" s="28"/>
      <c r="DO37" s="28"/>
      <c r="DP37" s="28"/>
      <c r="DQ37" s="28"/>
      <c r="DR37" s="28"/>
      <c r="DS37" s="28"/>
      <c r="DT37" s="28"/>
      <c r="DU37" s="28"/>
      <c r="DV37" s="28"/>
      <c r="DW37" s="28"/>
      <c r="DX37" s="28"/>
      <c r="DY37" s="28"/>
      <c r="DZ37" s="28"/>
      <c r="EA37" s="28"/>
      <c r="EB37" s="28"/>
      <c r="EC37" s="28"/>
      <c r="ED37" s="28"/>
      <c r="EE37" s="28"/>
      <c r="EF37" s="28"/>
      <c r="EG37" s="28"/>
      <c r="EH37" s="28"/>
      <c r="EI37" s="28"/>
      <c r="EJ37" s="28"/>
      <c r="EK37" s="28"/>
      <c r="EL37" s="28"/>
      <c r="EM37" s="28"/>
      <c r="EN37" s="28"/>
      <c r="EO37" s="28"/>
      <c r="EP37" s="28"/>
      <c r="EQ37" s="28"/>
    </row>
    <row r="39" spans="2:147">
      <c r="B39" s="32" t="s">
        <v>1198</v>
      </c>
      <c r="AW39" s="8">
        <f t="shared" ref="AW39:BP39" si="48">AW35/AW37</f>
        <v>0.73662207357859533</v>
      </c>
      <c r="AX39" s="8">
        <f t="shared" si="48"/>
        <v>0.71128798842257601</v>
      </c>
      <c r="AY39" s="8">
        <f t="shared" si="48"/>
        <v>0.7353492105967353</v>
      </c>
      <c r="AZ39" s="8">
        <f t="shared" si="48"/>
        <v>0.72688878460816519</v>
      </c>
      <c r="BA39" s="8">
        <f t="shared" si="48"/>
        <v>0.7042752339994941</v>
      </c>
      <c r="BB39" s="8">
        <f t="shared" si="48"/>
        <v>0.72193758733115976</v>
      </c>
      <c r="BC39" s="8">
        <f t="shared" si="48"/>
        <v>0.72572115384615388</v>
      </c>
      <c r="BD39" s="8">
        <f t="shared" si="48"/>
        <v>0.72707934482025105</v>
      </c>
      <c r="BE39" s="8">
        <f t="shared" si="48"/>
        <v>0.72631578947368425</v>
      </c>
      <c r="BF39" s="8">
        <f t="shared" si="48"/>
        <v>0.7369241041620298</v>
      </c>
      <c r="BG39" s="8">
        <f t="shared" si="48"/>
        <v>0.75016744809109182</v>
      </c>
      <c r="BH39" s="8">
        <f t="shared" si="48"/>
        <v>0.74240676662821992</v>
      </c>
      <c r="BI39" s="8">
        <f t="shared" si="48"/>
        <v>0.73503557974047717</v>
      </c>
      <c r="BJ39" s="8">
        <f t="shared" si="48"/>
        <v>0.74279423538831069</v>
      </c>
      <c r="BK39" s="8">
        <f t="shared" si="48"/>
        <v>0.74923609696475857</v>
      </c>
      <c r="BL39" s="8">
        <f t="shared" si="48"/>
        <v>0.74909716251074809</v>
      </c>
      <c r="BM39" s="8">
        <f t="shared" si="48"/>
        <v>0.74651916841502952</v>
      </c>
      <c r="BN39" s="8">
        <f t="shared" si="48"/>
        <v>0.74640354112873475</v>
      </c>
      <c r="BO39" s="8">
        <f t="shared" si="48"/>
        <v>0.74790680742628324</v>
      </c>
      <c r="BP39" s="8">
        <f t="shared" si="48"/>
        <v>0.75714729645742695</v>
      </c>
      <c r="BQ39" s="8">
        <f>BQ35/BQ37</f>
        <v>0.75690419365837025</v>
      </c>
      <c r="CS39" s="8">
        <f t="shared" ref="CS39:CW39" si="49">CS35/CS37</f>
        <v>0.72852066058114417</v>
      </c>
      <c r="CT39" s="8">
        <f t="shared" si="49"/>
        <v>0.72018938508300212</v>
      </c>
      <c r="CU39" s="8">
        <f t="shared" si="49"/>
        <v>0.73922705837714786</v>
      </c>
      <c r="CV39" s="8">
        <f t="shared" si="49"/>
        <v>0.74431651868474968</v>
      </c>
      <c r="CW39" s="8">
        <f t="shared" si="49"/>
        <v>0.74985616286789114</v>
      </c>
    </row>
    <row r="40" spans="2:147">
      <c r="B40" s="32" t="s">
        <v>1199</v>
      </c>
      <c r="AW40" s="8">
        <f t="shared" ref="AW40:BP40" si="50">AW36/AW37</f>
        <v>0.26337792642140467</v>
      </c>
      <c r="AX40" s="8">
        <f t="shared" si="50"/>
        <v>0.28871201157742404</v>
      </c>
      <c r="AY40" s="8">
        <f t="shared" si="50"/>
        <v>0.26465078940326464</v>
      </c>
      <c r="AZ40" s="8">
        <f t="shared" si="50"/>
        <v>0.27311121539183481</v>
      </c>
      <c r="BA40" s="8">
        <f t="shared" si="50"/>
        <v>0.29572476600050596</v>
      </c>
      <c r="BB40" s="8">
        <f t="shared" si="50"/>
        <v>0.27806241266884024</v>
      </c>
      <c r="BC40" s="8">
        <f t="shared" si="50"/>
        <v>0.27427884615384618</v>
      </c>
      <c r="BD40" s="8">
        <f t="shared" si="50"/>
        <v>0.27292065517974901</v>
      </c>
      <c r="BE40" s="8">
        <f t="shared" si="50"/>
        <v>0.27368421052631581</v>
      </c>
      <c r="BF40" s="8">
        <f t="shared" si="50"/>
        <v>0.2630758958379702</v>
      </c>
      <c r="BG40" s="8">
        <f t="shared" si="50"/>
        <v>0.24983255190890824</v>
      </c>
      <c r="BH40" s="8">
        <f t="shared" si="50"/>
        <v>0.25759323337178008</v>
      </c>
      <c r="BI40" s="8">
        <f t="shared" si="50"/>
        <v>0.26496442025952283</v>
      </c>
      <c r="BJ40" s="8">
        <f t="shared" si="50"/>
        <v>0.25720576461168937</v>
      </c>
      <c r="BK40" s="8">
        <f t="shared" si="50"/>
        <v>0.25076390303524138</v>
      </c>
      <c r="BL40" s="8">
        <f t="shared" si="50"/>
        <v>0.25090283748925196</v>
      </c>
      <c r="BM40" s="8">
        <f t="shared" si="50"/>
        <v>0.25348083158497042</v>
      </c>
      <c r="BN40" s="8">
        <f t="shared" si="50"/>
        <v>0.2535964588712652</v>
      </c>
      <c r="BO40" s="8">
        <f t="shared" si="50"/>
        <v>0.25209319257371676</v>
      </c>
      <c r="BP40" s="8">
        <f t="shared" si="50"/>
        <v>0.24285270354257302</v>
      </c>
      <c r="BQ40" s="8">
        <f>BQ36/BQ37</f>
        <v>0.24309580634162972</v>
      </c>
      <c r="CS40" s="8">
        <f t="shared" ref="CS40:CW40" si="51">CS36/CS37</f>
        <v>0.27147933941885583</v>
      </c>
      <c r="CT40" s="8">
        <f t="shared" si="51"/>
        <v>0.27981061491699788</v>
      </c>
      <c r="CU40" s="8">
        <f t="shared" si="51"/>
        <v>0.26077294162285219</v>
      </c>
      <c r="CV40" s="8">
        <f t="shared" si="51"/>
        <v>0.25568348131525026</v>
      </c>
      <c r="CW40" s="8">
        <f t="shared" si="51"/>
        <v>0.25014383713210886</v>
      </c>
    </row>
    <row r="42" spans="2:147">
      <c r="B42" s="29" t="s">
        <v>1187</v>
      </c>
      <c r="AW42" s="8"/>
      <c r="AX42" s="8"/>
      <c r="AY42" s="8"/>
      <c r="AZ42" s="8"/>
      <c r="BA42" s="8">
        <f t="shared" ref="BA42:BP42" si="52">BA35/AW35-1</f>
        <v>5.3348467650397247E-2</v>
      </c>
      <c r="BB42" s="8">
        <f t="shared" si="52"/>
        <v>0.5768056968463886</v>
      </c>
      <c r="BC42" s="8">
        <f t="shared" si="52"/>
        <v>9.8617176128093176E-2</v>
      </c>
      <c r="BD42" s="8">
        <f t="shared" si="52"/>
        <v>0.10329244673983218</v>
      </c>
      <c r="BE42" s="8">
        <f t="shared" si="52"/>
        <v>0.11530172413793105</v>
      </c>
      <c r="BF42" s="8">
        <f t="shared" si="52"/>
        <v>6.8064516129032304E-2</v>
      </c>
      <c r="BG42" s="8">
        <f t="shared" si="52"/>
        <v>0.11295130838025846</v>
      </c>
      <c r="BH42" s="8">
        <f t="shared" si="52"/>
        <v>0.12990052662375651</v>
      </c>
      <c r="BI42" s="8">
        <f t="shared" si="52"/>
        <v>0.13107890499194852</v>
      </c>
      <c r="BJ42" s="8">
        <f t="shared" si="52"/>
        <v>0.12080942313500453</v>
      </c>
      <c r="BK42" s="8">
        <f t="shared" si="52"/>
        <v>9.4642857142857251E-2</v>
      </c>
      <c r="BL42" s="8">
        <f t="shared" si="52"/>
        <v>0.12791299844640092</v>
      </c>
      <c r="BM42" s="8">
        <f t="shared" si="52"/>
        <v>0.1144646924829158</v>
      </c>
      <c r="BN42" s="8">
        <f t="shared" si="52"/>
        <v>9.0541632983023534E-2</v>
      </c>
      <c r="BO42" s="8">
        <f t="shared" si="52"/>
        <v>0.11718325176726485</v>
      </c>
      <c r="BP42" s="8">
        <f t="shared" si="52"/>
        <v>0.11868686868686873</v>
      </c>
      <c r="BQ42" s="8">
        <f>BQ35/BM35-1</f>
        <v>0.13438937148696994</v>
      </c>
      <c r="CS42" s="8">
        <f t="shared" ref="CS42" si="53">CS35/CR35-1</f>
        <v>-4.5815460436250843E-2</v>
      </c>
      <c r="CT42" s="8">
        <f t="shared" ref="CT42:CV42" si="54">CT35/CS35-1</f>
        <v>0.17847919655667144</v>
      </c>
      <c r="CU42" s="8">
        <f t="shared" si="54"/>
        <v>0.10689067445824207</v>
      </c>
      <c r="CV42" s="8">
        <f t="shared" si="54"/>
        <v>0.11871242117612546</v>
      </c>
      <c r="CW42" s="8">
        <f>CW35/CV35-1</f>
        <v>0.11050665268401394</v>
      </c>
    </row>
    <row r="43" spans="2:147">
      <c r="B43" s="29" t="s">
        <v>1188</v>
      </c>
      <c r="AW43" s="8"/>
      <c r="AX43" s="8"/>
      <c r="AY43" s="8"/>
      <c r="AZ43" s="8"/>
      <c r="BA43" s="8">
        <f t="shared" ref="BA43:BP43" si="55">BA36/AW36-1</f>
        <v>0.23703703703703694</v>
      </c>
      <c r="BB43" s="8">
        <f t="shared" si="55"/>
        <v>0.49624060150375948</v>
      </c>
      <c r="BC43" s="8">
        <f t="shared" si="55"/>
        <v>0.15369059656218398</v>
      </c>
      <c r="BD43" s="8">
        <f t="shared" si="55"/>
        <v>0.1022336769759451</v>
      </c>
      <c r="BE43" s="8">
        <f t="shared" si="55"/>
        <v>8.554319931566301E-4</v>
      </c>
      <c r="BF43" s="8">
        <f t="shared" si="55"/>
        <v>-1.0050251256281451E-2</v>
      </c>
      <c r="BG43" s="8">
        <f t="shared" si="55"/>
        <v>-1.9281332164767795E-2</v>
      </c>
      <c r="BH43" s="8">
        <f t="shared" si="55"/>
        <v>4.4427123928292955E-2</v>
      </c>
      <c r="BI43" s="8">
        <f t="shared" si="55"/>
        <v>8.2051282051281982E-2</v>
      </c>
      <c r="BJ43" s="8">
        <f t="shared" si="55"/>
        <v>8.7140439932318126E-2</v>
      </c>
      <c r="BK43" s="8">
        <f t="shared" si="55"/>
        <v>0.1000893655049151</v>
      </c>
      <c r="BL43" s="8">
        <f t="shared" si="55"/>
        <v>8.8805970149253621E-2</v>
      </c>
      <c r="BM43" s="8">
        <f t="shared" si="55"/>
        <v>4.9763033175355353E-2</v>
      </c>
      <c r="BN43" s="8">
        <f t="shared" si="55"/>
        <v>7.0038910505836549E-2</v>
      </c>
      <c r="BO43" s="8">
        <f t="shared" si="55"/>
        <v>0.12510154346060109</v>
      </c>
      <c r="BP43" s="8">
        <f t="shared" si="55"/>
        <v>7.1281699794379705E-2</v>
      </c>
      <c r="BQ43" s="8">
        <f>BQ36/BM36-1</f>
        <v>7.2987208427389039E-2</v>
      </c>
      <c r="CS43" s="8">
        <f t="shared" ref="CS43" si="56">CS36/CR36-1</f>
        <v>-7.8940667175961821E-3</v>
      </c>
      <c r="CT43" s="8">
        <f t="shared" ref="CT43:CV43" si="57">CT36/CS36-1</f>
        <v>0.22869609856262829</v>
      </c>
      <c r="CU43" s="8">
        <f t="shared" si="57"/>
        <v>5.0135784416127649E-3</v>
      </c>
      <c r="CV43" s="8">
        <f t="shared" si="57"/>
        <v>8.9378507586780342E-2</v>
      </c>
      <c r="CW43" s="8">
        <f>CW36/CV36-1</f>
        <v>7.8420148826559899E-2</v>
      </c>
    </row>
    <row r="44" spans="2:147">
      <c r="B44" s="32" t="s">
        <v>1186</v>
      </c>
      <c r="C44" s="8"/>
      <c r="D44" s="8"/>
      <c r="E44" s="8"/>
      <c r="F44" s="8"/>
      <c r="G44" s="8">
        <f t="shared" ref="G44:AY44" si="58">G46/C46-1</f>
        <v>-3.4625715286698555E-2</v>
      </c>
      <c r="H44" s="8">
        <f t="shared" si="58"/>
        <v>0.10955837870538399</v>
      </c>
      <c r="I44" s="8">
        <f t="shared" si="58"/>
        <v>0.12352463623306065</v>
      </c>
      <c r="J44" s="8">
        <f t="shared" si="58"/>
        <v>7.5812274368231014E-2</v>
      </c>
      <c r="K44" s="8">
        <f t="shared" si="58"/>
        <v>6.9376398717716059E-2</v>
      </c>
      <c r="L44" s="8">
        <f t="shared" si="58"/>
        <v>8.7563382585464256E-2</v>
      </c>
      <c r="M44" s="8">
        <f t="shared" si="58"/>
        <v>0.12000444666777832</v>
      </c>
      <c r="N44" s="8">
        <f t="shared" si="58"/>
        <v>0.1636901376407689</v>
      </c>
      <c r="O44" s="8">
        <f t="shared" si="58"/>
        <v>0.1487556561085972</v>
      </c>
      <c r="P44" s="8">
        <f t="shared" si="58"/>
        <v>0.11044267308367162</v>
      </c>
      <c r="Q44" s="8">
        <f t="shared" si="58"/>
        <v>7.2456575682382063E-2</v>
      </c>
      <c r="R44" s="8">
        <f t="shared" si="58"/>
        <v>2.9325513196480912E-2</v>
      </c>
      <c r="S44" s="8">
        <f t="shared" si="58"/>
        <v>1.0339734121122657E-2</v>
      </c>
      <c r="T44" s="8">
        <f t="shared" si="58"/>
        <v>5.5530474040632161E-2</v>
      </c>
      <c r="U44" s="8">
        <f t="shared" si="58"/>
        <v>1.3419713095788932E-2</v>
      </c>
      <c r="V44" s="8">
        <f t="shared" si="58"/>
        <v>5.0332383665717018E-2</v>
      </c>
      <c r="W44" s="8">
        <f t="shared" si="58"/>
        <v>4.8245614035087758E-2</v>
      </c>
      <c r="X44" s="8">
        <f t="shared" si="58"/>
        <v>5.5603079555175405E-2</v>
      </c>
      <c r="Y44" s="8">
        <f t="shared" si="58"/>
        <v>5.2511415525114069E-2</v>
      </c>
      <c r="Z44" s="8">
        <f t="shared" si="58"/>
        <v>6.8264014466546064E-2</v>
      </c>
      <c r="AA44" s="8">
        <f t="shared" si="58"/>
        <v>0.11064621106462114</v>
      </c>
      <c r="AB44" s="8">
        <f t="shared" si="58"/>
        <v>6.0777957860615794E-2</v>
      </c>
      <c r="AC44" s="8">
        <f t="shared" si="58"/>
        <v>3.2104121475054148E-2</v>
      </c>
      <c r="AD44" s="8">
        <f t="shared" si="58"/>
        <v>2.9200169276343724E-2</v>
      </c>
      <c r="AE44" s="8">
        <f t="shared" si="58"/>
        <v>1.2976140644621159E-2</v>
      </c>
      <c r="AF44" s="8">
        <f t="shared" si="58"/>
        <v>3.7051184110007629E-2</v>
      </c>
      <c r="AG44" s="8">
        <f t="shared" si="58"/>
        <v>4.8759983186212663E-2</v>
      </c>
      <c r="AH44" s="8">
        <f t="shared" si="58"/>
        <v>0.16776315789473695</v>
      </c>
      <c r="AI44" s="8">
        <f t="shared" si="58"/>
        <v>0.17066115702479334</v>
      </c>
      <c r="AJ44" s="8">
        <f t="shared" si="58"/>
        <v>0.16279926335174943</v>
      </c>
      <c r="AK44" s="8">
        <f t="shared" si="58"/>
        <v>0.18436873747494986</v>
      </c>
      <c r="AL44" s="8">
        <f t="shared" si="58"/>
        <v>6.056338028169006E-2</v>
      </c>
      <c r="AM44" s="8">
        <f t="shared" si="58"/>
        <v>6.1066007765619545E-2</v>
      </c>
      <c r="AN44" s="8">
        <f t="shared" si="58"/>
        <v>9.9461514095660508E-2</v>
      </c>
      <c r="AO44" s="8">
        <f t="shared" si="58"/>
        <v>9.6785109983079431E-2</v>
      </c>
      <c r="AP44" s="8">
        <f t="shared" si="58"/>
        <v>0.10292164674634785</v>
      </c>
      <c r="AQ44" s="8">
        <f t="shared" si="58"/>
        <v>7.8509647371922897E-2</v>
      </c>
      <c r="AR44" s="8">
        <f t="shared" si="58"/>
        <v>9.3632958801498134E-2</v>
      </c>
      <c r="AS44" s="8">
        <f t="shared" si="58"/>
        <v>8.4850354828756469E-2</v>
      </c>
      <c r="AT44" s="8">
        <f t="shared" si="58"/>
        <v>9.8735701384708108E-2</v>
      </c>
      <c r="AU44" s="8">
        <f t="shared" si="58"/>
        <v>0.10641579272054291</v>
      </c>
      <c r="AV44" s="8">
        <f t="shared" si="58"/>
        <v>8.8250790305584914E-2</v>
      </c>
      <c r="AW44" s="8">
        <f t="shared" si="58"/>
        <v>2.0477815699658786E-2</v>
      </c>
      <c r="AX44" s="8">
        <f t="shared" si="58"/>
        <v>-0.24273972602739724</v>
      </c>
      <c r="AY44" s="8">
        <f t="shared" si="58"/>
        <v>4.1817674937273397E-2</v>
      </c>
      <c r="AZ44" s="8">
        <f>AZ46/AV46-1</f>
        <v>3.1711450012103626E-2</v>
      </c>
      <c r="BA44" s="8">
        <f t="shared" ref="BA44:BP44" si="59">BA37/AW37-1</f>
        <v>0.1017279821627648</v>
      </c>
      <c r="BB44" s="8">
        <f>BB37/AX37-1</f>
        <v>0.55354558610709126</v>
      </c>
      <c r="BC44" s="8">
        <f t="shared" si="59"/>
        <v>0.11319240032111311</v>
      </c>
      <c r="BD44" s="8">
        <f t="shared" si="59"/>
        <v>0.10300328484279686</v>
      </c>
      <c r="BE44" s="8">
        <f t="shared" si="59"/>
        <v>8.1457121173792002E-2</v>
      </c>
      <c r="BF44" s="8">
        <f t="shared" si="59"/>
        <v>4.6343735444806633E-2</v>
      </c>
      <c r="BG44" s="8">
        <f t="shared" si="59"/>
        <v>7.6682692307692202E-2</v>
      </c>
      <c r="BH44" s="8">
        <f t="shared" si="59"/>
        <v>0.10657306955966805</v>
      </c>
      <c r="BI44" s="8">
        <f t="shared" si="59"/>
        <v>0.11766081871345024</v>
      </c>
      <c r="BJ44" s="8">
        <f t="shared" si="59"/>
        <v>0.11195192521700426</v>
      </c>
      <c r="BK44" s="8">
        <f t="shared" si="59"/>
        <v>9.6003572225943357E-2</v>
      </c>
      <c r="BL44" s="8">
        <f t="shared" si="59"/>
        <v>0.1178392925797771</v>
      </c>
      <c r="BM44" s="8">
        <f t="shared" si="59"/>
        <v>9.7321054834658804E-2</v>
      </c>
      <c r="BN44" s="8">
        <f t="shared" si="59"/>
        <v>8.526821457165723E-2</v>
      </c>
      <c r="BO44" s="8">
        <f t="shared" si="59"/>
        <v>0.11916887349765726</v>
      </c>
      <c r="BP44" s="8">
        <f t="shared" si="59"/>
        <v>0.10679277730008607</v>
      </c>
      <c r="BQ44" s="8">
        <f>BQ37/BM37-1</f>
        <v>0.11882510013351144</v>
      </c>
      <c r="CS44" s="8">
        <f t="shared" ref="CS44" si="60">CS37/CR37-1</f>
        <v>-3.5810266057511475E-2</v>
      </c>
      <c r="CT44" s="8">
        <f t="shared" ref="CT44:CV44" si="61">CT37/CS37-1</f>
        <v>0.19211204794090997</v>
      </c>
      <c r="CU44" s="8">
        <f t="shared" si="61"/>
        <v>7.8384381575870909E-2</v>
      </c>
      <c r="CV44" s="8">
        <f t="shared" si="61"/>
        <v>0.11106293024012137</v>
      </c>
      <c r="CW44" s="8">
        <f>CW37/CV37-1</f>
        <v>0.1023026636745048</v>
      </c>
    </row>
    <row r="46" spans="2:147" s="1" customFormat="1" ht="15">
      <c r="B46" s="1" t="s">
        <v>1158</v>
      </c>
      <c r="C46" s="35">
        <v>1712.6</v>
      </c>
      <c r="D46" s="35">
        <v>1653</v>
      </c>
      <c r="E46" s="35">
        <v>1601.3</v>
      </c>
      <c r="F46" s="35">
        <v>1634.3</v>
      </c>
      <c r="G46" s="35">
        <v>1653.3</v>
      </c>
      <c r="H46" s="35">
        <v>1834.1</v>
      </c>
      <c r="I46" s="35">
        <v>1799.1</v>
      </c>
      <c r="J46" s="35">
        <v>1758.2</v>
      </c>
      <c r="K46" s="35">
        <v>1768</v>
      </c>
      <c r="L46" s="35">
        <v>1994.7</v>
      </c>
      <c r="M46" s="35">
        <v>2015</v>
      </c>
      <c r="N46" s="35">
        <v>2046</v>
      </c>
      <c r="O46" s="35">
        <v>2031</v>
      </c>
      <c r="P46" s="35">
        <v>2215</v>
      </c>
      <c r="Q46" s="35">
        <v>2161</v>
      </c>
      <c r="R46" s="35">
        <v>2106</v>
      </c>
      <c r="S46" s="35">
        <v>2052</v>
      </c>
      <c r="T46" s="35">
        <v>2338</v>
      </c>
      <c r="U46" s="35">
        <v>2190</v>
      </c>
      <c r="V46" s="35">
        <v>2212</v>
      </c>
      <c r="W46" s="35">
        <v>2151</v>
      </c>
      <c r="X46" s="35">
        <v>2468</v>
      </c>
      <c r="Y46" s="35">
        <v>2305</v>
      </c>
      <c r="Z46" s="35">
        <v>2363</v>
      </c>
      <c r="AA46" s="35">
        <v>2389</v>
      </c>
      <c r="AB46" s="35">
        <v>2618</v>
      </c>
      <c r="AC46" s="35">
        <v>2379</v>
      </c>
      <c r="AD46" s="35">
        <v>2432</v>
      </c>
      <c r="AE46" s="35">
        <v>2420</v>
      </c>
      <c r="AF46" s="35">
        <v>2715</v>
      </c>
      <c r="AG46" s="35">
        <v>2495</v>
      </c>
      <c r="AH46" s="35">
        <v>2840</v>
      </c>
      <c r="AI46" s="35">
        <v>2833</v>
      </c>
      <c r="AJ46" s="35">
        <v>3157</v>
      </c>
      <c r="AK46" s="35">
        <v>2955</v>
      </c>
      <c r="AL46" s="35">
        <v>3012</v>
      </c>
      <c r="AM46" s="35">
        <v>3006</v>
      </c>
      <c r="AN46" s="35">
        <v>3471</v>
      </c>
      <c r="AO46" s="35">
        <v>3241</v>
      </c>
      <c r="AP46" s="35">
        <v>3322</v>
      </c>
      <c r="AQ46" s="35">
        <v>3242</v>
      </c>
      <c r="AR46" s="35">
        <v>3796</v>
      </c>
      <c r="AS46" s="35">
        <v>3516</v>
      </c>
      <c r="AT46" s="35">
        <v>3650</v>
      </c>
      <c r="AU46" s="35">
        <v>3587</v>
      </c>
      <c r="AV46" s="35">
        <v>4131</v>
      </c>
      <c r="AW46" s="1">
        <f t="shared" ref="AW46:BQ46" si="62">AW16</f>
        <v>3588</v>
      </c>
      <c r="AX46" s="1">
        <f t="shared" si="62"/>
        <v>2764</v>
      </c>
      <c r="AY46" s="1">
        <f t="shared" si="62"/>
        <v>3737</v>
      </c>
      <c r="AZ46" s="1">
        <f t="shared" si="62"/>
        <v>4262</v>
      </c>
      <c r="BA46" s="1">
        <f t="shared" si="62"/>
        <v>3953</v>
      </c>
      <c r="BB46" s="1">
        <f t="shared" si="62"/>
        <v>4294</v>
      </c>
      <c r="BC46" s="1">
        <f t="shared" si="62"/>
        <v>4160</v>
      </c>
      <c r="BD46" s="1">
        <f t="shared" si="62"/>
        <v>4701</v>
      </c>
      <c r="BE46" s="1">
        <f t="shared" si="62"/>
        <v>4275</v>
      </c>
      <c r="BF46" s="1">
        <f t="shared" si="62"/>
        <v>4493</v>
      </c>
      <c r="BG46" s="1">
        <f t="shared" si="62"/>
        <v>4479</v>
      </c>
      <c r="BH46" s="1">
        <f t="shared" si="62"/>
        <v>5202</v>
      </c>
      <c r="BI46" s="1">
        <f t="shared" si="62"/>
        <v>4778</v>
      </c>
      <c r="BJ46" s="1">
        <f t="shared" si="62"/>
        <v>4996</v>
      </c>
      <c r="BK46" s="1">
        <f t="shared" si="62"/>
        <v>4909</v>
      </c>
      <c r="BL46" s="1">
        <f t="shared" si="62"/>
        <v>5815</v>
      </c>
      <c r="BM46" s="1">
        <f t="shared" si="62"/>
        <v>5243</v>
      </c>
      <c r="BN46" s="1">
        <f t="shared" si="62"/>
        <v>5422</v>
      </c>
      <c r="BO46" s="1">
        <f t="shared" si="62"/>
        <v>5494</v>
      </c>
      <c r="BP46" s="1">
        <f t="shared" si="62"/>
        <v>6436</v>
      </c>
      <c r="BQ46" s="1">
        <f t="shared" si="62"/>
        <v>5866</v>
      </c>
      <c r="BR46" s="28">
        <v>5930</v>
      </c>
      <c r="BS46" s="28">
        <v>5980</v>
      </c>
      <c r="BT46" s="28">
        <v>7030</v>
      </c>
      <c r="BU46" s="28">
        <v>6290</v>
      </c>
      <c r="BV46" s="28">
        <v>6390</v>
      </c>
      <c r="BW46" s="28">
        <v>9470</v>
      </c>
      <c r="BX46" s="28">
        <v>7640</v>
      </c>
      <c r="BY46" s="28">
        <v>6840</v>
      </c>
      <c r="CH46" s="39">
        <f>SUM(E46:H46)</f>
        <v>6723</v>
      </c>
      <c r="CI46" s="39">
        <f>SUM(I46:L46)</f>
        <v>7320</v>
      </c>
      <c r="CJ46" s="39">
        <f>SUM(M46:P46)</f>
        <v>8307</v>
      </c>
      <c r="CK46" s="39">
        <f>SUM(Q46:T46)</f>
        <v>8657</v>
      </c>
      <c r="CL46" s="39">
        <f>SUM(U46:X46)</f>
        <v>9021</v>
      </c>
      <c r="CM46" s="39">
        <f>SUM(Y46:AB46)</f>
        <v>9675</v>
      </c>
      <c r="CN46" s="39">
        <f>SUM(AC46:AF46)</f>
        <v>9946</v>
      </c>
      <c r="CO46" s="39">
        <f>SUM(AG46:AJ46)</f>
        <v>11325</v>
      </c>
      <c r="CP46" s="39">
        <f>SUM(AK46:AN46)</f>
        <v>12444</v>
      </c>
      <c r="CQ46" s="39">
        <f>SUM(AO46:AR46)</f>
        <v>13601</v>
      </c>
      <c r="CR46" s="39">
        <f>SUM(AS46:AV46)</f>
        <v>14884</v>
      </c>
      <c r="CS46" s="1">
        <f t="shared" ref="CS46:CS57" si="63">SUM(AW46:AZ46)</f>
        <v>14351</v>
      </c>
      <c r="CT46" s="1">
        <f t="shared" ref="CT46:CT57" si="64">SUM(BA46:BD46)</f>
        <v>17108</v>
      </c>
      <c r="CU46" s="1">
        <f t="shared" ref="CU46:CU57" si="65">SUM(BE46:BH46)</f>
        <v>18449</v>
      </c>
      <c r="CV46" s="1">
        <f t="shared" ref="CV46:CV57" si="66">SUM(BI46:BL46)</f>
        <v>20498</v>
      </c>
      <c r="CW46" s="1">
        <f t="shared" ref="CW46:CW57" si="67">SUM(BM46:BP46)</f>
        <v>22595</v>
      </c>
      <c r="CX46" s="68">
        <f t="shared" ref="CX46:DG46" si="68">CX16</f>
        <v>25266.35</v>
      </c>
      <c r="CY46" s="68">
        <f t="shared" si="68"/>
        <v>27491.718553999999</v>
      </c>
      <c r="CZ46" s="68">
        <f t="shared" si="68"/>
        <v>29635.032204108007</v>
      </c>
      <c r="DA46" s="68">
        <f t="shared" si="68"/>
        <v>31732.058838227531</v>
      </c>
      <c r="DB46" s="68">
        <f t="shared" si="68"/>
        <v>33932.015158148839</v>
      </c>
      <c r="DC46" s="68">
        <f t="shared" si="68"/>
        <v>36198.643407155389</v>
      </c>
      <c r="DD46" s="68">
        <f t="shared" si="68"/>
        <v>38564.62904789568</v>
      </c>
      <c r="DE46" s="68">
        <f t="shared" si="68"/>
        <v>40947.918756093291</v>
      </c>
      <c r="DF46" s="68">
        <f t="shared" si="68"/>
        <v>43427.434823802105</v>
      </c>
      <c r="DG46" s="68">
        <f t="shared" si="68"/>
        <v>46087.976048798824</v>
      </c>
      <c r="DH46" s="28"/>
      <c r="DI46" s="28"/>
      <c r="DJ46" s="28"/>
      <c r="DK46" s="28"/>
      <c r="DL46" s="28"/>
      <c r="DM46" s="28"/>
      <c r="DN46" s="28"/>
      <c r="DO46" s="28"/>
      <c r="DP46" s="28"/>
      <c r="DQ46" s="28"/>
      <c r="DR46" s="28"/>
      <c r="DS46" s="28"/>
      <c r="DT46" s="28"/>
      <c r="DU46" s="28"/>
      <c r="DV46" s="28"/>
      <c r="DW46" s="28"/>
      <c r="DX46" s="28"/>
      <c r="DY46" s="28"/>
      <c r="DZ46" s="28"/>
      <c r="EA46" s="28"/>
      <c r="EB46" s="28"/>
      <c r="EC46" s="28"/>
      <c r="ED46" s="28"/>
      <c r="EE46" s="28"/>
      <c r="EF46" s="28"/>
      <c r="EG46" s="28"/>
      <c r="EH46" s="28"/>
      <c r="EI46" s="28"/>
      <c r="EJ46" s="28"/>
      <c r="EK46" s="28"/>
      <c r="EL46" s="28"/>
      <c r="EM46" s="28"/>
      <c r="EN46" s="28"/>
      <c r="EO46" s="28"/>
      <c r="EP46" s="28"/>
      <c r="EQ46" s="28"/>
    </row>
    <row r="47" spans="2:147">
      <c r="B47" s="2" t="s">
        <v>23</v>
      </c>
      <c r="C47" s="36">
        <v>533.20000000000005</v>
      </c>
      <c r="D47" s="36">
        <v>541.70000000000005</v>
      </c>
      <c r="E47" s="36">
        <v>515.5</v>
      </c>
      <c r="F47" s="36">
        <v>536.29999999999995</v>
      </c>
      <c r="G47" s="36">
        <v>538.70000000000005</v>
      </c>
      <c r="H47" s="36">
        <v>593.5</v>
      </c>
      <c r="I47" s="36">
        <v>581.4</v>
      </c>
      <c r="J47" s="36">
        <v>539.29999999999995</v>
      </c>
      <c r="K47" s="36">
        <v>541</v>
      </c>
      <c r="L47" s="36">
        <v>624.29999999999995</v>
      </c>
      <c r="M47" s="36">
        <v>689</v>
      </c>
      <c r="N47" s="36">
        <v>713</v>
      </c>
      <c r="O47" s="36">
        <v>669</v>
      </c>
      <c r="P47" s="36">
        <v>740</v>
      </c>
      <c r="Q47" s="36">
        <v>709</v>
      </c>
      <c r="R47" s="36">
        <v>672</v>
      </c>
      <c r="S47" s="36">
        <v>655</v>
      </c>
      <c r="T47" s="36">
        <v>745</v>
      </c>
      <c r="U47" s="36">
        <v>713</v>
      </c>
      <c r="V47" s="36">
        <v>730</v>
      </c>
      <c r="W47" s="36">
        <v>682</v>
      </c>
      <c r="X47" s="36">
        <v>877</v>
      </c>
      <c r="Y47" s="36">
        <v>776</v>
      </c>
      <c r="Z47" s="36">
        <v>815</v>
      </c>
      <c r="AA47" s="36">
        <v>829</v>
      </c>
      <c r="AB47" s="36">
        <v>899</v>
      </c>
      <c r="AC47" s="36">
        <v>826</v>
      </c>
      <c r="AD47" s="36">
        <v>827</v>
      </c>
      <c r="AE47" s="36">
        <v>796</v>
      </c>
      <c r="AF47" s="36">
        <v>895</v>
      </c>
      <c r="AG47" s="36">
        <v>801</v>
      </c>
      <c r="AH47" s="36">
        <v>998</v>
      </c>
      <c r="AI47" s="36">
        <v>960</v>
      </c>
      <c r="AJ47" s="36">
        <v>1062</v>
      </c>
      <c r="AK47" s="36">
        <v>991</v>
      </c>
      <c r="AL47" s="36">
        <v>1021</v>
      </c>
      <c r="AM47" s="36">
        <v>1022</v>
      </c>
      <c r="AN47" s="36">
        <v>1230</v>
      </c>
      <c r="AO47" s="36">
        <v>1104</v>
      </c>
      <c r="AP47" s="36">
        <v>1132</v>
      </c>
      <c r="AQ47" s="36">
        <v>1087</v>
      </c>
      <c r="AR47" s="36">
        <v>1340</v>
      </c>
      <c r="AS47" s="36">
        <v>1233</v>
      </c>
      <c r="AT47" s="36">
        <v>1270</v>
      </c>
      <c r="AU47" s="36">
        <v>1257</v>
      </c>
      <c r="AV47" s="36">
        <v>1428</v>
      </c>
      <c r="AW47" s="2">
        <v>1257</v>
      </c>
      <c r="AX47" s="2">
        <v>1216</v>
      </c>
      <c r="AY47" s="2">
        <v>1276</v>
      </c>
      <c r="AZ47" s="2">
        <f>5294-SUM(AW47:AY47)</f>
        <v>1545</v>
      </c>
      <c r="BA47" s="2">
        <v>1444</v>
      </c>
      <c r="BB47" s="2">
        <v>1522</v>
      </c>
      <c r="BC47" s="2">
        <v>1518</v>
      </c>
      <c r="BD47" s="2">
        <f>6140-SUM(BA47:BC47)</f>
        <v>1656</v>
      </c>
      <c r="BE47" s="2">
        <v>1541</v>
      </c>
      <c r="BF47" s="2">
        <v>1667</v>
      </c>
      <c r="BG47" s="2">
        <v>1697</v>
      </c>
      <c r="BH47" s="2">
        <f>6871-SUM(BE47:BG47)</f>
        <v>1966</v>
      </c>
      <c r="BI47" s="2">
        <v>1762</v>
      </c>
      <c r="BJ47" s="2">
        <v>1815</v>
      </c>
      <c r="BK47" s="2">
        <v>1751</v>
      </c>
      <c r="BL47" s="2">
        <f>7440-SUM(BI47:BK47)</f>
        <v>2112</v>
      </c>
      <c r="BM47" s="2">
        <v>1910</v>
      </c>
      <c r="BN47" s="2">
        <v>2006</v>
      </c>
      <c r="BO47" s="2">
        <v>1977</v>
      </c>
      <c r="BP47" s="2">
        <f>8155-SUM(BM47:BO47)</f>
        <v>2262</v>
      </c>
      <c r="BQ47" s="2">
        <v>2122</v>
      </c>
      <c r="CH47" s="37">
        <f t="shared" ref="CH47:CH57" si="69">SUM(E47:H47)</f>
        <v>2184</v>
      </c>
      <c r="CI47" s="37">
        <f t="shared" ref="CI47:CI57" si="70">SUM(I47:L47)</f>
        <v>2286</v>
      </c>
      <c r="CJ47" s="37">
        <f t="shared" ref="CJ47:CJ57" si="71">SUM(M47:P47)</f>
        <v>2811</v>
      </c>
      <c r="CK47" s="37">
        <f t="shared" ref="CK47:CK57" si="72">SUM(Q47:T47)</f>
        <v>2781</v>
      </c>
      <c r="CL47" s="37">
        <f t="shared" ref="CL47:CL57" si="73">SUM(U47:X47)</f>
        <v>3002</v>
      </c>
      <c r="CM47" s="37">
        <f t="shared" ref="CM47:CM57" si="74">SUM(Y47:AB47)</f>
        <v>3319</v>
      </c>
      <c r="CN47" s="37">
        <f t="shared" ref="CN47:CN57" si="75">SUM(AC47:AF47)</f>
        <v>3344</v>
      </c>
      <c r="CO47" s="37">
        <f t="shared" ref="CO47:CO57" si="76">SUM(AG47:AJ47)</f>
        <v>3821</v>
      </c>
      <c r="CP47" s="37">
        <f t="shared" ref="CP47:CP57" si="77">SUM(AK47:AN47)</f>
        <v>4264</v>
      </c>
      <c r="CQ47" s="37">
        <f t="shared" ref="CQ47:CQ57" si="78">SUM(AO47:AR47)</f>
        <v>4663</v>
      </c>
      <c r="CR47" s="37">
        <f t="shared" ref="CR47:CR57" si="79">SUM(AS47:AV47)</f>
        <v>5188</v>
      </c>
      <c r="CS47" s="2">
        <f t="shared" si="63"/>
        <v>5294</v>
      </c>
      <c r="CT47" s="2">
        <f t="shared" si="64"/>
        <v>6140</v>
      </c>
      <c r="CU47" s="2">
        <f t="shared" si="65"/>
        <v>6871</v>
      </c>
      <c r="CV47" s="2">
        <f t="shared" si="66"/>
        <v>7440</v>
      </c>
      <c r="CW47" s="2">
        <f t="shared" si="67"/>
        <v>8155</v>
      </c>
      <c r="CX47" s="67">
        <f>CX46*(1-CX61)</f>
        <v>8944.2878999999994</v>
      </c>
      <c r="CY47" s="67">
        <f t="shared" ref="CY47:DG47" si="80">CY46*(1-CY61)</f>
        <v>9677.0849310079993</v>
      </c>
      <c r="CZ47" s="67">
        <f t="shared" si="80"/>
        <v>10372.261271437801</v>
      </c>
      <c r="DA47" s="67">
        <f t="shared" si="80"/>
        <v>11042.75647570318</v>
      </c>
      <c r="DB47" s="67">
        <f t="shared" si="80"/>
        <v>11740.477244719497</v>
      </c>
      <c r="DC47" s="67">
        <f t="shared" si="80"/>
        <v>12452.333332061453</v>
      </c>
      <c r="DD47" s="67">
        <f t="shared" si="80"/>
        <v>13189.103134380321</v>
      </c>
      <c r="DE47" s="67">
        <f t="shared" si="80"/>
        <v>13922.292377071717</v>
      </c>
      <c r="DF47" s="67">
        <f t="shared" si="80"/>
        <v>14765.327840092714</v>
      </c>
      <c r="DG47" s="67">
        <f t="shared" si="80"/>
        <v>15669.9118565916</v>
      </c>
    </row>
    <row r="48" spans="2:147">
      <c r="B48" s="2" t="s">
        <v>1200</v>
      </c>
      <c r="C48" s="36">
        <f>C46-C47</f>
        <v>1179.3999999999999</v>
      </c>
      <c r="D48" s="36">
        <f t="shared" ref="D48:AV48" si="81">D46-D47</f>
        <v>1111.3</v>
      </c>
      <c r="E48" s="36">
        <f t="shared" si="81"/>
        <v>1085.8</v>
      </c>
      <c r="F48" s="36">
        <f t="shared" si="81"/>
        <v>1098</v>
      </c>
      <c r="G48" s="36">
        <f t="shared" si="81"/>
        <v>1114.5999999999999</v>
      </c>
      <c r="H48" s="36">
        <f t="shared" si="81"/>
        <v>1240.5999999999999</v>
      </c>
      <c r="I48" s="36">
        <f t="shared" si="81"/>
        <v>1217.6999999999998</v>
      </c>
      <c r="J48" s="36">
        <f t="shared" si="81"/>
        <v>1218.9000000000001</v>
      </c>
      <c r="K48" s="36">
        <f t="shared" si="81"/>
        <v>1227</v>
      </c>
      <c r="L48" s="36">
        <f t="shared" si="81"/>
        <v>1370.4</v>
      </c>
      <c r="M48" s="36">
        <f t="shared" si="81"/>
        <v>1326</v>
      </c>
      <c r="N48" s="36">
        <f t="shared" si="81"/>
        <v>1333</v>
      </c>
      <c r="O48" s="36">
        <f t="shared" si="81"/>
        <v>1362</v>
      </c>
      <c r="P48" s="36">
        <f t="shared" si="81"/>
        <v>1475</v>
      </c>
      <c r="Q48" s="36">
        <f t="shared" si="81"/>
        <v>1452</v>
      </c>
      <c r="R48" s="36">
        <f t="shared" si="81"/>
        <v>1434</v>
      </c>
      <c r="S48" s="36">
        <f t="shared" si="81"/>
        <v>1397</v>
      </c>
      <c r="T48" s="36">
        <f t="shared" si="81"/>
        <v>1593</v>
      </c>
      <c r="U48" s="36">
        <f t="shared" si="81"/>
        <v>1477</v>
      </c>
      <c r="V48" s="36">
        <f t="shared" si="81"/>
        <v>1482</v>
      </c>
      <c r="W48" s="36">
        <f t="shared" si="81"/>
        <v>1469</v>
      </c>
      <c r="X48" s="36">
        <f t="shared" si="81"/>
        <v>1591</v>
      </c>
      <c r="Y48" s="36">
        <f t="shared" si="81"/>
        <v>1529</v>
      </c>
      <c r="Z48" s="36">
        <f t="shared" si="81"/>
        <v>1548</v>
      </c>
      <c r="AA48" s="36">
        <f t="shared" si="81"/>
        <v>1560</v>
      </c>
      <c r="AB48" s="36">
        <f t="shared" si="81"/>
        <v>1719</v>
      </c>
      <c r="AC48" s="36">
        <f t="shared" si="81"/>
        <v>1553</v>
      </c>
      <c r="AD48" s="36">
        <f t="shared" si="81"/>
        <v>1605</v>
      </c>
      <c r="AE48" s="36">
        <f t="shared" si="81"/>
        <v>1624</v>
      </c>
      <c r="AF48" s="36">
        <f t="shared" si="81"/>
        <v>1820</v>
      </c>
      <c r="AG48" s="36">
        <f t="shared" si="81"/>
        <v>1694</v>
      </c>
      <c r="AH48" s="36">
        <f t="shared" si="81"/>
        <v>1842</v>
      </c>
      <c r="AI48" s="36">
        <f t="shared" si="81"/>
        <v>1873</v>
      </c>
      <c r="AJ48" s="36">
        <f t="shared" si="81"/>
        <v>2095</v>
      </c>
      <c r="AK48" s="36">
        <f t="shared" si="81"/>
        <v>1964</v>
      </c>
      <c r="AL48" s="36">
        <f t="shared" si="81"/>
        <v>1991</v>
      </c>
      <c r="AM48" s="36">
        <f t="shared" si="81"/>
        <v>1984</v>
      </c>
      <c r="AN48" s="36">
        <f t="shared" si="81"/>
        <v>2241</v>
      </c>
      <c r="AO48" s="36">
        <f t="shared" si="81"/>
        <v>2137</v>
      </c>
      <c r="AP48" s="36">
        <f t="shared" si="81"/>
        <v>2190</v>
      </c>
      <c r="AQ48" s="36">
        <f t="shared" si="81"/>
        <v>2155</v>
      </c>
      <c r="AR48" s="36">
        <f t="shared" si="81"/>
        <v>2456</v>
      </c>
      <c r="AS48" s="36">
        <f t="shared" si="81"/>
        <v>2283</v>
      </c>
      <c r="AT48" s="36">
        <f t="shared" si="81"/>
        <v>2380</v>
      </c>
      <c r="AU48" s="36">
        <f t="shared" si="81"/>
        <v>2330</v>
      </c>
      <c r="AV48" s="36">
        <f t="shared" si="81"/>
        <v>2703</v>
      </c>
      <c r="AW48" s="36">
        <f t="shared" ref="AW48" si="82">AW46-AW47</f>
        <v>2331</v>
      </c>
      <c r="AX48" s="36">
        <f t="shared" ref="AX48" si="83">AX46-AX47</f>
        <v>1548</v>
      </c>
      <c r="AY48" s="36">
        <f t="shared" ref="AY48" si="84">AY46-AY47</f>
        <v>2461</v>
      </c>
      <c r="AZ48" s="36">
        <f t="shared" ref="AZ48" si="85">AZ46-AZ47</f>
        <v>2717</v>
      </c>
      <c r="BA48" s="36">
        <f t="shared" ref="BA48" si="86">BA46-BA47</f>
        <v>2509</v>
      </c>
      <c r="BB48" s="36">
        <f t="shared" ref="BB48" si="87">BB46-BB47</f>
        <v>2772</v>
      </c>
      <c r="BC48" s="36">
        <f t="shared" ref="BC48" si="88">BC46-BC47</f>
        <v>2642</v>
      </c>
      <c r="BD48" s="36">
        <f t="shared" ref="BD48" si="89">BD46-BD47</f>
        <v>3045</v>
      </c>
      <c r="BE48" s="36">
        <f t="shared" ref="BE48" si="90">BE46-BE47</f>
        <v>2734</v>
      </c>
      <c r="BF48" s="36">
        <f t="shared" ref="BF48" si="91">BF46-BF47</f>
        <v>2826</v>
      </c>
      <c r="BG48" s="36">
        <f t="shared" ref="BG48" si="92">BG46-BG47</f>
        <v>2782</v>
      </c>
      <c r="BH48" s="36">
        <f t="shared" ref="BH48" si="93">BH46-BH47</f>
        <v>3236</v>
      </c>
      <c r="BI48" s="36">
        <f t="shared" ref="BI48" si="94">BI46-BI47</f>
        <v>3016</v>
      </c>
      <c r="BJ48" s="36">
        <f t="shared" ref="BJ48" si="95">BJ46-BJ47</f>
        <v>3181</v>
      </c>
      <c r="BK48" s="36">
        <f t="shared" ref="BK48" si="96">BK46-BK47</f>
        <v>3158</v>
      </c>
      <c r="BL48" s="36">
        <f t="shared" ref="BL48" si="97">BL46-BL47</f>
        <v>3703</v>
      </c>
      <c r="BM48" s="36">
        <f t="shared" ref="BM48" si="98">BM46-BM47</f>
        <v>3333</v>
      </c>
      <c r="BN48" s="36">
        <f t="shared" ref="BN48" si="99">BN46-BN47</f>
        <v>3416</v>
      </c>
      <c r="BO48" s="36">
        <f t="shared" ref="BO48" si="100">BO46-BO47</f>
        <v>3517</v>
      </c>
      <c r="BP48" s="36">
        <f t="shared" ref="BP48" si="101">BP46-BP47</f>
        <v>4174</v>
      </c>
      <c r="BQ48" s="36">
        <f t="shared" ref="BQ48" si="102">BQ46-BQ47</f>
        <v>3744</v>
      </c>
      <c r="CH48" s="37">
        <f t="shared" ref="CH48:CQ48" si="103">CH46-CH47</f>
        <v>4539</v>
      </c>
      <c r="CI48" s="37">
        <f t="shared" si="103"/>
        <v>5034</v>
      </c>
      <c r="CJ48" s="37">
        <f t="shared" si="103"/>
        <v>5496</v>
      </c>
      <c r="CK48" s="37">
        <f t="shared" si="103"/>
        <v>5876</v>
      </c>
      <c r="CL48" s="37">
        <f t="shared" si="103"/>
        <v>6019</v>
      </c>
      <c r="CM48" s="37">
        <f t="shared" si="103"/>
        <v>6356</v>
      </c>
      <c r="CN48" s="37">
        <f t="shared" si="103"/>
        <v>6602</v>
      </c>
      <c r="CO48" s="37">
        <f t="shared" si="103"/>
        <v>7504</v>
      </c>
      <c r="CP48" s="37">
        <f t="shared" si="103"/>
        <v>8180</v>
      </c>
      <c r="CQ48" s="37">
        <f t="shared" si="103"/>
        <v>8938</v>
      </c>
      <c r="CR48" s="37">
        <f>CR46-CR47</f>
        <v>9696</v>
      </c>
      <c r="CS48" s="37">
        <f t="shared" si="63"/>
        <v>9057</v>
      </c>
      <c r="CT48" s="2">
        <f t="shared" si="64"/>
        <v>10968</v>
      </c>
      <c r="CU48" s="2">
        <f t="shared" si="65"/>
        <v>11578</v>
      </c>
      <c r="CV48" s="2">
        <f t="shared" si="66"/>
        <v>13058</v>
      </c>
      <c r="CW48" s="2">
        <f t="shared" si="67"/>
        <v>14440</v>
      </c>
      <c r="CX48" s="67">
        <f>CX46-CX47</f>
        <v>16322.062099999999</v>
      </c>
      <c r="CY48" s="67">
        <f t="shared" ref="CY48:DG48" si="104">CY46-CY47</f>
        <v>17814.633622991998</v>
      </c>
      <c r="CZ48" s="67">
        <f t="shared" si="104"/>
        <v>19262.770932670206</v>
      </c>
      <c r="DA48" s="67">
        <f t="shared" si="104"/>
        <v>20689.302362524351</v>
      </c>
      <c r="DB48" s="67">
        <f t="shared" si="104"/>
        <v>22191.53791342934</v>
      </c>
      <c r="DC48" s="67">
        <f t="shared" si="104"/>
        <v>23746.310075093934</v>
      </c>
      <c r="DD48" s="67">
        <f t="shared" si="104"/>
        <v>25375.525913515361</v>
      </c>
      <c r="DE48" s="67">
        <f t="shared" si="104"/>
        <v>27025.626379021574</v>
      </c>
      <c r="DF48" s="67">
        <f t="shared" si="104"/>
        <v>28662.106983709389</v>
      </c>
      <c r="DG48" s="67">
        <f t="shared" si="104"/>
        <v>30418.064192207225</v>
      </c>
    </row>
    <row r="49" spans="2:147">
      <c r="B49" s="2" t="s">
        <v>1202</v>
      </c>
      <c r="C49" s="36">
        <v>90.3</v>
      </c>
      <c r="D49" s="36">
        <v>92.6</v>
      </c>
      <c r="E49" s="36">
        <v>80.400000000000006</v>
      </c>
      <c r="F49" s="36">
        <v>82.6</v>
      </c>
      <c r="G49" s="36">
        <v>83.7</v>
      </c>
      <c r="H49" s="36">
        <v>89.3</v>
      </c>
      <c r="I49" s="36">
        <v>90</v>
      </c>
      <c r="J49" s="36">
        <v>94.6</v>
      </c>
      <c r="K49" s="36">
        <v>99</v>
      </c>
      <c r="L49" s="36">
        <v>110.4</v>
      </c>
      <c r="M49" s="36">
        <v>111</v>
      </c>
      <c r="N49" s="36">
        <v>114</v>
      </c>
      <c r="O49" s="36">
        <v>122</v>
      </c>
      <c r="P49" s="36">
        <v>115</v>
      </c>
      <c r="Q49" s="36">
        <v>112</v>
      </c>
      <c r="R49" s="36">
        <v>116</v>
      </c>
      <c r="S49" s="36">
        <v>114</v>
      </c>
      <c r="T49" s="36">
        <v>129</v>
      </c>
      <c r="U49" s="36">
        <v>129</v>
      </c>
      <c r="V49" s="36">
        <v>132</v>
      </c>
      <c r="W49" s="36">
        <v>136</v>
      </c>
      <c r="X49" s="36">
        <v>139</v>
      </c>
      <c r="Y49" s="36">
        <v>150</v>
      </c>
      <c r="Z49" s="36">
        <v>158</v>
      </c>
      <c r="AA49" s="36">
        <v>153</v>
      </c>
      <c r="AB49" s="36">
        <v>153</v>
      </c>
      <c r="AC49" s="36">
        <v>152</v>
      </c>
      <c r="AD49" s="36">
        <v>154</v>
      </c>
      <c r="AE49" s="36">
        <v>155</v>
      </c>
      <c r="AF49" s="36">
        <v>164</v>
      </c>
      <c r="AG49" s="36">
        <v>159</v>
      </c>
      <c r="AH49" s="36">
        <v>183</v>
      </c>
      <c r="AI49" s="36">
        <v>184</v>
      </c>
      <c r="AJ49" s="36">
        <v>189</v>
      </c>
      <c r="AK49" s="36">
        <v>192</v>
      </c>
      <c r="AL49" s="36">
        <v>192</v>
      </c>
      <c r="AM49" s="36">
        <v>198</v>
      </c>
      <c r="AN49" s="36">
        <v>205</v>
      </c>
      <c r="AO49" s="36">
        <v>204</v>
      </c>
      <c r="AP49" s="36">
        <v>216</v>
      </c>
      <c r="AQ49" s="36">
        <v>221</v>
      </c>
      <c r="AR49" s="36">
        <v>221</v>
      </c>
      <c r="AS49" s="36">
        <v>225</v>
      </c>
      <c r="AT49" s="36">
        <v>246</v>
      </c>
      <c r="AU49" s="36">
        <v>246</v>
      </c>
      <c r="AV49" s="36">
        <v>254</v>
      </c>
      <c r="AW49" s="2">
        <v>254</v>
      </c>
      <c r="AX49" s="2">
        <v>233</v>
      </c>
      <c r="AY49" s="2">
        <v>242</v>
      </c>
      <c r="AZ49" s="2">
        <f>984-SUM(AW49:AY49)</f>
        <v>255</v>
      </c>
      <c r="BA49" s="2">
        <v>288</v>
      </c>
      <c r="BB49" s="2">
        <v>310</v>
      </c>
      <c r="BC49" s="2">
        <v>306</v>
      </c>
      <c r="BD49" s="2">
        <f>1235-SUM(BA49:BC49)</f>
        <v>331</v>
      </c>
      <c r="BE49" s="2">
        <v>413</v>
      </c>
      <c r="BF49" s="2">
        <v>351</v>
      </c>
      <c r="BG49" s="2">
        <v>364</v>
      </c>
      <c r="BH49" s="2">
        <f>1454-SUM(BE49:BG49)</f>
        <v>326</v>
      </c>
      <c r="BI49" s="2">
        <v>339</v>
      </c>
      <c r="BJ49" s="2">
        <v>346</v>
      </c>
      <c r="BK49" s="2">
        <v>353</v>
      </c>
      <c r="BL49" s="2">
        <f>1388-SUM(BI49:BK49)</f>
        <v>350</v>
      </c>
      <c r="BM49" s="2">
        <v>368</v>
      </c>
      <c r="BN49" s="2">
        <v>363</v>
      </c>
      <c r="BO49" s="2">
        <v>377</v>
      </c>
      <c r="BP49" s="2">
        <f>1466-SUM(BM49:BO49)</f>
        <v>358</v>
      </c>
      <c r="BQ49" s="2">
        <v>405</v>
      </c>
      <c r="CH49" s="37">
        <f t="shared" si="69"/>
        <v>336</v>
      </c>
      <c r="CI49" s="37">
        <f t="shared" si="70"/>
        <v>394</v>
      </c>
      <c r="CJ49" s="37">
        <f t="shared" si="71"/>
        <v>462</v>
      </c>
      <c r="CK49" s="37">
        <f t="shared" si="72"/>
        <v>471</v>
      </c>
      <c r="CL49" s="37">
        <f t="shared" si="73"/>
        <v>536</v>
      </c>
      <c r="CM49" s="37">
        <f t="shared" si="74"/>
        <v>614</v>
      </c>
      <c r="CN49" s="37">
        <f t="shared" si="75"/>
        <v>625</v>
      </c>
      <c r="CO49" s="37">
        <f t="shared" si="76"/>
        <v>715</v>
      </c>
      <c r="CP49" s="37">
        <f t="shared" si="77"/>
        <v>787</v>
      </c>
      <c r="CQ49" s="37">
        <f t="shared" si="78"/>
        <v>862</v>
      </c>
      <c r="CR49" s="37">
        <f t="shared" si="79"/>
        <v>971</v>
      </c>
      <c r="CS49" s="2">
        <f t="shared" si="63"/>
        <v>984</v>
      </c>
      <c r="CT49" s="2">
        <f t="shared" si="64"/>
        <v>1235</v>
      </c>
      <c r="CU49" s="2">
        <f t="shared" si="65"/>
        <v>1454</v>
      </c>
      <c r="CV49" s="2">
        <f t="shared" si="66"/>
        <v>1388</v>
      </c>
      <c r="CW49" s="2">
        <f t="shared" si="67"/>
        <v>1466</v>
      </c>
      <c r="CX49" s="67">
        <f>CX46*CX62</f>
        <v>1718.1118000000001</v>
      </c>
      <c r="CY49" s="67">
        <f t="shared" ref="CY49:DG49" si="105">CY46*CY62</f>
        <v>1869.4368616720001</v>
      </c>
      <c r="CZ49" s="67">
        <f t="shared" si="105"/>
        <v>2015.1821898793446</v>
      </c>
      <c r="DA49" s="67">
        <f t="shared" si="105"/>
        <v>2157.7800009994721</v>
      </c>
      <c r="DB49" s="67">
        <f t="shared" si="105"/>
        <v>2307.3770307541213</v>
      </c>
      <c r="DC49" s="67">
        <f t="shared" si="105"/>
        <v>2461.5077516865667</v>
      </c>
      <c r="DD49" s="67">
        <f t="shared" si="105"/>
        <v>2622.3947752569065</v>
      </c>
      <c r="DE49" s="67">
        <f t="shared" si="105"/>
        <v>2784.4584754143439</v>
      </c>
      <c r="DF49" s="67">
        <f t="shared" si="105"/>
        <v>2953.0655680185432</v>
      </c>
      <c r="DG49" s="67">
        <f t="shared" si="105"/>
        <v>3133.9823713183205</v>
      </c>
    </row>
    <row r="50" spans="2:147">
      <c r="B50" s="2" t="s">
        <v>1201</v>
      </c>
      <c r="C50" s="36">
        <v>678.2</v>
      </c>
      <c r="D50" s="36">
        <v>644.79999999999995</v>
      </c>
      <c r="E50" s="36">
        <v>616.6</v>
      </c>
      <c r="F50" s="36">
        <v>617.1</v>
      </c>
      <c r="G50" s="36">
        <v>643.9</v>
      </c>
      <c r="H50" s="36">
        <v>628.4</v>
      </c>
      <c r="I50" s="36">
        <v>667.8</v>
      </c>
      <c r="J50" s="36">
        <v>661.8</v>
      </c>
      <c r="K50" s="36">
        <v>643</v>
      </c>
      <c r="L50" s="36">
        <v>734.4</v>
      </c>
      <c r="M50" s="36">
        <v>765</v>
      </c>
      <c r="N50" s="36">
        <v>786</v>
      </c>
      <c r="O50" s="36">
        <v>765</v>
      </c>
      <c r="P50" s="36">
        <v>834</v>
      </c>
      <c r="Q50" s="36">
        <v>819</v>
      </c>
      <c r="R50" s="36">
        <v>823</v>
      </c>
      <c r="S50" s="36">
        <v>791</v>
      </c>
      <c r="T50" s="36">
        <v>934</v>
      </c>
      <c r="U50" s="36">
        <v>916</v>
      </c>
      <c r="V50" s="36">
        <v>1015</v>
      </c>
      <c r="W50" s="36">
        <v>1136</v>
      </c>
      <c r="X50" s="36">
        <v>400</v>
      </c>
      <c r="Y50" s="36">
        <v>859</v>
      </c>
      <c r="Z50" s="36">
        <v>870</v>
      </c>
      <c r="AA50" s="36">
        <v>878</v>
      </c>
      <c r="AB50" s="36">
        <v>940</v>
      </c>
      <c r="AC50" s="36">
        <v>892</v>
      </c>
      <c r="AD50" s="36">
        <v>861</v>
      </c>
      <c r="AE50" s="36">
        <v>887</v>
      </c>
      <c r="AF50" s="36">
        <v>970</v>
      </c>
      <c r="AG50" s="36">
        <v>944</v>
      </c>
      <c r="AH50" s="36">
        <v>1043</v>
      </c>
      <c r="AI50" s="36">
        <v>1057</v>
      </c>
      <c r="AJ50" s="36">
        <v>1093</v>
      </c>
      <c r="AK50" s="36">
        <v>1102</v>
      </c>
      <c r="AL50" s="36">
        <v>1130</v>
      </c>
      <c r="AM50" s="36">
        <v>1103</v>
      </c>
      <c r="AN50" s="36">
        <v>1217</v>
      </c>
      <c r="AO50" s="36">
        <v>1236</v>
      </c>
      <c r="AP50" s="36">
        <v>1190</v>
      </c>
      <c r="AQ50" s="36">
        <v>1242</v>
      </c>
      <c r="AR50" s="36">
        <v>1431</v>
      </c>
      <c r="AS50" s="36">
        <v>1403</v>
      </c>
      <c r="AT50" s="36">
        <v>1282</v>
      </c>
      <c r="AU50" s="36">
        <v>1291</v>
      </c>
      <c r="AV50" s="36">
        <v>1380</v>
      </c>
      <c r="AW50" s="2">
        <v>1330</v>
      </c>
      <c r="AX50" s="2">
        <v>1225</v>
      </c>
      <c r="AY50" s="2">
        <v>1244</v>
      </c>
      <c r="AZ50" s="2">
        <f>5361-SUM(AW50:AY50)</f>
        <v>1562</v>
      </c>
      <c r="BA50" s="2">
        <v>1575</v>
      </c>
      <c r="BB50" s="2">
        <v>1505</v>
      </c>
      <c r="BC50" s="2">
        <v>1602</v>
      </c>
      <c r="BD50" s="2">
        <f>6427-SUM(BA50:BC50)</f>
        <v>1745</v>
      </c>
      <c r="BE50" s="2">
        <v>1710</v>
      </c>
      <c r="BF50" s="2">
        <v>1539</v>
      </c>
      <c r="BG50" s="2">
        <v>1455</v>
      </c>
      <c r="BH50" s="2">
        <f>6386-SUM(BE50:BG50)</f>
        <v>1682</v>
      </c>
      <c r="BI50" s="2">
        <v>1781</v>
      </c>
      <c r="BJ50" s="2">
        <v>1709</v>
      </c>
      <c r="BK50" s="2">
        <v>1710</v>
      </c>
      <c r="BL50" s="2">
        <f>7111-SUM(BI50:BK50)</f>
        <v>1911</v>
      </c>
      <c r="BM50" s="2">
        <v>1837</v>
      </c>
      <c r="BN50" s="2">
        <v>1847</v>
      </c>
      <c r="BO50" s="2">
        <v>1896</v>
      </c>
      <c r="BP50" s="2">
        <f>7685-SUM(BM50:BO50)</f>
        <v>2105</v>
      </c>
      <c r="BQ50" s="2">
        <v>2300</v>
      </c>
      <c r="CH50" s="37">
        <f t="shared" si="69"/>
        <v>2506</v>
      </c>
      <c r="CI50" s="37">
        <f t="shared" si="70"/>
        <v>2707</v>
      </c>
      <c r="CJ50" s="37">
        <f t="shared" si="71"/>
        <v>3150</v>
      </c>
      <c r="CK50" s="37">
        <f t="shared" si="72"/>
        <v>3367</v>
      </c>
      <c r="CL50" s="37">
        <f t="shared" si="73"/>
        <v>3467</v>
      </c>
      <c r="CM50" s="37">
        <f t="shared" si="74"/>
        <v>3547</v>
      </c>
      <c r="CN50" s="37">
        <f t="shared" si="75"/>
        <v>3610</v>
      </c>
      <c r="CO50" s="37">
        <f t="shared" si="76"/>
        <v>4137</v>
      </c>
      <c r="CP50" s="37">
        <f t="shared" si="77"/>
        <v>4552</v>
      </c>
      <c r="CQ50" s="37">
        <f t="shared" si="78"/>
        <v>5099</v>
      </c>
      <c r="CR50" s="37">
        <f t="shared" si="79"/>
        <v>5356</v>
      </c>
      <c r="CS50" s="2">
        <f t="shared" si="63"/>
        <v>5361</v>
      </c>
      <c r="CT50" s="2">
        <f t="shared" si="64"/>
        <v>6427</v>
      </c>
      <c r="CU50" s="2">
        <f t="shared" si="65"/>
        <v>6386</v>
      </c>
      <c r="CV50" s="2">
        <f t="shared" si="66"/>
        <v>7111</v>
      </c>
      <c r="CW50" s="2">
        <f t="shared" si="67"/>
        <v>7685</v>
      </c>
      <c r="CX50" s="67">
        <f>CX46*CX63</f>
        <v>8514.7599499999997</v>
      </c>
      <c r="CY50" s="67">
        <f t="shared" ref="CY50:DG50" si="106">CY46*CY63</f>
        <v>9182.2339970360008</v>
      </c>
      <c r="CZ50" s="67">
        <f t="shared" si="106"/>
        <v>9838.8306917638583</v>
      </c>
      <c r="DA50" s="67">
        <f t="shared" si="106"/>
        <v>10471.579416615086</v>
      </c>
      <c r="DB50" s="67">
        <f t="shared" si="106"/>
        <v>11129.70097187282</v>
      </c>
      <c r="DC50" s="67">
        <f t="shared" si="106"/>
        <v>11836.956394139812</v>
      </c>
      <c r="DD50" s="67">
        <f t="shared" si="106"/>
        <v>12572.069069613992</v>
      </c>
      <c r="DE50" s="67">
        <f t="shared" si="106"/>
        <v>13308.07359573032</v>
      </c>
      <c r="DF50" s="67">
        <f t="shared" si="106"/>
        <v>14113.916317735684</v>
      </c>
      <c r="DG50" s="67">
        <f t="shared" si="106"/>
        <v>14978.592215859619</v>
      </c>
    </row>
    <row r="51" spans="2:147">
      <c r="B51" s="2" t="s">
        <v>1203</v>
      </c>
      <c r="C51" s="2">
        <v>0</v>
      </c>
      <c r="D51" s="2">
        <v>0</v>
      </c>
      <c r="E51" s="2">
        <v>0</v>
      </c>
      <c r="F51" s="2">
        <v>0</v>
      </c>
      <c r="G51" s="2">
        <v>0</v>
      </c>
      <c r="H51" s="2">
        <v>0</v>
      </c>
      <c r="I51" s="2">
        <v>0</v>
      </c>
      <c r="J51" s="2">
        <v>0</v>
      </c>
      <c r="K51" s="2">
        <v>0</v>
      </c>
      <c r="L51" s="2">
        <v>0</v>
      </c>
      <c r="M51" s="2">
        <v>0</v>
      </c>
      <c r="N51" s="2">
        <v>0</v>
      </c>
      <c r="O51" s="2">
        <v>0</v>
      </c>
      <c r="P51" s="2">
        <v>0</v>
      </c>
      <c r="Q51" s="2">
        <v>0</v>
      </c>
      <c r="R51" s="2">
        <v>0</v>
      </c>
      <c r="S51" s="2">
        <v>0</v>
      </c>
      <c r="T51" s="2">
        <v>0</v>
      </c>
      <c r="U51" s="2">
        <v>0</v>
      </c>
      <c r="V51" s="2">
        <v>0</v>
      </c>
      <c r="W51" s="2">
        <v>0</v>
      </c>
      <c r="X51" s="2">
        <v>0</v>
      </c>
      <c r="Y51" s="2">
        <v>0</v>
      </c>
      <c r="Z51" s="2">
        <v>0</v>
      </c>
      <c r="AA51" s="2">
        <v>0</v>
      </c>
      <c r="AB51" s="2">
        <v>0</v>
      </c>
      <c r="AC51" s="2">
        <v>0</v>
      </c>
      <c r="AD51" s="2">
        <v>0</v>
      </c>
      <c r="AE51" s="2">
        <v>0</v>
      </c>
      <c r="AF51" s="2">
        <v>0</v>
      </c>
      <c r="AG51" s="2">
        <v>0</v>
      </c>
      <c r="AH51" s="2">
        <v>0</v>
      </c>
      <c r="AI51" s="2">
        <v>0</v>
      </c>
      <c r="AJ51" s="2">
        <v>0</v>
      </c>
      <c r="AK51" s="2">
        <v>0</v>
      </c>
      <c r="AL51" s="2">
        <v>0</v>
      </c>
      <c r="AM51" s="2">
        <v>0</v>
      </c>
      <c r="AN51" s="2">
        <v>0</v>
      </c>
      <c r="AO51" s="2">
        <v>0</v>
      </c>
      <c r="AP51" s="2">
        <v>0</v>
      </c>
      <c r="AQ51" s="2">
        <v>0</v>
      </c>
      <c r="AR51" s="2">
        <v>0</v>
      </c>
      <c r="AS51" s="2">
        <v>0</v>
      </c>
      <c r="AT51" s="2">
        <v>0</v>
      </c>
      <c r="AU51" s="2">
        <v>0</v>
      </c>
      <c r="AV51" s="2">
        <v>0</v>
      </c>
      <c r="AW51" s="2">
        <v>-6</v>
      </c>
      <c r="AX51" s="2">
        <v>0</v>
      </c>
      <c r="AY51" s="2">
        <v>2</v>
      </c>
      <c r="AZ51" s="2">
        <f>17-SUM(AW51:AY51)</f>
        <v>21</v>
      </c>
      <c r="BA51" s="2">
        <v>6</v>
      </c>
      <c r="BB51" s="2">
        <v>76</v>
      </c>
      <c r="BC51" s="2">
        <v>16</v>
      </c>
      <c r="BD51" s="2">
        <f>103-SUM(BA51:BC51)</f>
        <v>5</v>
      </c>
      <c r="BE51" s="2">
        <v>14</v>
      </c>
      <c r="BF51" s="2">
        <v>4</v>
      </c>
      <c r="BG51" s="2">
        <v>-4</v>
      </c>
      <c r="BH51" s="2">
        <f>627-SUM(BE51:BG51)</f>
        <v>613</v>
      </c>
      <c r="BI51" s="2">
        <v>161</v>
      </c>
      <c r="BJ51" s="2">
        <v>161</v>
      </c>
      <c r="BK51" s="2">
        <v>164</v>
      </c>
      <c r="BL51" s="2">
        <f>635-SUM(BI51:BK51)</f>
        <v>149</v>
      </c>
      <c r="BM51" s="2">
        <v>153</v>
      </c>
      <c r="BN51" s="2">
        <v>155</v>
      </c>
      <c r="BO51" s="2">
        <v>0</v>
      </c>
      <c r="BP51" s="2">
        <f>623-SUM(BM51:BO51)</f>
        <v>315</v>
      </c>
      <c r="BQ51" s="2">
        <v>167</v>
      </c>
      <c r="CH51" s="37">
        <f t="shared" si="69"/>
        <v>0</v>
      </c>
      <c r="CI51" s="37">
        <f t="shared" si="70"/>
        <v>0</v>
      </c>
      <c r="CJ51" s="37">
        <f t="shared" si="71"/>
        <v>0</v>
      </c>
      <c r="CK51" s="37">
        <f t="shared" si="72"/>
        <v>0</v>
      </c>
      <c r="CL51" s="37">
        <f t="shared" si="73"/>
        <v>0</v>
      </c>
      <c r="CM51" s="37">
        <f t="shared" si="74"/>
        <v>0</v>
      </c>
      <c r="CN51" s="37">
        <f t="shared" si="75"/>
        <v>0</v>
      </c>
      <c r="CO51" s="37">
        <f t="shared" si="76"/>
        <v>0</v>
      </c>
      <c r="CP51" s="37">
        <f t="shared" si="77"/>
        <v>0</v>
      </c>
      <c r="CQ51" s="37">
        <f t="shared" si="78"/>
        <v>0</v>
      </c>
      <c r="CR51" s="37">
        <f t="shared" si="79"/>
        <v>0</v>
      </c>
      <c r="CS51" s="2">
        <f t="shared" si="63"/>
        <v>17</v>
      </c>
      <c r="CT51" s="2">
        <f t="shared" si="64"/>
        <v>103</v>
      </c>
      <c r="CU51" s="2">
        <f t="shared" si="65"/>
        <v>627</v>
      </c>
      <c r="CV51" s="2">
        <f t="shared" si="66"/>
        <v>635</v>
      </c>
      <c r="CW51" s="2">
        <f t="shared" si="67"/>
        <v>623</v>
      </c>
      <c r="CX51" s="67">
        <f>CW51*(1.03)</f>
        <v>641.69000000000005</v>
      </c>
      <c r="CY51" s="67">
        <f t="shared" ref="CY51:DG51" si="107">CX51*(1.03)</f>
        <v>660.94070000000011</v>
      </c>
      <c r="CZ51" s="67">
        <f t="shared" si="107"/>
        <v>680.76892100000009</v>
      </c>
      <c r="DA51" s="67">
        <f t="shared" si="107"/>
        <v>701.19198863000008</v>
      </c>
      <c r="DB51" s="67">
        <f t="shared" si="107"/>
        <v>722.2277482889001</v>
      </c>
      <c r="DC51" s="67">
        <f t="shared" si="107"/>
        <v>743.89458073756714</v>
      </c>
      <c r="DD51" s="67">
        <f t="shared" si="107"/>
        <v>766.21141815969418</v>
      </c>
      <c r="DE51" s="67">
        <f t="shared" si="107"/>
        <v>789.19776070448506</v>
      </c>
      <c r="DF51" s="67">
        <f t="shared" si="107"/>
        <v>812.87369352561961</v>
      </c>
      <c r="DG51" s="67">
        <f t="shared" si="107"/>
        <v>837.25990433138827</v>
      </c>
    </row>
    <row r="52" spans="2:147">
      <c r="B52" s="2" t="s">
        <v>1210</v>
      </c>
      <c r="C52" s="2">
        <v>10</v>
      </c>
      <c r="D52" s="2">
        <v>10</v>
      </c>
      <c r="E52" s="2">
        <v>10</v>
      </c>
      <c r="F52" s="2">
        <v>8</v>
      </c>
      <c r="G52" s="2">
        <v>76</v>
      </c>
      <c r="H52" s="2">
        <v>9</v>
      </c>
      <c r="I52" s="2">
        <v>14</v>
      </c>
      <c r="J52" s="2">
        <v>15</v>
      </c>
      <c r="K52" s="2">
        <v>14</v>
      </c>
      <c r="L52" s="2">
        <v>140</v>
      </c>
      <c r="M52" s="2">
        <v>27</v>
      </c>
      <c r="N52" s="2">
        <v>32</v>
      </c>
      <c r="O52" s="2">
        <v>31</v>
      </c>
      <c r="P52" s="2">
        <v>108</v>
      </c>
      <c r="Q52" s="2">
        <v>45</v>
      </c>
      <c r="R52" s="2">
        <v>50</v>
      </c>
      <c r="S52" s="2">
        <v>42</v>
      </c>
      <c r="T52" s="2">
        <v>160</v>
      </c>
      <c r="U52" s="2">
        <v>46</v>
      </c>
      <c r="V52" s="2">
        <v>45</v>
      </c>
      <c r="W52" s="2">
        <v>47</v>
      </c>
      <c r="X52" s="2">
        <v>622</v>
      </c>
      <c r="Y52" s="2">
        <v>389</v>
      </c>
      <c r="Z52" s="2">
        <v>323</v>
      </c>
      <c r="AA52" s="2">
        <v>79</v>
      </c>
      <c r="AB52" s="2">
        <v>158</v>
      </c>
      <c r="AC52" s="2">
        <v>103</v>
      </c>
      <c r="AD52" s="2">
        <v>161</v>
      </c>
      <c r="AE52" s="2">
        <v>204</v>
      </c>
      <c r="AF52" s="2">
        <v>38</v>
      </c>
      <c r="AG52" s="2">
        <v>72</v>
      </c>
      <c r="AH52" s="2">
        <v>116</v>
      </c>
      <c r="AI52" s="2">
        <v>146</v>
      </c>
      <c r="AJ52" s="2">
        <v>143</v>
      </c>
      <c r="AK52" s="2">
        <v>114</v>
      </c>
      <c r="AL52" s="2">
        <v>167</v>
      </c>
      <c r="AM52" s="2">
        <v>158</v>
      </c>
      <c r="AN52" s="2">
        <v>105</v>
      </c>
      <c r="AO52" s="2">
        <v>106</v>
      </c>
      <c r="AP52" s="2">
        <v>112</v>
      </c>
      <c r="AQ52" s="2">
        <v>116</v>
      </c>
      <c r="AR52" s="2">
        <v>106</v>
      </c>
      <c r="AS52" s="2">
        <v>127</v>
      </c>
      <c r="AT52" s="2">
        <v>239</v>
      </c>
      <c r="AU52" s="2">
        <v>165</v>
      </c>
      <c r="AV52" s="2">
        <v>125</v>
      </c>
      <c r="AW52" s="2">
        <v>118</v>
      </c>
      <c r="AX52" s="2">
        <v>110</v>
      </c>
      <c r="AY52" s="2">
        <v>114</v>
      </c>
      <c r="AZ52" s="2">
        <f>472-SUM(AW52:AY52)</f>
        <v>130</v>
      </c>
      <c r="BA52" s="2">
        <v>181</v>
      </c>
      <c r="BB52" s="2">
        <v>149</v>
      </c>
      <c r="BC52" s="2">
        <v>144</v>
      </c>
      <c r="BD52" s="2">
        <f>619-SUM(BA52:BC52)</f>
        <v>145</v>
      </c>
      <c r="BE52" s="2">
        <v>150</v>
      </c>
      <c r="BF52" s="2">
        <v>160</v>
      </c>
      <c r="BG52" s="2">
        <v>159</v>
      </c>
      <c r="BH52" s="2">
        <f>270-SUM(BE52:BG52)</f>
        <v>-199</v>
      </c>
      <c r="BI52" s="2">
        <v>0</v>
      </c>
      <c r="BJ52" s="2">
        <v>0</v>
      </c>
      <c r="BK52" s="2">
        <v>0</v>
      </c>
      <c r="BL52" s="2">
        <f>36-SUM(BI52:BK52)</f>
        <v>36</v>
      </c>
      <c r="BM52" s="2">
        <v>3</v>
      </c>
      <c r="BN52" s="2">
        <v>0</v>
      </c>
      <c r="BO52" s="2">
        <v>159</v>
      </c>
      <c r="BP52" s="2">
        <f>977-SUM(BM52:BO52)</f>
        <v>815</v>
      </c>
      <c r="BQ52" s="2">
        <v>35</v>
      </c>
      <c r="CH52" s="37">
        <f t="shared" si="69"/>
        <v>103</v>
      </c>
      <c r="CI52" s="37">
        <f t="shared" si="70"/>
        <v>183</v>
      </c>
      <c r="CJ52" s="37">
        <f t="shared" si="71"/>
        <v>198</v>
      </c>
      <c r="CK52" s="37">
        <f t="shared" si="72"/>
        <v>297</v>
      </c>
      <c r="CL52" s="37">
        <f t="shared" si="73"/>
        <v>760</v>
      </c>
      <c r="CM52" s="37">
        <f t="shared" si="74"/>
        <v>949</v>
      </c>
      <c r="CN52" s="37">
        <f t="shared" si="75"/>
        <v>506</v>
      </c>
      <c r="CO52" s="37">
        <f t="shared" si="76"/>
        <v>477</v>
      </c>
      <c r="CP52" s="37">
        <f t="shared" si="77"/>
        <v>544</v>
      </c>
      <c r="CQ52" s="37">
        <f t="shared" si="78"/>
        <v>440</v>
      </c>
      <c r="CR52" s="37">
        <f t="shared" si="79"/>
        <v>656</v>
      </c>
      <c r="CS52" s="2">
        <f t="shared" si="63"/>
        <v>472</v>
      </c>
      <c r="CT52" s="2">
        <f t="shared" si="64"/>
        <v>619</v>
      </c>
      <c r="CU52" s="2">
        <f t="shared" si="65"/>
        <v>270</v>
      </c>
      <c r="CV52" s="2">
        <f t="shared" si="66"/>
        <v>36</v>
      </c>
      <c r="CW52" s="2">
        <f t="shared" si="67"/>
        <v>977</v>
      </c>
      <c r="CX52" s="67">
        <f>500*(0.93)</f>
        <v>465</v>
      </c>
      <c r="CY52" s="67">
        <f>CX52*(1.03)</f>
        <v>478.95</v>
      </c>
      <c r="CZ52" s="67">
        <f t="shared" ref="CZ52:DG52" si="108">CY52*(1.03)</f>
        <v>493.31850000000003</v>
      </c>
      <c r="DA52" s="67">
        <f t="shared" si="108"/>
        <v>508.11805500000003</v>
      </c>
      <c r="DB52" s="67">
        <f t="shared" si="108"/>
        <v>523.36159665000002</v>
      </c>
      <c r="DC52" s="67">
        <f t="shared" si="108"/>
        <v>539.06244454950001</v>
      </c>
      <c r="DD52" s="67">
        <f t="shared" si="108"/>
        <v>555.23431788598498</v>
      </c>
      <c r="DE52" s="67">
        <f t="shared" si="108"/>
        <v>571.89134742256454</v>
      </c>
      <c r="DF52" s="67">
        <f t="shared" si="108"/>
        <v>589.04808784524153</v>
      </c>
      <c r="DG52" s="67">
        <f t="shared" si="108"/>
        <v>606.71953048059879</v>
      </c>
    </row>
    <row r="53" spans="2:147">
      <c r="B53" s="2" t="s">
        <v>22</v>
      </c>
      <c r="C53" s="37">
        <f>C48-SUM(C49:C52)</f>
        <v>400.89999999999986</v>
      </c>
      <c r="D53" s="37">
        <f t="shared" ref="D53:AV53" si="109">D48-SUM(D49:D52)</f>
        <v>363.9</v>
      </c>
      <c r="E53" s="37">
        <f t="shared" si="109"/>
        <v>378.79999999999995</v>
      </c>
      <c r="F53" s="37">
        <f t="shared" si="109"/>
        <v>390.29999999999995</v>
      </c>
      <c r="G53" s="37">
        <f t="shared" si="109"/>
        <v>310.99999999999989</v>
      </c>
      <c r="H53" s="37">
        <f t="shared" si="109"/>
        <v>513.9</v>
      </c>
      <c r="I53" s="37">
        <f t="shared" si="109"/>
        <v>445.89999999999986</v>
      </c>
      <c r="J53" s="37">
        <f t="shared" si="109"/>
        <v>447.50000000000011</v>
      </c>
      <c r="K53" s="37">
        <f t="shared" si="109"/>
        <v>471</v>
      </c>
      <c r="L53" s="37">
        <f t="shared" si="109"/>
        <v>385.60000000000014</v>
      </c>
      <c r="M53" s="37">
        <f t="shared" si="109"/>
        <v>423</v>
      </c>
      <c r="N53" s="37">
        <f t="shared" si="109"/>
        <v>401</v>
      </c>
      <c r="O53" s="37">
        <f t="shared" si="109"/>
        <v>444</v>
      </c>
      <c r="P53" s="37">
        <f t="shared" si="109"/>
        <v>418</v>
      </c>
      <c r="Q53" s="37">
        <f t="shared" si="109"/>
        <v>476</v>
      </c>
      <c r="R53" s="37">
        <f t="shared" si="109"/>
        <v>445</v>
      </c>
      <c r="S53" s="37">
        <f t="shared" si="109"/>
        <v>450</v>
      </c>
      <c r="T53" s="37">
        <f t="shared" si="109"/>
        <v>370</v>
      </c>
      <c r="U53" s="37">
        <f t="shared" si="109"/>
        <v>386</v>
      </c>
      <c r="V53" s="37">
        <f t="shared" si="109"/>
        <v>290</v>
      </c>
      <c r="W53" s="37">
        <f t="shared" si="109"/>
        <v>150</v>
      </c>
      <c r="X53" s="37">
        <f t="shared" si="109"/>
        <v>430</v>
      </c>
      <c r="Y53" s="37">
        <f t="shared" si="109"/>
        <v>131</v>
      </c>
      <c r="Z53" s="37">
        <f t="shared" si="109"/>
        <v>197</v>
      </c>
      <c r="AA53" s="37">
        <f t="shared" si="109"/>
        <v>450</v>
      </c>
      <c r="AB53" s="37">
        <f t="shared" si="109"/>
        <v>468</v>
      </c>
      <c r="AC53" s="37">
        <f t="shared" si="109"/>
        <v>406</v>
      </c>
      <c r="AD53" s="37">
        <f t="shared" si="109"/>
        <v>429</v>
      </c>
      <c r="AE53" s="37">
        <f t="shared" si="109"/>
        <v>378</v>
      </c>
      <c r="AF53" s="37">
        <f t="shared" si="109"/>
        <v>648</v>
      </c>
      <c r="AG53" s="37">
        <f t="shared" si="109"/>
        <v>519</v>
      </c>
      <c r="AH53" s="37">
        <f t="shared" si="109"/>
        <v>500</v>
      </c>
      <c r="AI53" s="37">
        <f t="shared" si="109"/>
        <v>486</v>
      </c>
      <c r="AJ53" s="37">
        <f t="shared" si="109"/>
        <v>670</v>
      </c>
      <c r="AK53" s="37">
        <f t="shared" si="109"/>
        <v>556</v>
      </c>
      <c r="AL53" s="37">
        <f t="shared" si="109"/>
        <v>502</v>
      </c>
      <c r="AM53" s="37">
        <f t="shared" si="109"/>
        <v>525</v>
      </c>
      <c r="AN53" s="37">
        <f t="shared" si="109"/>
        <v>714</v>
      </c>
      <c r="AO53" s="37">
        <f t="shared" si="109"/>
        <v>591</v>
      </c>
      <c r="AP53" s="37">
        <f t="shared" si="109"/>
        <v>672</v>
      </c>
      <c r="AQ53" s="37">
        <f t="shared" si="109"/>
        <v>576</v>
      </c>
      <c r="AR53" s="37">
        <f t="shared" si="109"/>
        <v>698</v>
      </c>
      <c r="AS53" s="37">
        <f t="shared" si="109"/>
        <v>528</v>
      </c>
      <c r="AT53" s="37">
        <f t="shared" si="109"/>
        <v>613</v>
      </c>
      <c r="AU53" s="37">
        <f t="shared" si="109"/>
        <v>628</v>
      </c>
      <c r="AV53" s="37">
        <f t="shared" si="109"/>
        <v>944</v>
      </c>
      <c r="AW53" s="37">
        <f t="shared" ref="AW53" si="110">AW48-SUM(AW49:AW52)</f>
        <v>635</v>
      </c>
      <c r="AX53" s="37">
        <f t="shared" ref="AX53" si="111">AX48-SUM(AX49:AX52)</f>
        <v>-20</v>
      </c>
      <c r="AY53" s="37">
        <f t="shared" ref="AY53" si="112">AY48-SUM(AY49:AY52)</f>
        <v>859</v>
      </c>
      <c r="AZ53" s="37">
        <f t="shared" ref="AZ53" si="113">AZ48-SUM(AZ49:AZ52)</f>
        <v>749</v>
      </c>
      <c r="BA53" s="37">
        <f t="shared" ref="BA53" si="114">BA48-SUM(BA49:BA52)</f>
        <v>459</v>
      </c>
      <c r="BB53" s="37">
        <f t="shared" ref="BB53" si="115">BB48-SUM(BB49:BB52)</f>
        <v>732</v>
      </c>
      <c r="BC53" s="37">
        <f t="shared" ref="BC53" si="116">BC48-SUM(BC49:BC52)</f>
        <v>574</v>
      </c>
      <c r="BD53" s="37">
        <f t="shared" ref="BD53" si="117">BD48-SUM(BD49:BD52)</f>
        <v>819</v>
      </c>
      <c r="BE53" s="37">
        <f t="shared" ref="BE53" si="118">BE48-SUM(BE49:BE52)</f>
        <v>447</v>
      </c>
      <c r="BF53" s="37">
        <f t="shared" ref="BF53" si="119">BF48-SUM(BF49:BF52)</f>
        <v>772</v>
      </c>
      <c r="BG53" s="37">
        <f t="shared" ref="BG53" si="120">BG48-SUM(BG49:BG52)</f>
        <v>808</v>
      </c>
      <c r="BH53" s="37">
        <f t="shared" ref="BH53" si="121">BH48-SUM(BH49:BH52)</f>
        <v>814</v>
      </c>
      <c r="BI53" s="37">
        <f t="shared" ref="BI53" si="122">BI48-SUM(BI49:BI52)</f>
        <v>735</v>
      </c>
      <c r="BJ53" s="37">
        <f t="shared" ref="BJ53" si="123">BJ48-SUM(BJ49:BJ52)</f>
        <v>965</v>
      </c>
      <c r="BK53" s="37">
        <f t="shared" ref="BK53" si="124">BK48-SUM(BK49:BK52)</f>
        <v>931</v>
      </c>
      <c r="BL53" s="37">
        <f t="shared" ref="BL53" si="125">BL48-SUM(BL49:BL52)</f>
        <v>1257</v>
      </c>
      <c r="BM53" s="37">
        <f t="shared" ref="BM53" si="126">BM48-SUM(BM49:BM52)</f>
        <v>972</v>
      </c>
      <c r="BN53" s="37">
        <f t="shared" ref="BN53" si="127">BN48-SUM(BN49:BN52)</f>
        <v>1051</v>
      </c>
      <c r="BO53" s="37">
        <f t="shared" ref="BO53" si="128">BO48-SUM(BO49:BO52)</f>
        <v>1085</v>
      </c>
      <c r="BP53" s="37">
        <f t="shared" ref="BP53" si="129">BP48-SUM(BP49:BP52)</f>
        <v>581</v>
      </c>
      <c r="BQ53" s="37">
        <f t="shared" ref="BQ53" si="130">BQ48-SUM(BQ49:BQ52)</f>
        <v>837</v>
      </c>
      <c r="CH53" s="37">
        <f t="shared" si="69"/>
        <v>1594</v>
      </c>
      <c r="CI53" s="37">
        <f t="shared" si="70"/>
        <v>1750.0000000000002</v>
      </c>
      <c r="CJ53" s="37">
        <f t="shared" si="71"/>
        <v>1686</v>
      </c>
      <c r="CK53" s="37">
        <f t="shared" si="72"/>
        <v>1741</v>
      </c>
      <c r="CL53" s="37">
        <f t="shared" si="73"/>
        <v>1256</v>
      </c>
      <c r="CM53" s="37">
        <f t="shared" si="74"/>
        <v>1246</v>
      </c>
      <c r="CN53" s="37">
        <f t="shared" si="75"/>
        <v>1861</v>
      </c>
      <c r="CO53" s="37">
        <f t="shared" si="76"/>
        <v>2175</v>
      </c>
      <c r="CP53" s="37">
        <f t="shared" si="77"/>
        <v>2297</v>
      </c>
      <c r="CQ53" s="37">
        <f t="shared" si="78"/>
        <v>2537</v>
      </c>
      <c r="CR53" s="37">
        <f t="shared" si="79"/>
        <v>2713</v>
      </c>
      <c r="CS53" s="2">
        <f t="shared" si="63"/>
        <v>2223</v>
      </c>
      <c r="CT53" s="2">
        <f t="shared" si="64"/>
        <v>2584</v>
      </c>
      <c r="CU53" s="2">
        <f t="shared" si="65"/>
        <v>2841</v>
      </c>
      <c r="CV53" s="2">
        <f t="shared" si="66"/>
        <v>3888</v>
      </c>
      <c r="CW53" s="2">
        <f t="shared" si="67"/>
        <v>3689</v>
      </c>
      <c r="CX53" s="67">
        <f>CX48-SUM(CX49:CX52)</f>
        <v>4982.5003499999984</v>
      </c>
      <c r="CY53" s="67">
        <f t="shared" ref="CY53:DG53" si="131">CY48-SUM(CY49:CY52)</f>
        <v>5623.0720642839951</v>
      </c>
      <c r="CZ53" s="67">
        <f t="shared" si="131"/>
        <v>6234.6706300270034</v>
      </c>
      <c r="DA53" s="67">
        <f t="shared" si="131"/>
        <v>6850.6329012797923</v>
      </c>
      <c r="DB53" s="67">
        <f t="shared" si="131"/>
        <v>7508.8705658634972</v>
      </c>
      <c r="DC53" s="67">
        <f t="shared" si="131"/>
        <v>8164.8889039804872</v>
      </c>
      <c r="DD53" s="67">
        <f t="shared" si="131"/>
        <v>8859.6163325987836</v>
      </c>
      <c r="DE53" s="67">
        <f t="shared" si="131"/>
        <v>9572.0051997498631</v>
      </c>
      <c r="DF53" s="67">
        <f t="shared" si="131"/>
        <v>10193.203316584302</v>
      </c>
      <c r="DG53" s="67">
        <f t="shared" si="131"/>
        <v>10861.510170217298</v>
      </c>
    </row>
    <row r="54" spans="2:147">
      <c r="B54" s="2" t="s">
        <v>1204</v>
      </c>
      <c r="C54" s="36">
        <v>19.2</v>
      </c>
      <c r="D54" s="36">
        <v>11.9</v>
      </c>
      <c r="E54" s="36">
        <v>7.2</v>
      </c>
      <c r="F54" s="36">
        <v>10.199999999999999</v>
      </c>
      <c r="G54" s="36">
        <v>3</v>
      </c>
      <c r="H54" s="36">
        <v>9.6</v>
      </c>
      <c r="I54" s="36">
        <v>-0.6</v>
      </c>
      <c r="J54" s="36">
        <v>-5.5</v>
      </c>
      <c r="K54" s="36">
        <v>-9</v>
      </c>
      <c r="L54" s="36">
        <v>-6.9</v>
      </c>
      <c r="M54" s="36">
        <v>-12</v>
      </c>
      <c r="N54" s="36">
        <v>10</v>
      </c>
      <c r="O54" s="36">
        <v>-13</v>
      </c>
      <c r="P54" s="36">
        <v>15</v>
      </c>
      <c r="Q54" s="36">
        <v>-8</v>
      </c>
      <c r="R54" s="36">
        <v>-10</v>
      </c>
      <c r="S54" s="36">
        <v>-6</v>
      </c>
      <c r="T54" s="36">
        <v>-12</v>
      </c>
      <c r="U54" s="36">
        <v>-11</v>
      </c>
      <c r="V54" s="36">
        <v>-21</v>
      </c>
      <c r="W54" s="36">
        <v>-13</v>
      </c>
      <c r="X54" s="36">
        <v>1</v>
      </c>
      <c r="Y54" s="36">
        <v>-24</v>
      </c>
      <c r="Z54" s="36">
        <v>-30</v>
      </c>
      <c r="AA54" s="36">
        <v>-25</v>
      </c>
      <c r="AB54" s="36">
        <v>-7</v>
      </c>
      <c r="AC54" s="36">
        <v>-29</v>
      </c>
      <c r="AD54" s="36">
        <v>-28</v>
      </c>
      <c r="AE54" s="36">
        <v>-33</v>
      </c>
      <c r="AF54" s="36">
        <v>-36</v>
      </c>
      <c r="AG54" s="36">
        <v>-38</v>
      </c>
      <c r="AH54" s="36">
        <v>-67</v>
      </c>
      <c r="AI54" s="36">
        <v>-67</v>
      </c>
      <c r="AJ54" s="36">
        <v>-82</v>
      </c>
      <c r="AK54" s="36">
        <v>-57</v>
      </c>
      <c r="AL54" s="36">
        <v>-58</v>
      </c>
      <c r="AM54" s="36">
        <v>-54</v>
      </c>
      <c r="AN54" s="36">
        <v>-65</v>
      </c>
      <c r="AO54" s="36">
        <v>-49</v>
      </c>
      <c r="AP54" s="36">
        <v>-49</v>
      </c>
      <c r="AQ54" s="36">
        <v>-42</v>
      </c>
      <c r="AR54" s="36">
        <v>-41</v>
      </c>
      <c r="AS54" s="36">
        <v>-48</v>
      </c>
      <c r="AT54" s="36">
        <v>-48</v>
      </c>
      <c r="AU54" s="36">
        <v>-47</v>
      </c>
      <c r="AV54" s="36">
        <v>-8</v>
      </c>
      <c r="AW54" s="2">
        <v>-45</v>
      </c>
      <c r="AX54" s="2">
        <v>-67</v>
      </c>
      <c r="AY54" s="2">
        <v>-79</v>
      </c>
      <c r="AZ54" s="2">
        <f>-269-SUM(AW54:AY54)</f>
        <v>-78</v>
      </c>
      <c r="BA54" s="2">
        <v>-92</v>
      </c>
      <c r="BB54" s="2">
        <v>-70</v>
      </c>
      <c r="BC54" s="2">
        <v>-79</v>
      </c>
      <c r="BD54" s="2">
        <f>-303-SUM(BA54:BC54)</f>
        <v>-62</v>
      </c>
      <c r="BE54" s="2">
        <v>-61</v>
      </c>
      <c r="BF54" s="2">
        <v>-52</v>
      </c>
      <c r="BG54" s="2">
        <v>8</v>
      </c>
      <c r="BH54" s="2">
        <f>-158-SUM(BE54:BG54)</f>
        <v>-53</v>
      </c>
      <c r="BI54" s="2">
        <v>-56</v>
      </c>
      <c r="BJ54" s="2">
        <v>-66</v>
      </c>
      <c r="BK54" s="2">
        <v>-62</v>
      </c>
      <c r="BL54" s="2">
        <f>-215-SUM(BI54:BK54)</f>
        <v>-31</v>
      </c>
      <c r="BM54" s="2">
        <v>-49</v>
      </c>
      <c r="BN54" s="2">
        <v>-53</v>
      </c>
      <c r="BO54" s="2">
        <v>-42</v>
      </c>
      <c r="BP54" s="2">
        <f>-197-SUM(BM54:BO54)</f>
        <v>-53</v>
      </c>
      <c r="BQ54" s="2">
        <v>-73</v>
      </c>
      <c r="CH54" s="37">
        <f t="shared" si="69"/>
        <v>30</v>
      </c>
      <c r="CI54" s="37">
        <f t="shared" si="70"/>
        <v>-22</v>
      </c>
      <c r="CJ54" s="37">
        <f t="shared" si="71"/>
        <v>0</v>
      </c>
      <c r="CK54" s="37">
        <f t="shared" si="72"/>
        <v>-36</v>
      </c>
      <c r="CL54" s="37">
        <f t="shared" si="73"/>
        <v>-44</v>
      </c>
      <c r="CM54" s="37">
        <f t="shared" si="74"/>
        <v>-86</v>
      </c>
      <c r="CN54" s="37">
        <f t="shared" si="75"/>
        <v>-126</v>
      </c>
      <c r="CO54" s="37">
        <f t="shared" si="76"/>
        <v>-254</v>
      </c>
      <c r="CP54" s="37">
        <f t="shared" si="77"/>
        <v>-234</v>
      </c>
      <c r="CQ54" s="37">
        <f t="shared" si="78"/>
        <v>-181</v>
      </c>
      <c r="CR54" s="37">
        <f t="shared" si="79"/>
        <v>-151</v>
      </c>
      <c r="CS54" s="2">
        <f t="shared" si="63"/>
        <v>-269</v>
      </c>
      <c r="CT54" s="2">
        <f t="shared" si="64"/>
        <v>-303</v>
      </c>
      <c r="CU54" s="2">
        <f t="shared" si="65"/>
        <v>-158</v>
      </c>
      <c r="CV54" s="2">
        <f t="shared" si="66"/>
        <v>-215</v>
      </c>
      <c r="CW54" s="2">
        <f t="shared" si="67"/>
        <v>-197</v>
      </c>
      <c r="CX54" s="67">
        <f>CW69*CZ72</f>
        <v>292.16000000000003</v>
      </c>
      <c r="CY54" s="67">
        <f t="shared" ref="CY54:DG54" si="132">CX54*(1.1)</f>
        <v>321.37600000000003</v>
      </c>
      <c r="CZ54" s="67">
        <f t="shared" si="132"/>
        <v>353.51360000000005</v>
      </c>
      <c r="DA54" s="67">
        <f t="shared" si="132"/>
        <v>388.86496000000011</v>
      </c>
      <c r="DB54" s="67">
        <f t="shared" si="132"/>
        <v>427.75145600000013</v>
      </c>
      <c r="DC54" s="67">
        <f t="shared" si="132"/>
        <v>470.52660160000016</v>
      </c>
      <c r="DD54" s="67">
        <f t="shared" si="132"/>
        <v>517.57926176000024</v>
      </c>
      <c r="DE54" s="67">
        <f t="shared" si="132"/>
        <v>569.3371879360003</v>
      </c>
      <c r="DF54" s="67">
        <f t="shared" si="132"/>
        <v>626.27090672960037</v>
      </c>
      <c r="DG54" s="67">
        <f t="shared" si="132"/>
        <v>688.89799740256046</v>
      </c>
    </row>
    <row r="55" spans="2:147">
      <c r="B55" s="2" t="s">
        <v>21</v>
      </c>
      <c r="C55" s="36">
        <f>C53+C54</f>
        <v>420.09999999999985</v>
      </c>
      <c r="D55" s="36">
        <f t="shared" ref="D55:AV55" si="133">D53+D54</f>
        <v>375.79999999999995</v>
      </c>
      <c r="E55" s="36">
        <f t="shared" si="133"/>
        <v>385.99999999999994</v>
      </c>
      <c r="F55" s="36">
        <f t="shared" si="133"/>
        <v>400.49999999999994</v>
      </c>
      <c r="G55" s="36">
        <f t="shared" si="133"/>
        <v>313.99999999999989</v>
      </c>
      <c r="H55" s="36">
        <f t="shared" si="133"/>
        <v>523.5</v>
      </c>
      <c r="I55" s="36">
        <f t="shared" si="133"/>
        <v>445.29999999999984</v>
      </c>
      <c r="J55" s="36">
        <f t="shared" si="133"/>
        <v>442.00000000000011</v>
      </c>
      <c r="K55" s="36">
        <f t="shared" si="133"/>
        <v>462</v>
      </c>
      <c r="L55" s="36">
        <f t="shared" si="133"/>
        <v>378.70000000000016</v>
      </c>
      <c r="M55" s="36">
        <f t="shared" si="133"/>
        <v>411</v>
      </c>
      <c r="N55" s="36">
        <f t="shared" si="133"/>
        <v>411</v>
      </c>
      <c r="O55" s="36">
        <f t="shared" si="133"/>
        <v>431</v>
      </c>
      <c r="P55" s="36">
        <f t="shared" si="133"/>
        <v>433</v>
      </c>
      <c r="Q55" s="36">
        <f t="shared" si="133"/>
        <v>468</v>
      </c>
      <c r="R55" s="36">
        <f t="shared" si="133"/>
        <v>435</v>
      </c>
      <c r="S55" s="36">
        <f t="shared" si="133"/>
        <v>444</v>
      </c>
      <c r="T55" s="36">
        <f t="shared" si="133"/>
        <v>358</v>
      </c>
      <c r="U55" s="36">
        <f t="shared" si="133"/>
        <v>375</v>
      </c>
      <c r="V55" s="36">
        <f t="shared" si="133"/>
        <v>269</v>
      </c>
      <c r="W55" s="36">
        <f t="shared" si="133"/>
        <v>137</v>
      </c>
      <c r="X55" s="36">
        <f t="shared" si="133"/>
        <v>431</v>
      </c>
      <c r="Y55" s="36">
        <f t="shared" si="133"/>
        <v>107</v>
      </c>
      <c r="Z55" s="36">
        <f t="shared" si="133"/>
        <v>167</v>
      </c>
      <c r="AA55" s="36">
        <f t="shared" si="133"/>
        <v>425</v>
      </c>
      <c r="AB55" s="36">
        <f t="shared" si="133"/>
        <v>461</v>
      </c>
      <c r="AC55" s="36">
        <f t="shared" si="133"/>
        <v>377</v>
      </c>
      <c r="AD55" s="36">
        <f t="shared" si="133"/>
        <v>401</v>
      </c>
      <c r="AE55" s="36">
        <f t="shared" si="133"/>
        <v>345</v>
      </c>
      <c r="AF55" s="36">
        <f t="shared" si="133"/>
        <v>612</v>
      </c>
      <c r="AG55" s="36">
        <f t="shared" si="133"/>
        <v>481</v>
      </c>
      <c r="AH55" s="36">
        <f t="shared" si="133"/>
        <v>433</v>
      </c>
      <c r="AI55" s="36">
        <f t="shared" si="133"/>
        <v>419</v>
      </c>
      <c r="AJ55" s="36">
        <f t="shared" si="133"/>
        <v>588</v>
      </c>
      <c r="AK55" s="36">
        <f t="shared" si="133"/>
        <v>499</v>
      </c>
      <c r="AL55" s="36">
        <f t="shared" si="133"/>
        <v>444</v>
      </c>
      <c r="AM55" s="36">
        <f t="shared" si="133"/>
        <v>471</v>
      </c>
      <c r="AN55" s="36">
        <f t="shared" si="133"/>
        <v>649</v>
      </c>
      <c r="AO55" s="36">
        <f t="shared" si="133"/>
        <v>542</v>
      </c>
      <c r="AP55" s="36">
        <f t="shared" si="133"/>
        <v>623</v>
      </c>
      <c r="AQ55" s="36">
        <f t="shared" si="133"/>
        <v>534</v>
      </c>
      <c r="AR55" s="36">
        <f t="shared" si="133"/>
        <v>657</v>
      </c>
      <c r="AS55" s="36">
        <f t="shared" si="133"/>
        <v>480</v>
      </c>
      <c r="AT55" s="36">
        <f t="shared" si="133"/>
        <v>565</v>
      </c>
      <c r="AU55" s="36">
        <f t="shared" si="133"/>
        <v>581</v>
      </c>
      <c r="AV55" s="36">
        <f t="shared" si="133"/>
        <v>936</v>
      </c>
      <c r="AW55" s="36">
        <f t="shared" ref="AW55" si="134">AW53+AW54</f>
        <v>590</v>
      </c>
      <c r="AX55" s="36">
        <f t="shared" ref="AX55" si="135">AX53+AX54</f>
        <v>-87</v>
      </c>
      <c r="AY55" s="36">
        <f t="shared" ref="AY55" si="136">AY53+AY54</f>
        <v>780</v>
      </c>
      <c r="AZ55" s="36">
        <f t="shared" ref="AZ55" si="137">AZ53+AZ54</f>
        <v>671</v>
      </c>
      <c r="BA55" s="36">
        <f t="shared" ref="BA55" si="138">BA53+BA54</f>
        <v>367</v>
      </c>
      <c r="BB55" s="36">
        <f t="shared" ref="BB55" si="139">BB53+BB54</f>
        <v>662</v>
      </c>
      <c r="BC55" s="36">
        <f t="shared" ref="BC55" si="140">BC53+BC54</f>
        <v>495</v>
      </c>
      <c r="BD55" s="36">
        <f t="shared" ref="BD55" si="141">BD53+BD54</f>
        <v>757</v>
      </c>
      <c r="BE55" s="36">
        <f t="shared" ref="BE55" si="142">BE53+BE54</f>
        <v>386</v>
      </c>
      <c r="BF55" s="36">
        <f t="shared" ref="BF55" si="143">BF53+BF54</f>
        <v>720</v>
      </c>
      <c r="BG55" s="36">
        <f t="shared" ref="BG55" si="144">BG53+BG54</f>
        <v>816</v>
      </c>
      <c r="BH55" s="36">
        <f t="shared" ref="BH55" si="145">BH53+BH54</f>
        <v>761</v>
      </c>
      <c r="BI55" s="36">
        <f t="shared" ref="BI55" si="146">BI53+BI54</f>
        <v>679</v>
      </c>
      <c r="BJ55" s="36">
        <f t="shared" ref="BJ55" si="147">BJ53+BJ54</f>
        <v>899</v>
      </c>
      <c r="BK55" s="36">
        <f t="shared" ref="BK55" si="148">BK53+BK54</f>
        <v>869</v>
      </c>
      <c r="BL55" s="36">
        <f t="shared" ref="BL55" si="149">BL53+BL54</f>
        <v>1226</v>
      </c>
      <c r="BM55" s="36">
        <f t="shared" ref="BM55" si="150">BM53+BM54</f>
        <v>923</v>
      </c>
      <c r="BN55" s="36">
        <f t="shared" ref="BN55" si="151">BN53+BN54</f>
        <v>998</v>
      </c>
      <c r="BO55" s="36">
        <f t="shared" ref="BO55" si="152">BO53+BO54</f>
        <v>1043</v>
      </c>
      <c r="BP55" s="36">
        <f t="shared" ref="BP55" si="153">BP53+BP54</f>
        <v>528</v>
      </c>
      <c r="BQ55" s="36">
        <f t="shared" ref="BQ55" si="154">BQ53+BQ54</f>
        <v>764</v>
      </c>
      <c r="CH55" s="37">
        <f t="shared" si="69"/>
        <v>1623.9999999999998</v>
      </c>
      <c r="CI55" s="37">
        <f t="shared" si="70"/>
        <v>1728</v>
      </c>
      <c r="CJ55" s="37">
        <f t="shared" si="71"/>
        <v>1686</v>
      </c>
      <c r="CK55" s="37">
        <f t="shared" si="72"/>
        <v>1705</v>
      </c>
      <c r="CL55" s="37">
        <f t="shared" si="73"/>
        <v>1212</v>
      </c>
      <c r="CM55" s="37">
        <f t="shared" si="74"/>
        <v>1160</v>
      </c>
      <c r="CN55" s="37">
        <f t="shared" si="75"/>
        <v>1735</v>
      </c>
      <c r="CO55" s="37">
        <f t="shared" si="76"/>
        <v>1921</v>
      </c>
      <c r="CP55" s="37">
        <f t="shared" si="77"/>
        <v>2063</v>
      </c>
      <c r="CQ55" s="37">
        <f t="shared" si="78"/>
        <v>2356</v>
      </c>
      <c r="CR55" s="37">
        <f t="shared" si="79"/>
        <v>2562</v>
      </c>
      <c r="CS55" s="2">
        <f t="shared" si="63"/>
        <v>1954</v>
      </c>
      <c r="CT55" s="2">
        <f t="shared" si="64"/>
        <v>2281</v>
      </c>
      <c r="CU55" s="2">
        <f t="shared" si="65"/>
        <v>2683</v>
      </c>
      <c r="CV55" s="2">
        <f t="shared" si="66"/>
        <v>3673</v>
      </c>
      <c r="CW55" s="2">
        <f t="shared" si="67"/>
        <v>3492</v>
      </c>
      <c r="CX55" s="67">
        <f>CX53+CX54</f>
        <v>5274.6603499999983</v>
      </c>
      <c r="CY55" s="67">
        <f t="shared" ref="CY55:DG55" si="155">CY53+CY54</f>
        <v>5944.4480642839953</v>
      </c>
      <c r="CZ55" s="67">
        <f t="shared" si="155"/>
        <v>6588.1842300270037</v>
      </c>
      <c r="DA55" s="67">
        <f t="shared" si="155"/>
        <v>7239.4978612797922</v>
      </c>
      <c r="DB55" s="67">
        <f t="shared" si="155"/>
        <v>7936.6220218634971</v>
      </c>
      <c r="DC55" s="67">
        <f t="shared" si="155"/>
        <v>8635.4155055804877</v>
      </c>
      <c r="DD55" s="67">
        <f t="shared" si="155"/>
        <v>9377.1955943587836</v>
      </c>
      <c r="DE55" s="67">
        <f t="shared" si="155"/>
        <v>10141.342387685863</v>
      </c>
      <c r="DF55" s="67">
        <f t="shared" si="155"/>
        <v>10819.474223313902</v>
      </c>
      <c r="DG55" s="67">
        <f t="shared" si="155"/>
        <v>11550.408167619858</v>
      </c>
    </row>
    <row r="56" spans="2:147">
      <c r="B56" s="2" t="s">
        <v>1205</v>
      </c>
      <c r="C56" s="36">
        <v>114.3</v>
      </c>
      <c r="D56" s="36">
        <v>102.2</v>
      </c>
      <c r="E56" s="36">
        <v>105.3</v>
      </c>
      <c r="F56" s="36">
        <v>108.7</v>
      </c>
      <c r="G56" s="36">
        <v>85.4</v>
      </c>
      <c r="H56" s="36">
        <v>217.6</v>
      </c>
      <c r="I56" s="36">
        <v>124.1</v>
      </c>
      <c r="J56" s="36">
        <v>123.6</v>
      </c>
      <c r="K56" s="36">
        <v>125</v>
      </c>
      <c r="L56" s="36">
        <v>83.3</v>
      </c>
      <c r="M56" s="36">
        <v>104</v>
      </c>
      <c r="N56" s="36">
        <v>101</v>
      </c>
      <c r="O56" s="36">
        <v>104</v>
      </c>
      <c r="P56" s="36">
        <v>32</v>
      </c>
      <c r="Q56" s="36">
        <v>118</v>
      </c>
      <c r="R56" s="36">
        <v>110</v>
      </c>
      <c r="S56" s="36">
        <v>91</v>
      </c>
      <c r="T56" s="36">
        <v>88</v>
      </c>
      <c r="U56" s="36">
        <v>71</v>
      </c>
      <c r="V56" s="36">
        <v>56</v>
      </c>
      <c r="W56" s="36">
        <v>34</v>
      </c>
      <c r="X56" s="36">
        <v>45</v>
      </c>
      <c r="Y56" s="36">
        <v>37</v>
      </c>
      <c r="Z56" s="36">
        <v>39</v>
      </c>
      <c r="AA56" s="36">
        <v>368</v>
      </c>
      <c r="AB56" s="36">
        <v>201</v>
      </c>
      <c r="AC56" s="36">
        <v>153</v>
      </c>
      <c r="AD56" s="36">
        <v>9</v>
      </c>
      <c r="AE56" s="36">
        <v>44</v>
      </c>
      <c r="AF56" s="36">
        <v>90</v>
      </c>
      <c r="AG56" s="36">
        <v>79</v>
      </c>
      <c r="AH56" s="36">
        <v>53</v>
      </c>
      <c r="AI56" s="36">
        <v>64</v>
      </c>
      <c r="AJ56" s="36">
        <v>78</v>
      </c>
      <c r="AK56" s="36">
        <v>55</v>
      </c>
      <c r="AL56" s="36">
        <v>53</v>
      </c>
      <c r="AM56" s="36">
        <v>37</v>
      </c>
      <c r="AN56" s="36">
        <v>898</v>
      </c>
      <c r="AO56" s="36">
        <v>99</v>
      </c>
      <c r="AP56" s="36">
        <v>171</v>
      </c>
      <c r="AQ56" s="36">
        <v>-56</v>
      </c>
      <c r="AR56" s="36">
        <v>-1411</v>
      </c>
      <c r="AS56" s="36">
        <v>68</v>
      </c>
      <c r="AT56" s="36">
        <v>85</v>
      </c>
      <c r="AU56" s="36">
        <v>115</v>
      </c>
      <c r="AV56" s="36">
        <v>211</v>
      </c>
      <c r="AW56" s="2">
        <v>97</v>
      </c>
      <c r="AX56" s="2">
        <v>-4</v>
      </c>
      <c r="AY56" s="2">
        <v>159</v>
      </c>
      <c r="AZ56" s="2">
        <f>355-SUM(AW56:AY56)</f>
        <v>103</v>
      </c>
      <c r="BA56" s="2">
        <v>65</v>
      </c>
      <c r="BB56" s="2">
        <v>70</v>
      </c>
      <c r="BC56" s="2">
        <v>57</v>
      </c>
      <c r="BD56" s="2">
        <f>287-SUM(BA56:BC56)</f>
        <v>95</v>
      </c>
      <c r="BE56" s="2">
        <v>63</v>
      </c>
      <c r="BF56" s="2">
        <v>64</v>
      </c>
      <c r="BG56" s="2">
        <v>0</v>
      </c>
      <c r="BH56" s="2">
        <f>325-SUM(BE56:BG56)</f>
        <v>198</v>
      </c>
      <c r="BI56" s="2">
        <v>87</v>
      </c>
      <c r="BJ56" s="2">
        <v>161</v>
      </c>
      <c r="BK56" s="2">
        <v>177</v>
      </c>
      <c r="BL56" s="2">
        <f>508-SUM(BI56:BK56)</f>
        <v>83</v>
      </c>
      <c r="BM56" s="2">
        <v>135</v>
      </c>
      <c r="BN56" s="2">
        <v>173</v>
      </c>
      <c r="BO56" s="2">
        <v>209</v>
      </c>
      <c r="BP56" s="2">
        <f>499-SUM(BM56:BO56)</f>
        <v>-18</v>
      </c>
      <c r="BQ56" s="2">
        <v>110</v>
      </c>
      <c r="CH56" s="37">
        <f t="shared" si="69"/>
        <v>517</v>
      </c>
      <c r="CI56" s="37">
        <f t="shared" si="70"/>
        <v>456</v>
      </c>
      <c r="CJ56" s="37">
        <f t="shared" si="71"/>
        <v>341</v>
      </c>
      <c r="CK56" s="37">
        <f t="shared" si="72"/>
        <v>407</v>
      </c>
      <c r="CL56" s="37">
        <f t="shared" si="73"/>
        <v>206</v>
      </c>
      <c r="CM56" s="37">
        <f t="shared" si="74"/>
        <v>645</v>
      </c>
      <c r="CN56" s="37">
        <f t="shared" si="75"/>
        <v>296</v>
      </c>
      <c r="CO56" s="37">
        <f t="shared" si="76"/>
        <v>274</v>
      </c>
      <c r="CP56" s="37">
        <f t="shared" si="77"/>
        <v>1043</v>
      </c>
      <c r="CQ56" s="37">
        <f t="shared" si="78"/>
        <v>-1197</v>
      </c>
      <c r="CR56" s="37">
        <f t="shared" si="79"/>
        <v>479</v>
      </c>
      <c r="CS56" s="2">
        <f t="shared" si="63"/>
        <v>355</v>
      </c>
      <c r="CT56" s="2">
        <f t="shared" si="64"/>
        <v>287</v>
      </c>
      <c r="CU56" s="2">
        <f t="shared" si="65"/>
        <v>325</v>
      </c>
      <c r="CV56" s="2">
        <f t="shared" si="66"/>
        <v>508</v>
      </c>
      <c r="CW56" s="2">
        <f t="shared" si="67"/>
        <v>499</v>
      </c>
      <c r="CX56" s="67">
        <f>CX55*CX65</f>
        <v>738.45244899999977</v>
      </c>
      <c r="CY56" s="67">
        <f t="shared" ref="CY56:DG56" si="156">CY55*CY65</f>
        <v>832.2227289997594</v>
      </c>
      <c r="CZ56" s="67">
        <f t="shared" si="156"/>
        <v>922.34579220378055</v>
      </c>
      <c r="DA56" s="67">
        <f t="shared" si="156"/>
        <v>1013.529700579171</v>
      </c>
      <c r="DB56" s="67">
        <f t="shared" si="156"/>
        <v>1111.1270830608896</v>
      </c>
      <c r="DC56" s="67">
        <f t="shared" si="156"/>
        <v>1208.9581707812683</v>
      </c>
      <c r="DD56" s="67">
        <f t="shared" si="156"/>
        <v>1312.8073832102298</v>
      </c>
      <c r="DE56" s="67">
        <f t="shared" si="156"/>
        <v>1419.7879342760209</v>
      </c>
      <c r="DF56" s="67">
        <f t="shared" si="156"/>
        <v>1514.7263912639464</v>
      </c>
      <c r="DG56" s="67">
        <f t="shared" si="156"/>
        <v>1617.0571434667804</v>
      </c>
    </row>
    <row r="57" spans="2:147" s="1" customFormat="1" ht="15">
      <c r="B57" s="1" t="s">
        <v>19</v>
      </c>
      <c r="C57" s="35">
        <f t="shared" ref="C57:K57" si="157">C55-C56</f>
        <v>305.79999999999984</v>
      </c>
      <c r="D57" s="35">
        <f t="shared" si="157"/>
        <v>273.59999999999997</v>
      </c>
      <c r="E57" s="35">
        <f t="shared" si="157"/>
        <v>280.69999999999993</v>
      </c>
      <c r="F57" s="35">
        <f t="shared" si="157"/>
        <v>291.79999999999995</v>
      </c>
      <c r="G57" s="35">
        <f t="shared" si="157"/>
        <v>228.59999999999988</v>
      </c>
      <c r="H57" s="35">
        <f t="shared" si="157"/>
        <v>305.89999999999998</v>
      </c>
      <c r="I57" s="35">
        <f t="shared" si="157"/>
        <v>321.19999999999982</v>
      </c>
      <c r="J57" s="35">
        <f t="shared" si="157"/>
        <v>318.40000000000009</v>
      </c>
      <c r="K57" s="35">
        <f t="shared" si="157"/>
        <v>337</v>
      </c>
      <c r="L57" s="35">
        <f t="shared" ref="L57:AV57" si="158">L55-L56</f>
        <v>295.40000000000015</v>
      </c>
      <c r="M57" s="35">
        <f t="shared" si="158"/>
        <v>307</v>
      </c>
      <c r="N57" s="35">
        <f t="shared" si="158"/>
        <v>310</v>
      </c>
      <c r="O57" s="35">
        <f t="shared" si="158"/>
        <v>327</v>
      </c>
      <c r="P57" s="35">
        <f t="shared" si="158"/>
        <v>401</v>
      </c>
      <c r="Q57" s="35">
        <f t="shared" si="158"/>
        <v>350</v>
      </c>
      <c r="R57" s="35">
        <f t="shared" si="158"/>
        <v>325</v>
      </c>
      <c r="S57" s="35">
        <f t="shared" si="158"/>
        <v>353</v>
      </c>
      <c r="T57" s="35">
        <f t="shared" si="158"/>
        <v>270</v>
      </c>
      <c r="U57" s="35">
        <f t="shared" si="158"/>
        <v>304</v>
      </c>
      <c r="V57" s="35">
        <f t="shared" si="158"/>
        <v>213</v>
      </c>
      <c r="W57" s="35">
        <f t="shared" si="158"/>
        <v>103</v>
      </c>
      <c r="X57" s="35">
        <f t="shared" si="158"/>
        <v>386</v>
      </c>
      <c r="Y57" s="35">
        <f t="shared" si="158"/>
        <v>70</v>
      </c>
      <c r="Z57" s="35">
        <f t="shared" si="158"/>
        <v>128</v>
      </c>
      <c r="AA57" s="35">
        <f t="shared" si="158"/>
        <v>57</v>
      </c>
      <c r="AB57" s="35">
        <f t="shared" si="158"/>
        <v>260</v>
      </c>
      <c r="AC57" s="35">
        <f t="shared" si="158"/>
        <v>224</v>
      </c>
      <c r="AD57" s="35">
        <f t="shared" si="158"/>
        <v>392</v>
      </c>
      <c r="AE57" s="35">
        <f t="shared" si="158"/>
        <v>301</v>
      </c>
      <c r="AF57" s="35">
        <f t="shared" si="158"/>
        <v>522</v>
      </c>
      <c r="AG57" s="35">
        <f t="shared" si="158"/>
        <v>402</v>
      </c>
      <c r="AH57" s="35">
        <f t="shared" si="158"/>
        <v>380</v>
      </c>
      <c r="AI57" s="35">
        <f t="shared" si="158"/>
        <v>355</v>
      </c>
      <c r="AJ57" s="35">
        <f t="shared" si="158"/>
        <v>510</v>
      </c>
      <c r="AK57" s="35">
        <f t="shared" si="158"/>
        <v>444</v>
      </c>
      <c r="AL57" s="35">
        <f t="shared" si="158"/>
        <v>391</v>
      </c>
      <c r="AM57" s="35">
        <f t="shared" si="158"/>
        <v>434</v>
      </c>
      <c r="AN57" s="35">
        <f t="shared" si="158"/>
        <v>-249</v>
      </c>
      <c r="AO57" s="35">
        <f t="shared" si="158"/>
        <v>443</v>
      </c>
      <c r="AP57" s="35">
        <f t="shared" si="158"/>
        <v>452</v>
      </c>
      <c r="AQ57" s="35">
        <f t="shared" si="158"/>
        <v>590</v>
      </c>
      <c r="AR57" s="35">
        <f t="shared" si="158"/>
        <v>2068</v>
      </c>
      <c r="AS57" s="35">
        <f t="shared" si="158"/>
        <v>412</v>
      </c>
      <c r="AT57" s="35">
        <f t="shared" si="158"/>
        <v>480</v>
      </c>
      <c r="AU57" s="35">
        <f t="shared" si="158"/>
        <v>466</v>
      </c>
      <c r="AV57" s="35">
        <f t="shared" si="158"/>
        <v>725</v>
      </c>
      <c r="AW57" s="35">
        <f t="shared" ref="AW57" si="159">AW55-AW56</f>
        <v>493</v>
      </c>
      <c r="AX57" s="35">
        <f t="shared" ref="AX57" si="160">AX55-AX56</f>
        <v>-83</v>
      </c>
      <c r="AY57" s="35">
        <f t="shared" ref="AY57" si="161">AY55-AY56</f>
        <v>621</v>
      </c>
      <c r="AZ57" s="35">
        <f t="shared" ref="AZ57" si="162">AZ55-AZ56</f>
        <v>568</v>
      </c>
      <c r="BA57" s="35">
        <f t="shared" ref="BA57" si="163">BA55-BA56</f>
        <v>302</v>
      </c>
      <c r="BB57" s="35">
        <f t="shared" ref="BB57" si="164">BB55-BB56</f>
        <v>592</v>
      </c>
      <c r="BC57" s="35">
        <f t="shared" ref="BC57" si="165">BC55-BC56</f>
        <v>438</v>
      </c>
      <c r="BD57" s="35">
        <f t="shared" ref="BD57" si="166">BD55-BD56</f>
        <v>662</v>
      </c>
      <c r="BE57" s="35">
        <f t="shared" ref="BE57" si="167">BE55-BE56</f>
        <v>323</v>
      </c>
      <c r="BF57" s="35">
        <f t="shared" ref="BF57" si="168">BF55-BF56</f>
        <v>656</v>
      </c>
      <c r="BG57" s="35">
        <f t="shared" ref="BG57" si="169">BG55-BG56</f>
        <v>816</v>
      </c>
      <c r="BH57" s="35">
        <f t="shared" ref="BH57" si="170">BH55-BH56</f>
        <v>563</v>
      </c>
      <c r="BI57" s="35">
        <f t="shared" ref="BI57" si="171">BI55-BI56</f>
        <v>592</v>
      </c>
      <c r="BJ57" s="35">
        <f t="shared" ref="BJ57" si="172">BJ55-BJ56</f>
        <v>738</v>
      </c>
      <c r="BK57" s="35">
        <f t="shared" ref="BK57" si="173">BK55-BK56</f>
        <v>692</v>
      </c>
      <c r="BL57" s="35">
        <f t="shared" ref="BL57" si="174">BL55-BL56</f>
        <v>1143</v>
      </c>
      <c r="BM57" s="35">
        <f t="shared" ref="BM57" si="175">BM55-BM56</f>
        <v>788</v>
      </c>
      <c r="BN57" s="35">
        <f t="shared" ref="BN57" si="176">BN55-BN56</f>
        <v>825</v>
      </c>
      <c r="BO57" s="35">
        <f t="shared" ref="BO57:BP57" si="177">BO55-BO56</f>
        <v>834</v>
      </c>
      <c r="BP57" s="35">
        <f t="shared" si="177"/>
        <v>546</v>
      </c>
      <c r="BQ57" s="35">
        <f t="shared" ref="BQ57" si="178">BQ55-BQ56</f>
        <v>654</v>
      </c>
      <c r="BR57" s="28">
        <v>986</v>
      </c>
      <c r="BS57" s="28">
        <v>1000</v>
      </c>
      <c r="BT57" s="28">
        <v>1440</v>
      </c>
      <c r="BU57" s="28">
        <v>974</v>
      </c>
      <c r="BV57" s="28">
        <v>1110</v>
      </c>
      <c r="BW57" s="28">
        <v>1150</v>
      </c>
      <c r="BX57" s="28">
        <v>1660</v>
      </c>
      <c r="BY57" s="28">
        <v>1030</v>
      </c>
      <c r="CH57" s="39">
        <f t="shared" si="69"/>
        <v>1106.9999999999998</v>
      </c>
      <c r="CI57" s="39">
        <f t="shared" si="70"/>
        <v>1272</v>
      </c>
      <c r="CJ57" s="39">
        <f t="shared" si="71"/>
        <v>1345</v>
      </c>
      <c r="CK57" s="39">
        <f t="shared" si="72"/>
        <v>1298</v>
      </c>
      <c r="CL57" s="39">
        <f t="shared" si="73"/>
        <v>1006</v>
      </c>
      <c r="CM57" s="39">
        <f t="shared" si="74"/>
        <v>515</v>
      </c>
      <c r="CN57" s="39">
        <f t="shared" si="75"/>
        <v>1439</v>
      </c>
      <c r="CO57" s="39">
        <f t="shared" si="76"/>
        <v>1647</v>
      </c>
      <c r="CP57" s="39">
        <f t="shared" si="77"/>
        <v>1020</v>
      </c>
      <c r="CQ57" s="39">
        <f t="shared" si="78"/>
        <v>3553</v>
      </c>
      <c r="CR57" s="39">
        <f t="shared" si="79"/>
        <v>2083</v>
      </c>
      <c r="CS57" s="1">
        <f t="shared" si="63"/>
        <v>1599</v>
      </c>
      <c r="CT57" s="1">
        <f t="shared" si="64"/>
        <v>1994</v>
      </c>
      <c r="CU57" s="1">
        <f t="shared" si="65"/>
        <v>2358</v>
      </c>
      <c r="CV57" s="1">
        <f t="shared" si="66"/>
        <v>3165</v>
      </c>
      <c r="CW57" s="1">
        <f t="shared" si="67"/>
        <v>2993</v>
      </c>
      <c r="CX57" s="68">
        <f>CX55-CX56</f>
        <v>4536.2079009999989</v>
      </c>
      <c r="CY57" s="68">
        <f>CY55-CY56</f>
        <v>5112.2253352842363</v>
      </c>
      <c r="CZ57" s="68">
        <f>CZ55-CZ56</f>
        <v>5665.8384378232231</v>
      </c>
      <c r="DA57" s="68">
        <f t="shared" ref="DA57:DG57" si="179">DA55-DA56</f>
        <v>6225.9681607006214</v>
      </c>
      <c r="DB57" s="68">
        <f t="shared" si="179"/>
        <v>6825.4949388026071</v>
      </c>
      <c r="DC57" s="68">
        <f t="shared" si="179"/>
        <v>7426.4573347992191</v>
      </c>
      <c r="DD57" s="68">
        <f t="shared" si="179"/>
        <v>8064.3882111485536</v>
      </c>
      <c r="DE57" s="68">
        <f t="shared" si="179"/>
        <v>8721.5544534098426</v>
      </c>
      <c r="DF57" s="68">
        <f t="shared" si="179"/>
        <v>9304.7478320499558</v>
      </c>
      <c r="DG57" s="68">
        <f t="shared" si="179"/>
        <v>9933.3510241530785</v>
      </c>
      <c r="DH57" s="68">
        <f>DG57*(1+$CZ$73)</f>
        <v>10281.018309998435</v>
      </c>
      <c r="DI57" s="68">
        <f t="shared" ref="DI57:EQ57" si="180">DH57*(1+$CZ$73)</f>
        <v>10640.853950848379</v>
      </c>
      <c r="DJ57" s="68">
        <f t="shared" si="180"/>
        <v>11013.283839128071</v>
      </c>
      <c r="DK57" s="68">
        <f t="shared" si="180"/>
        <v>11398.748773497553</v>
      </c>
      <c r="DL57" s="68">
        <f t="shared" si="180"/>
        <v>11797.704980569966</v>
      </c>
      <c r="DM57" s="68">
        <f t="shared" si="180"/>
        <v>12210.624654889914</v>
      </c>
      <c r="DN57" s="68">
        <f t="shared" si="180"/>
        <v>12637.99651781106</v>
      </c>
      <c r="DO57" s="68">
        <f t="shared" si="180"/>
        <v>13080.326395934446</v>
      </c>
      <c r="DP57" s="68">
        <f t="shared" si="180"/>
        <v>13538.137819792151</v>
      </c>
      <c r="DQ57" s="68">
        <f t="shared" si="180"/>
        <v>14011.972643484876</v>
      </c>
      <c r="DR57" s="68">
        <f t="shared" si="180"/>
        <v>14502.391686006846</v>
      </c>
      <c r="DS57" s="68">
        <f t="shared" si="180"/>
        <v>15009.975395017083</v>
      </c>
      <c r="DT57" s="68">
        <f t="shared" si="180"/>
        <v>15535.32453384268</v>
      </c>
      <c r="DU57" s="68">
        <f t="shared" si="180"/>
        <v>16079.060892527174</v>
      </c>
      <c r="DV57" s="68">
        <f t="shared" si="180"/>
        <v>16641.828023765622</v>
      </c>
      <c r="DW57" s="68">
        <f t="shared" si="180"/>
        <v>17224.292004597417</v>
      </c>
      <c r="DX57" s="68">
        <f t="shared" si="180"/>
        <v>17827.142224758325</v>
      </c>
      <c r="DY57" s="68">
        <f t="shared" si="180"/>
        <v>18451.092202624866</v>
      </c>
      <c r="DZ57" s="68">
        <f t="shared" si="180"/>
        <v>19096.880429716733</v>
      </c>
      <c r="EA57" s="68">
        <f t="shared" si="180"/>
        <v>19765.271244756819</v>
      </c>
      <c r="EB57" s="68">
        <f t="shared" si="180"/>
        <v>20457.055738323306</v>
      </c>
      <c r="EC57" s="68">
        <f t="shared" si="180"/>
        <v>21173.052689164619</v>
      </c>
      <c r="ED57" s="68">
        <f t="shared" si="180"/>
        <v>21914.10953328538</v>
      </c>
      <c r="EE57" s="68">
        <f t="shared" si="180"/>
        <v>22681.103366950367</v>
      </c>
      <c r="EF57" s="68">
        <f t="shared" si="180"/>
        <v>23474.941984793626</v>
      </c>
      <c r="EG57" s="68">
        <f t="shared" si="180"/>
        <v>24296.564954261401</v>
      </c>
      <c r="EH57" s="68">
        <f t="shared" si="180"/>
        <v>25146.94472766055</v>
      </c>
      <c r="EI57" s="68">
        <f t="shared" si="180"/>
        <v>26027.087793128667</v>
      </c>
      <c r="EJ57" s="68">
        <f t="shared" si="180"/>
        <v>26938.035865888167</v>
      </c>
      <c r="EK57" s="68">
        <f t="shared" si="180"/>
        <v>27880.867121194249</v>
      </c>
      <c r="EL57" s="68">
        <f t="shared" si="180"/>
        <v>28856.697470436047</v>
      </c>
      <c r="EM57" s="68">
        <f t="shared" si="180"/>
        <v>29866.681881901306</v>
      </c>
      <c r="EN57" s="68">
        <f t="shared" si="180"/>
        <v>30912.015747767848</v>
      </c>
      <c r="EO57" s="68">
        <f t="shared" si="180"/>
        <v>31993.93629893972</v>
      </c>
      <c r="EP57" s="68">
        <f t="shared" si="180"/>
        <v>33113.724069402604</v>
      </c>
      <c r="EQ57" s="68">
        <f t="shared" si="180"/>
        <v>34272.704411831692</v>
      </c>
    </row>
    <row r="58" spans="2:147">
      <c r="B58" s="2" t="s">
        <v>1208</v>
      </c>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v>374.8</v>
      </c>
      <c r="AX58" s="36">
        <v>375.5</v>
      </c>
      <c r="AY58" s="36">
        <v>375.7</v>
      </c>
      <c r="AZ58" s="36">
        <v>375.9</v>
      </c>
      <c r="BA58" s="36">
        <v>376.3</v>
      </c>
      <c r="BB58" s="36">
        <v>376.9</v>
      </c>
      <c r="BC58" s="36">
        <v>377.1</v>
      </c>
      <c r="BD58" s="2">
        <v>377.1</v>
      </c>
      <c r="BE58" s="36">
        <v>377.7</v>
      </c>
      <c r="BF58" s="36">
        <v>378.3</v>
      </c>
      <c r="BG58" s="36">
        <v>378.4</v>
      </c>
      <c r="BH58" s="36">
        <v>379</v>
      </c>
      <c r="BI58" s="36">
        <v>379</v>
      </c>
      <c r="BJ58" s="36">
        <v>379.5</v>
      </c>
      <c r="BK58" s="36">
        <v>379.8</v>
      </c>
      <c r="BL58" s="36">
        <v>380.2</v>
      </c>
      <c r="BM58" s="36">
        <v>380.4</v>
      </c>
      <c r="BN58" s="36">
        <v>381</v>
      </c>
      <c r="BO58" s="36">
        <v>382</v>
      </c>
      <c r="BP58" s="36">
        <v>382</v>
      </c>
      <c r="BQ58" s="36">
        <v>381.7</v>
      </c>
      <c r="CH58" s="37"/>
      <c r="CI58" s="37"/>
      <c r="CJ58" s="37"/>
      <c r="CK58" s="37"/>
      <c r="CL58" s="37"/>
      <c r="CM58" s="37"/>
      <c r="CN58" s="37">
        <v>376.6</v>
      </c>
      <c r="CO58" s="37">
        <v>374.1</v>
      </c>
      <c r="CP58" s="37">
        <v>374</v>
      </c>
      <c r="CQ58" s="37">
        <v>374.1</v>
      </c>
      <c r="CR58" s="37">
        <v>374</v>
      </c>
      <c r="CS58" s="37">
        <f>AVERAGE(AW58:AZ58)</f>
        <v>375.47500000000002</v>
      </c>
      <c r="CT58" s="37">
        <f>AVERAGE(BA58:BD58)</f>
        <v>376.85</v>
      </c>
      <c r="CU58" s="37">
        <f>AVERAGE(BE58:BH58)</f>
        <v>378.35</v>
      </c>
      <c r="CV58" s="37">
        <f>AVERAGE(BI58:BL58)</f>
        <v>379.625</v>
      </c>
      <c r="CW58" s="37">
        <f>AVERAGE(BM58:BP58)</f>
        <v>381.35</v>
      </c>
      <c r="CX58" s="67"/>
      <c r="CY58" s="67"/>
      <c r="CZ58" s="67"/>
      <c r="DA58" s="67"/>
      <c r="DB58" s="67"/>
      <c r="DC58" s="67"/>
      <c r="DD58" s="67"/>
      <c r="DE58" s="67"/>
      <c r="DF58" s="67"/>
      <c r="DG58" s="67"/>
    </row>
    <row r="59" spans="2:147">
      <c r="B59" s="2" t="s">
        <v>1209</v>
      </c>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38"/>
      <c r="AV59" s="38"/>
      <c r="AW59" s="38">
        <f t="shared" ref="AW59:BP59" si="181">AW57/AW58</f>
        <v>1.3153681963713981</v>
      </c>
      <c r="AX59" s="38">
        <f t="shared" si="181"/>
        <v>-0.22103861517976031</v>
      </c>
      <c r="AY59" s="38">
        <f t="shared" si="181"/>
        <v>1.652914559488954</v>
      </c>
      <c r="AZ59" s="38">
        <f t="shared" si="181"/>
        <v>1.5110401702580474</v>
      </c>
      <c r="BA59" s="38">
        <f t="shared" si="181"/>
        <v>0.80255115599255911</v>
      </c>
      <c r="BB59" s="38">
        <f t="shared" si="181"/>
        <v>1.5707084107190237</v>
      </c>
      <c r="BC59" s="38">
        <f t="shared" si="181"/>
        <v>1.1614956245027843</v>
      </c>
      <c r="BD59" s="38">
        <f t="shared" si="181"/>
        <v>1.7555025192256695</v>
      </c>
      <c r="BE59" s="38">
        <f t="shared" si="181"/>
        <v>0.85517606566057724</v>
      </c>
      <c r="BF59" s="38">
        <f t="shared" si="181"/>
        <v>1.7340734866508063</v>
      </c>
      <c r="BG59" s="38">
        <f t="shared" si="181"/>
        <v>2.1564482029598309</v>
      </c>
      <c r="BH59" s="38">
        <f t="shared" si="181"/>
        <v>1.4854881266490765</v>
      </c>
      <c r="BI59" s="38">
        <f t="shared" si="181"/>
        <v>1.5620052770448549</v>
      </c>
      <c r="BJ59" s="38">
        <f t="shared" si="181"/>
        <v>1.9446640316205535</v>
      </c>
      <c r="BK59" s="38">
        <f t="shared" si="181"/>
        <v>1.8220115850447602</v>
      </c>
      <c r="BL59" s="38">
        <f t="shared" si="181"/>
        <v>3.0063124671225672</v>
      </c>
      <c r="BM59" s="38">
        <f t="shared" si="181"/>
        <v>2.0715036803364879</v>
      </c>
      <c r="BN59" s="38">
        <f t="shared" si="181"/>
        <v>2.1653543307086616</v>
      </c>
      <c r="BO59" s="38">
        <f t="shared" si="181"/>
        <v>2.1832460732984291</v>
      </c>
      <c r="BP59" s="38">
        <f t="shared" si="181"/>
        <v>1.4293193717277486</v>
      </c>
      <c r="BQ59" s="38">
        <f>BQ57/BQ58</f>
        <v>1.7133874770762378</v>
      </c>
      <c r="BR59" s="25">
        <v>3.07</v>
      </c>
      <c r="BS59" s="25">
        <v>3.13</v>
      </c>
      <c r="BT59" s="25">
        <v>4.32</v>
      </c>
      <c r="BU59" s="25">
        <v>3.09</v>
      </c>
      <c r="BV59" s="25">
        <v>3.45</v>
      </c>
      <c r="BW59" s="25">
        <v>3.54</v>
      </c>
      <c r="BX59" s="25">
        <v>4.7300000000000004</v>
      </c>
      <c r="BY59" s="25">
        <v>3.5</v>
      </c>
      <c r="CH59" s="18"/>
      <c r="CI59" s="18"/>
      <c r="CJ59" s="18"/>
      <c r="CK59" s="18"/>
      <c r="CL59" s="18"/>
      <c r="CM59" s="18"/>
      <c r="CN59" s="18">
        <f t="shared" ref="CN59:CQ59" si="182">CN57/CN58</f>
        <v>3.8210302708443971</v>
      </c>
      <c r="CO59" s="18">
        <f t="shared" si="182"/>
        <v>4.4025661587810747</v>
      </c>
      <c r="CP59" s="18">
        <f t="shared" si="182"/>
        <v>2.7272727272727271</v>
      </c>
      <c r="CQ59" s="18">
        <f t="shared" si="182"/>
        <v>9.4974605720395608</v>
      </c>
      <c r="CR59" s="18">
        <f>CR57/CR58</f>
        <v>5.5695187165775399</v>
      </c>
      <c r="CS59" s="18">
        <f>SUM(AW59:AZ59)</f>
        <v>4.258284310938639</v>
      </c>
      <c r="CT59" s="18">
        <f>SUM(BA59:BD59)</f>
        <v>5.2902577104400361</v>
      </c>
      <c r="CU59" s="18">
        <f>SUM(BE59:BH59)</f>
        <v>6.2311858819202905</v>
      </c>
      <c r="CV59" s="18">
        <f>SUM(BI59:BL59)</f>
        <v>8.3349933608327351</v>
      </c>
      <c r="CW59" s="18">
        <f>SUM(BM59:BP59)</f>
        <v>7.8494234560713272</v>
      </c>
      <c r="CX59" s="69"/>
      <c r="CY59" s="69"/>
      <c r="CZ59" s="69"/>
      <c r="DA59" s="69"/>
      <c r="DB59" s="69"/>
      <c r="DC59" s="69"/>
      <c r="DD59" s="69"/>
      <c r="DE59" s="69"/>
      <c r="DF59" s="69"/>
      <c r="DG59" s="69"/>
    </row>
    <row r="60" spans="2:147">
      <c r="CX60" s="2"/>
      <c r="CY60" s="2"/>
      <c r="CZ60" s="2"/>
      <c r="DA60" s="2"/>
      <c r="DB60" s="2"/>
      <c r="DC60" s="2"/>
      <c r="DD60" s="2"/>
      <c r="DE60" s="2"/>
      <c r="DF60" s="2"/>
      <c r="DG60" s="2"/>
    </row>
    <row r="61" spans="2:147">
      <c r="B61" s="26" t="s">
        <v>18</v>
      </c>
      <c r="C61" s="8">
        <f t="shared" ref="C61:BN61" si="183">C48/C46</f>
        <v>0.68866051617423796</v>
      </c>
      <c r="D61" s="8">
        <f t="shared" si="183"/>
        <v>0.67229280096793709</v>
      </c>
      <c r="E61" s="8">
        <f t="shared" si="183"/>
        <v>0.6780740648223319</v>
      </c>
      <c r="F61" s="8">
        <f t="shared" si="183"/>
        <v>0.67184727406228972</v>
      </c>
      <c r="G61" s="8">
        <f t="shared" si="183"/>
        <v>0.6741668178793927</v>
      </c>
      <c r="H61" s="8">
        <f t="shared" si="183"/>
        <v>0.67640804754375439</v>
      </c>
      <c r="I61" s="8">
        <f t="shared" si="183"/>
        <v>0.67683841920960475</v>
      </c>
      <c r="J61" s="8">
        <f t="shared" si="183"/>
        <v>0.69326584006370151</v>
      </c>
      <c r="K61" s="8">
        <f t="shared" si="183"/>
        <v>0.6940045248868778</v>
      </c>
      <c r="L61" s="8">
        <f t="shared" si="183"/>
        <v>0.68702060460219583</v>
      </c>
      <c r="M61" s="8">
        <f t="shared" si="183"/>
        <v>0.65806451612903227</v>
      </c>
      <c r="N61" s="8">
        <f t="shared" si="183"/>
        <v>0.65151515151515149</v>
      </c>
      <c r="O61" s="8">
        <f t="shared" si="183"/>
        <v>0.67060561299852295</v>
      </c>
      <c r="P61" s="8">
        <f t="shared" si="183"/>
        <v>0.6659142212189616</v>
      </c>
      <c r="Q61" s="8">
        <f t="shared" si="183"/>
        <v>0.67191115224433129</v>
      </c>
      <c r="R61" s="8">
        <f t="shared" si="183"/>
        <v>0.68091168091168086</v>
      </c>
      <c r="S61" s="8">
        <f t="shared" si="183"/>
        <v>0.68079922027290452</v>
      </c>
      <c r="T61" s="8">
        <f t="shared" si="183"/>
        <v>0.68135158254918737</v>
      </c>
      <c r="U61" s="8">
        <f t="shared" si="183"/>
        <v>0.67442922374429226</v>
      </c>
      <c r="V61" s="8">
        <f t="shared" si="183"/>
        <v>0.66998191681735986</v>
      </c>
      <c r="W61" s="8">
        <f t="shared" si="183"/>
        <v>0.68293816829381682</v>
      </c>
      <c r="X61" s="8">
        <f t="shared" si="183"/>
        <v>0.64465153970826583</v>
      </c>
      <c r="Y61" s="8">
        <f t="shared" si="183"/>
        <v>0.66334056399132324</v>
      </c>
      <c r="Z61" s="8">
        <f t="shared" si="183"/>
        <v>0.65509944985188318</v>
      </c>
      <c r="AA61" s="8">
        <f t="shared" si="183"/>
        <v>0.65299288405190459</v>
      </c>
      <c r="AB61" s="8">
        <f t="shared" si="183"/>
        <v>0.65660809778456841</v>
      </c>
      <c r="AC61" s="8">
        <f t="shared" si="183"/>
        <v>0.65279529213955445</v>
      </c>
      <c r="AD61" s="8">
        <f t="shared" si="183"/>
        <v>0.65995065789473684</v>
      </c>
      <c r="AE61" s="8">
        <f t="shared" si="183"/>
        <v>0.67107438016528931</v>
      </c>
      <c r="AF61" s="8">
        <f t="shared" si="183"/>
        <v>0.67034990791896865</v>
      </c>
      <c r="AG61" s="8">
        <f t="shared" si="183"/>
        <v>0.67895791583166332</v>
      </c>
      <c r="AH61" s="8">
        <f t="shared" si="183"/>
        <v>0.64859154929577467</v>
      </c>
      <c r="AI61" s="8">
        <f t="shared" si="183"/>
        <v>0.66113660430638899</v>
      </c>
      <c r="AJ61" s="8">
        <f t="shared" si="183"/>
        <v>0.66360468799493189</v>
      </c>
      <c r="AK61" s="8">
        <f t="shared" si="183"/>
        <v>0.66463620981387483</v>
      </c>
      <c r="AL61" s="8">
        <f t="shared" si="183"/>
        <v>0.66102257636122175</v>
      </c>
      <c r="AM61" s="8">
        <f t="shared" si="183"/>
        <v>0.66001330671989356</v>
      </c>
      <c r="AN61" s="8">
        <f t="shared" si="183"/>
        <v>0.64563526361279167</v>
      </c>
      <c r="AO61" s="8">
        <f t="shared" si="183"/>
        <v>0.65936439370564637</v>
      </c>
      <c r="AP61" s="8">
        <f t="shared" si="183"/>
        <v>0.65924142083082482</v>
      </c>
      <c r="AQ61" s="8">
        <f t="shared" si="183"/>
        <v>0.66471314003701421</v>
      </c>
      <c r="AR61" s="8">
        <f t="shared" si="183"/>
        <v>0.64699683877766068</v>
      </c>
      <c r="AS61" s="8">
        <f t="shared" si="183"/>
        <v>0.64931740614334466</v>
      </c>
      <c r="AT61" s="8">
        <f t="shared" si="183"/>
        <v>0.65205479452054793</v>
      </c>
      <c r="AU61" s="8">
        <f t="shared" si="183"/>
        <v>0.64956788402564813</v>
      </c>
      <c r="AV61" s="8">
        <f t="shared" si="183"/>
        <v>0.65432098765432101</v>
      </c>
      <c r="AW61" s="8">
        <f t="shared" si="183"/>
        <v>0.64966555183946484</v>
      </c>
      <c r="AX61" s="8">
        <f t="shared" si="183"/>
        <v>0.56005788712011573</v>
      </c>
      <c r="AY61" s="8">
        <f t="shared" si="183"/>
        <v>0.65854963874765859</v>
      </c>
      <c r="AZ61" s="8">
        <f t="shared" si="183"/>
        <v>0.63749413420929146</v>
      </c>
      <c r="BA61" s="8">
        <f t="shared" si="183"/>
        <v>0.63470781684796362</v>
      </c>
      <c r="BB61" s="8">
        <f t="shared" si="183"/>
        <v>0.64555193292966928</v>
      </c>
      <c r="BC61" s="8">
        <f t="shared" si="183"/>
        <v>0.63509615384615381</v>
      </c>
      <c r="BD61" s="8">
        <f t="shared" si="183"/>
        <v>0.64773452456924063</v>
      </c>
      <c r="BE61" s="8">
        <f t="shared" si="183"/>
        <v>0.63953216374269006</v>
      </c>
      <c r="BF61" s="8">
        <f t="shared" si="183"/>
        <v>0.62897841086133988</v>
      </c>
      <c r="BG61" s="8">
        <f t="shared" si="183"/>
        <v>0.62112078588970754</v>
      </c>
      <c r="BH61" s="8">
        <f t="shared" si="183"/>
        <v>0.6220684352172241</v>
      </c>
      <c r="BI61" s="8">
        <f t="shared" si="183"/>
        <v>0.63122645458350779</v>
      </c>
      <c r="BJ61" s="8">
        <f t="shared" si="183"/>
        <v>0.6367093674939952</v>
      </c>
      <c r="BK61" s="8">
        <f t="shared" si="183"/>
        <v>0.64330820941128541</v>
      </c>
      <c r="BL61" s="8">
        <f t="shared" si="183"/>
        <v>0.63680137575236462</v>
      </c>
      <c r="BM61" s="8">
        <f t="shared" si="183"/>
        <v>0.63570474918939535</v>
      </c>
      <c r="BN61" s="8">
        <f t="shared" si="183"/>
        <v>0.63002582073035784</v>
      </c>
      <c r="BO61" s="8">
        <f t="shared" ref="BO61:BP61" si="184">BO48/BO46</f>
        <v>0.64015289406625409</v>
      </c>
      <c r="BP61" s="8">
        <f t="shared" si="184"/>
        <v>0.64853946550652575</v>
      </c>
      <c r="BQ61" s="8">
        <f>BQ48/BQ46</f>
        <v>0.63825434708489603</v>
      </c>
      <c r="CH61" s="8">
        <f t="shared" ref="CH61:CR61" si="185">CH48/CH46</f>
        <v>0.67514502454261494</v>
      </c>
      <c r="CI61" s="8">
        <f t="shared" si="185"/>
        <v>0.68770491803278688</v>
      </c>
      <c r="CJ61" s="8">
        <f t="shared" si="185"/>
        <v>0.66161068977970383</v>
      </c>
      <c r="CK61" s="8">
        <f t="shared" si="185"/>
        <v>0.67875707519926076</v>
      </c>
      <c r="CL61" s="8">
        <f t="shared" si="185"/>
        <v>0.6672209289435761</v>
      </c>
      <c r="CM61" s="8">
        <f t="shared" si="185"/>
        <v>0.65695090439276482</v>
      </c>
      <c r="CN61" s="8">
        <f t="shared" si="185"/>
        <v>0.66378443595415237</v>
      </c>
      <c r="CO61" s="8">
        <f t="shared" si="185"/>
        <v>0.66260485651214129</v>
      </c>
      <c r="CP61" s="8">
        <f t="shared" si="185"/>
        <v>0.65734490517518485</v>
      </c>
      <c r="CQ61" s="8">
        <f t="shared" si="185"/>
        <v>0.65715756194397468</v>
      </c>
      <c r="CR61" s="8">
        <f t="shared" si="185"/>
        <v>0.6514377855415211</v>
      </c>
      <c r="CS61" s="8">
        <f t="shared" ref="CS61:CV61" si="186">CS48/CS46</f>
        <v>0.631105846282489</v>
      </c>
      <c r="CT61" s="8">
        <f t="shared" si="186"/>
        <v>0.64110357727379008</v>
      </c>
      <c r="CU61" s="8">
        <f t="shared" si="186"/>
        <v>0.62756788985852896</v>
      </c>
      <c r="CV61" s="8">
        <f t="shared" si="186"/>
        <v>0.63703775978144206</v>
      </c>
      <c r="CW61" s="8">
        <f>CW48/CW46</f>
        <v>0.6390794423545032</v>
      </c>
      <c r="CX61" s="66">
        <v>0.64600000000000002</v>
      </c>
      <c r="CY61" s="66">
        <v>0.64800000000000002</v>
      </c>
      <c r="CZ61" s="66">
        <v>0.65</v>
      </c>
      <c r="DA61" s="66">
        <v>0.65200000000000002</v>
      </c>
      <c r="DB61" s="66">
        <v>0.65400000000000003</v>
      </c>
      <c r="DC61" s="66">
        <v>0.65600000000000003</v>
      </c>
      <c r="DD61" s="66">
        <v>0.65800000000000003</v>
      </c>
      <c r="DE61" s="66">
        <v>0.66</v>
      </c>
      <c r="DF61" s="66">
        <v>0.66</v>
      </c>
      <c r="DG61" s="66">
        <v>0.66</v>
      </c>
    </row>
    <row r="62" spans="2:147">
      <c r="B62" s="26" t="s">
        <v>15</v>
      </c>
      <c r="C62" s="8">
        <f t="shared" ref="C62:BN62" si="187">C49/C46</f>
        <v>5.2726848067266144E-2</v>
      </c>
      <c r="D62" s="8">
        <f t="shared" si="187"/>
        <v>5.6019358741681791E-2</v>
      </c>
      <c r="E62" s="8">
        <f t="shared" si="187"/>
        <v>5.0209205020920508E-2</v>
      </c>
      <c r="F62" s="8">
        <f t="shared" si="187"/>
        <v>5.0541516245487361E-2</v>
      </c>
      <c r="G62" s="8">
        <f t="shared" si="187"/>
        <v>5.0626020685900927E-2</v>
      </c>
      <c r="H62" s="8">
        <f t="shared" si="187"/>
        <v>4.868873016738455E-2</v>
      </c>
      <c r="I62" s="8">
        <f t="shared" si="187"/>
        <v>5.002501250625313E-2</v>
      </c>
      <c r="J62" s="8">
        <f t="shared" si="187"/>
        <v>5.3805027869411895E-2</v>
      </c>
      <c r="K62" s="8">
        <f t="shared" si="187"/>
        <v>5.5995475113122174E-2</v>
      </c>
      <c r="L62" s="8">
        <f t="shared" si="187"/>
        <v>5.534666867198075E-2</v>
      </c>
      <c r="M62" s="8">
        <f t="shared" si="187"/>
        <v>5.5086848635235733E-2</v>
      </c>
      <c r="N62" s="8">
        <f t="shared" si="187"/>
        <v>5.5718475073313782E-2</v>
      </c>
      <c r="O62" s="8">
        <f t="shared" si="187"/>
        <v>6.0068931560807483E-2</v>
      </c>
      <c r="P62" s="8">
        <f t="shared" si="187"/>
        <v>5.1918735891647853E-2</v>
      </c>
      <c r="Q62" s="8">
        <f t="shared" si="187"/>
        <v>5.1827857473391949E-2</v>
      </c>
      <c r="R62" s="8">
        <f t="shared" si="187"/>
        <v>5.5080721747388414E-2</v>
      </c>
      <c r="S62" s="8">
        <f t="shared" si="187"/>
        <v>5.5555555555555552E-2</v>
      </c>
      <c r="T62" s="8">
        <f t="shared" si="187"/>
        <v>5.517536355859709E-2</v>
      </c>
      <c r="U62" s="8">
        <f t="shared" si="187"/>
        <v>5.8904109589041097E-2</v>
      </c>
      <c r="V62" s="8">
        <f t="shared" si="187"/>
        <v>5.9674502712477394E-2</v>
      </c>
      <c r="W62" s="8">
        <f t="shared" si="187"/>
        <v>6.3226406322640635E-2</v>
      </c>
      <c r="X62" s="8">
        <f t="shared" si="187"/>
        <v>5.6320907617504051E-2</v>
      </c>
      <c r="Y62" s="8">
        <f t="shared" si="187"/>
        <v>6.5075921908893705E-2</v>
      </c>
      <c r="Z62" s="8">
        <f t="shared" si="187"/>
        <v>6.6864155734236139E-2</v>
      </c>
      <c r="AA62" s="8">
        <f t="shared" si="187"/>
        <v>6.4043532858936797E-2</v>
      </c>
      <c r="AB62" s="8">
        <f t="shared" si="187"/>
        <v>5.844155844155844E-2</v>
      </c>
      <c r="AC62" s="8">
        <f t="shared" si="187"/>
        <v>6.3892391761244227E-2</v>
      </c>
      <c r="AD62" s="8">
        <f t="shared" si="187"/>
        <v>6.3322368421052627E-2</v>
      </c>
      <c r="AE62" s="8">
        <f t="shared" si="187"/>
        <v>6.4049586776859499E-2</v>
      </c>
      <c r="AF62" s="8">
        <f t="shared" si="187"/>
        <v>6.0405156537753225E-2</v>
      </c>
      <c r="AG62" s="8">
        <f t="shared" si="187"/>
        <v>6.3727454909819639E-2</v>
      </c>
      <c r="AH62" s="8">
        <f t="shared" si="187"/>
        <v>6.4436619718309857E-2</v>
      </c>
      <c r="AI62" s="8">
        <f t="shared" si="187"/>
        <v>6.4948817507942111E-2</v>
      </c>
      <c r="AJ62" s="8">
        <f t="shared" si="187"/>
        <v>5.9866962305986697E-2</v>
      </c>
      <c r="AK62" s="8">
        <f t="shared" si="187"/>
        <v>6.4974619289340105E-2</v>
      </c>
      <c r="AL62" s="8">
        <f t="shared" si="187"/>
        <v>6.3745019920318724E-2</v>
      </c>
      <c r="AM62" s="8">
        <f t="shared" si="187"/>
        <v>6.5868263473053898E-2</v>
      </c>
      <c r="AN62" s="8">
        <f t="shared" si="187"/>
        <v>5.9060789397868046E-2</v>
      </c>
      <c r="AO62" s="8">
        <f t="shared" si="187"/>
        <v>6.2943535945695767E-2</v>
      </c>
      <c r="AP62" s="8">
        <f t="shared" si="187"/>
        <v>6.5021071643588196E-2</v>
      </c>
      <c r="AQ62" s="8">
        <f t="shared" si="187"/>
        <v>6.8167797655768039E-2</v>
      </c>
      <c r="AR62" s="8">
        <f t="shared" si="187"/>
        <v>5.8219178082191778E-2</v>
      </c>
      <c r="AS62" s="8">
        <f t="shared" si="187"/>
        <v>6.3993174061433442E-2</v>
      </c>
      <c r="AT62" s="8">
        <f t="shared" si="187"/>
        <v>6.7397260273972609E-2</v>
      </c>
      <c r="AU62" s="8">
        <f t="shared" si="187"/>
        <v>6.8580986897128521E-2</v>
      </c>
      <c r="AV62" s="8">
        <f t="shared" si="187"/>
        <v>6.1486322924231424E-2</v>
      </c>
      <c r="AW62" s="8">
        <f t="shared" si="187"/>
        <v>7.0791527313266447E-2</v>
      </c>
      <c r="AX62" s="8">
        <f t="shared" si="187"/>
        <v>8.4298118668596239E-2</v>
      </c>
      <c r="AY62" s="8">
        <f t="shared" si="187"/>
        <v>6.4757827134064763E-2</v>
      </c>
      <c r="AZ62" s="8">
        <f t="shared" si="187"/>
        <v>5.9831065227592677E-2</v>
      </c>
      <c r="BA62" s="8">
        <f t="shared" si="187"/>
        <v>7.2856058689602834E-2</v>
      </c>
      <c r="BB62" s="8">
        <f t="shared" si="187"/>
        <v>7.2193758733115981E-2</v>
      </c>
      <c r="BC62" s="8">
        <f t="shared" si="187"/>
        <v>7.355769230769231E-2</v>
      </c>
      <c r="BD62" s="8">
        <f t="shared" si="187"/>
        <v>7.0410550946607101E-2</v>
      </c>
      <c r="BE62" s="8">
        <f t="shared" si="187"/>
        <v>9.6608187134502921E-2</v>
      </c>
      <c r="BF62" s="8">
        <f t="shared" si="187"/>
        <v>7.8121522368128193E-2</v>
      </c>
      <c r="BG62" s="8">
        <f t="shared" si="187"/>
        <v>8.1268140209868278E-2</v>
      </c>
      <c r="BH62" s="8">
        <f t="shared" si="187"/>
        <v>6.2668204536716648E-2</v>
      </c>
      <c r="BI62" s="8">
        <f t="shared" si="187"/>
        <v>7.0950188363331931E-2</v>
      </c>
      <c r="BJ62" s="8">
        <f t="shared" si="187"/>
        <v>6.9255404323458766E-2</v>
      </c>
      <c r="BK62" s="8">
        <f t="shared" si="187"/>
        <v>7.1908739050723161E-2</v>
      </c>
      <c r="BL62" s="8">
        <f t="shared" si="187"/>
        <v>6.0189165950128978E-2</v>
      </c>
      <c r="BM62" s="8">
        <f t="shared" si="187"/>
        <v>7.0188823192828528E-2</v>
      </c>
      <c r="BN62" s="8">
        <f t="shared" si="187"/>
        <v>6.6949465142014011E-2</v>
      </c>
      <c r="BO62" s="8">
        <f t="shared" ref="BO62:BP62" si="188">BO49/BO46</f>
        <v>6.8620313068802327E-2</v>
      </c>
      <c r="BP62" s="8">
        <f t="shared" si="188"/>
        <v>5.562461155997514E-2</v>
      </c>
      <c r="BQ62" s="8">
        <f>BQ49/BQ46</f>
        <v>6.9041936583702695E-2</v>
      </c>
      <c r="CH62" s="8">
        <f t="shared" ref="CH62:CR62" si="189">CH49/CH46</f>
        <v>4.9977688531905401E-2</v>
      </c>
      <c r="CI62" s="8">
        <f t="shared" si="189"/>
        <v>5.3825136612021859E-2</v>
      </c>
      <c r="CJ62" s="8">
        <f t="shared" si="189"/>
        <v>5.5615745756590826E-2</v>
      </c>
      <c r="CK62" s="8">
        <f t="shared" si="189"/>
        <v>5.4406838396673214E-2</v>
      </c>
      <c r="CL62" s="8">
        <f t="shared" si="189"/>
        <v>5.9416916084691275E-2</v>
      </c>
      <c r="CM62" s="8">
        <f t="shared" si="189"/>
        <v>6.3462532299741609E-2</v>
      </c>
      <c r="CN62" s="8">
        <f t="shared" si="189"/>
        <v>6.283933239493264E-2</v>
      </c>
      <c r="CO62" s="8">
        <f t="shared" si="189"/>
        <v>6.3134657836644598E-2</v>
      </c>
      <c r="CP62" s="8">
        <f t="shared" si="189"/>
        <v>6.3243330118932822E-2</v>
      </c>
      <c r="CQ62" s="8">
        <f t="shared" si="189"/>
        <v>6.3377692816704648E-2</v>
      </c>
      <c r="CR62" s="8">
        <f t="shared" si="189"/>
        <v>6.52378392905133E-2</v>
      </c>
      <c r="CS62" s="8">
        <f t="shared" ref="CS62:CV62" si="190">CS49/CS46</f>
        <v>6.8566650407637098E-2</v>
      </c>
      <c r="CT62" s="8">
        <f t="shared" si="190"/>
        <v>7.2188449848024319E-2</v>
      </c>
      <c r="CU62" s="8">
        <f t="shared" si="190"/>
        <v>7.8811859721394109E-2</v>
      </c>
      <c r="CV62" s="8">
        <f t="shared" si="190"/>
        <v>6.7713923309591181E-2</v>
      </c>
      <c r="CW62" s="8">
        <f>CW49/CW46</f>
        <v>6.4881610975879619E-2</v>
      </c>
      <c r="CX62" s="66">
        <v>6.8000000000000005E-2</v>
      </c>
      <c r="CY62" s="66">
        <v>6.8000000000000005E-2</v>
      </c>
      <c r="CZ62" s="66">
        <v>6.8000000000000005E-2</v>
      </c>
      <c r="DA62" s="66">
        <v>6.8000000000000005E-2</v>
      </c>
      <c r="DB62" s="66">
        <v>6.8000000000000005E-2</v>
      </c>
      <c r="DC62" s="66">
        <v>6.8000000000000005E-2</v>
      </c>
      <c r="DD62" s="66">
        <v>6.8000000000000005E-2</v>
      </c>
      <c r="DE62" s="66">
        <v>6.8000000000000005E-2</v>
      </c>
      <c r="DF62" s="66">
        <v>6.8000000000000005E-2</v>
      </c>
      <c r="DG62" s="66">
        <v>6.8000000000000005E-2</v>
      </c>
    </row>
    <row r="63" spans="2:147">
      <c r="B63" s="26" t="s">
        <v>14</v>
      </c>
      <c r="C63" s="8">
        <f t="shared" ref="C63:BN63" si="191">C50/C46</f>
        <v>0.39600607263809418</v>
      </c>
      <c r="D63" s="8">
        <f t="shared" si="191"/>
        <v>0.39007864488808225</v>
      </c>
      <c r="E63" s="8">
        <f t="shared" si="191"/>
        <v>0.38506213701367642</v>
      </c>
      <c r="F63" s="8">
        <f t="shared" si="191"/>
        <v>0.37759285320932512</v>
      </c>
      <c r="G63" s="8">
        <f t="shared" si="191"/>
        <v>0.38946349724792839</v>
      </c>
      <c r="H63" s="8">
        <f t="shared" si="191"/>
        <v>0.34262035875906438</v>
      </c>
      <c r="I63" s="8">
        <f t="shared" si="191"/>
        <v>0.37118559279639818</v>
      </c>
      <c r="J63" s="8">
        <f t="shared" si="191"/>
        <v>0.37640768968262994</v>
      </c>
      <c r="K63" s="8">
        <f t="shared" si="191"/>
        <v>0.36368778280542985</v>
      </c>
      <c r="L63" s="8">
        <f t="shared" si="191"/>
        <v>0.36817566551361103</v>
      </c>
      <c r="M63" s="8">
        <f t="shared" si="191"/>
        <v>0.37965260545905705</v>
      </c>
      <c r="N63" s="8">
        <f t="shared" si="191"/>
        <v>0.38416422287390029</v>
      </c>
      <c r="O63" s="8">
        <f t="shared" si="191"/>
        <v>0.37666174298375182</v>
      </c>
      <c r="P63" s="8">
        <f t="shared" si="191"/>
        <v>0.37652370203160274</v>
      </c>
      <c r="Q63" s="8">
        <f t="shared" si="191"/>
        <v>0.37899120777417861</v>
      </c>
      <c r="R63" s="8">
        <f t="shared" si="191"/>
        <v>0.39078822412155745</v>
      </c>
      <c r="S63" s="8">
        <f t="shared" si="191"/>
        <v>0.38547758284600392</v>
      </c>
      <c r="T63" s="8">
        <f t="shared" si="191"/>
        <v>0.39948674080410607</v>
      </c>
      <c r="U63" s="8">
        <f t="shared" si="191"/>
        <v>0.41826484018264842</v>
      </c>
      <c r="V63" s="8">
        <f t="shared" si="191"/>
        <v>0.45886075949367089</v>
      </c>
      <c r="W63" s="8">
        <f t="shared" si="191"/>
        <v>0.52812645281264525</v>
      </c>
      <c r="X63" s="8">
        <f t="shared" si="191"/>
        <v>0.16207455429497569</v>
      </c>
      <c r="Y63" s="8">
        <f t="shared" si="191"/>
        <v>0.37266811279826462</v>
      </c>
      <c r="Z63" s="8">
        <f t="shared" si="191"/>
        <v>0.36817604739737619</v>
      </c>
      <c r="AA63" s="8">
        <f t="shared" si="191"/>
        <v>0.36751778987023859</v>
      </c>
      <c r="AB63" s="8">
        <f t="shared" si="191"/>
        <v>0.35905271199388844</v>
      </c>
      <c r="AC63" s="8">
        <f t="shared" si="191"/>
        <v>0.37494745691467002</v>
      </c>
      <c r="AD63" s="8">
        <f t="shared" si="191"/>
        <v>0.35402960526315791</v>
      </c>
      <c r="AE63" s="8">
        <f t="shared" si="191"/>
        <v>0.36652892561983469</v>
      </c>
      <c r="AF63" s="8">
        <f t="shared" si="191"/>
        <v>0.35727440147329648</v>
      </c>
      <c r="AG63" s="8">
        <f t="shared" si="191"/>
        <v>0.37835671342685373</v>
      </c>
      <c r="AH63" s="8">
        <f t="shared" si="191"/>
        <v>0.36725352112676057</v>
      </c>
      <c r="AI63" s="8">
        <f t="shared" si="191"/>
        <v>0.37310271796681965</v>
      </c>
      <c r="AJ63" s="8">
        <f t="shared" si="191"/>
        <v>0.34621476084890718</v>
      </c>
      <c r="AK63" s="8">
        <f t="shared" si="191"/>
        <v>0.37292724196277494</v>
      </c>
      <c r="AL63" s="8">
        <f t="shared" si="191"/>
        <v>0.3751660026560425</v>
      </c>
      <c r="AM63" s="8">
        <f t="shared" si="191"/>
        <v>0.36693280106453757</v>
      </c>
      <c r="AN63" s="8">
        <f t="shared" si="191"/>
        <v>0.35061941803514834</v>
      </c>
      <c r="AO63" s="8">
        <f t="shared" si="191"/>
        <v>0.38136377661215676</v>
      </c>
      <c r="AP63" s="8">
        <f t="shared" si="191"/>
        <v>0.35821794099939797</v>
      </c>
      <c r="AQ63" s="8">
        <f t="shared" si="191"/>
        <v>0.38309685379395436</v>
      </c>
      <c r="AR63" s="8">
        <f t="shared" si="191"/>
        <v>0.37697576396206534</v>
      </c>
      <c r="AS63" s="8">
        <f t="shared" si="191"/>
        <v>0.39903299203640502</v>
      </c>
      <c r="AT63" s="8">
        <f t="shared" si="191"/>
        <v>0.35123287671232878</v>
      </c>
      <c r="AU63" s="8">
        <f t="shared" si="191"/>
        <v>0.35991078896013384</v>
      </c>
      <c r="AV63" s="8">
        <f t="shared" si="191"/>
        <v>0.33405954974582425</v>
      </c>
      <c r="AW63" s="8">
        <f t="shared" si="191"/>
        <v>0.37068004459308806</v>
      </c>
      <c r="AX63" s="8">
        <f t="shared" si="191"/>
        <v>0.44319826338639651</v>
      </c>
      <c r="AY63" s="8">
        <f t="shared" si="191"/>
        <v>0.33288734278833287</v>
      </c>
      <c r="AZ63" s="8">
        <f t="shared" si="191"/>
        <v>0.36649460347254809</v>
      </c>
      <c r="BA63" s="8">
        <f t="shared" si="191"/>
        <v>0.39843157095876547</v>
      </c>
      <c r="BB63" s="8">
        <f t="shared" si="191"/>
        <v>0.35048905449464368</v>
      </c>
      <c r="BC63" s="8">
        <f t="shared" si="191"/>
        <v>0.38509615384615387</v>
      </c>
      <c r="BD63" s="8">
        <f t="shared" si="191"/>
        <v>0.37119761752818548</v>
      </c>
      <c r="BE63" s="8">
        <f t="shared" si="191"/>
        <v>0.4</v>
      </c>
      <c r="BF63" s="8">
        <f t="shared" si="191"/>
        <v>0.3425328288448698</v>
      </c>
      <c r="BG63" s="8">
        <f t="shared" si="191"/>
        <v>0.32484929671801743</v>
      </c>
      <c r="BH63" s="8">
        <f t="shared" si="191"/>
        <v>0.32333717800845829</v>
      </c>
      <c r="BI63" s="8">
        <f t="shared" si="191"/>
        <v>0.37275010464629554</v>
      </c>
      <c r="BJ63" s="8">
        <f t="shared" si="191"/>
        <v>0.3420736589271417</v>
      </c>
      <c r="BK63" s="8">
        <f t="shared" si="191"/>
        <v>0.34833978407007538</v>
      </c>
      <c r="BL63" s="8">
        <f t="shared" si="191"/>
        <v>0.32863284608770421</v>
      </c>
      <c r="BM63" s="8">
        <f t="shared" si="191"/>
        <v>0.35037192447072285</v>
      </c>
      <c r="BN63" s="8">
        <f t="shared" si="191"/>
        <v>0.34064920693471046</v>
      </c>
      <c r="BO63" s="8">
        <f t="shared" ref="BO63:BP63" si="192">BO50/BO46</f>
        <v>0.34510374954495815</v>
      </c>
      <c r="BP63" s="8">
        <f t="shared" si="192"/>
        <v>0.32706650093225603</v>
      </c>
      <c r="BQ63" s="8">
        <f>BQ50/BQ46</f>
        <v>0.39209001022843504</v>
      </c>
      <c r="CH63" s="8">
        <f t="shared" ref="CH63:CR63" si="193">CH50/CH46</f>
        <v>0.3727502603004611</v>
      </c>
      <c r="CI63" s="8">
        <f t="shared" si="193"/>
        <v>0.36980874316939893</v>
      </c>
      <c r="CJ63" s="8">
        <f t="shared" si="193"/>
        <v>0.37919826652221017</v>
      </c>
      <c r="CK63" s="8">
        <f t="shared" si="193"/>
        <v>0.38893381078895689</v>
      </c>
      <c r="CL63" s="8">
        <f t="shared" si="193"/>
        <v>0.38432546280900121</v>
      </c>
      <c r="CM63" s="8">
        <f t="shared" si="193"/>
        <v>0.36661498708010337</v>
      </c>
      <c r="CN63" s="8">
        <f t="shared" si="193"/>
        <v>0.36295998391313089</v>
      </c>
      <c r="CO63" s="8">
        <f t="shared" si="193"/>
        <v>0.36529801324503314</v>
      </c>
      <c r="CP63" s="8">
        <f t="shared" si="193"/>
        <v>0.36579877852780457</v>
      </c>
      <c r="CQ63" s="8">
        <f t="shared" si="193"/>
        <v>0.37489890449231672</v>
      </c>
      <c r="CR63" s="8">
        <f t="shared" si="193"/>
        <v>0.3598495028218221</v>
      </c>
      <c r="CS63" s="8">
        <f t="shared" ref="CS63:CV63" si="194">CS50/CS46</f>
        <v>0.373562817922096</v>
      </c>
      <c r="CT63" s="8">
        <f t="shared" si="194"/>
        <v>0.37567220014028524</v>
      </c>
      <c r="CU63" s="8">
        <f t="shared" si="194"/>
        <v>0.34614342240771856</v>
      </c>
      <c r="CV63" s="8">
        <f t="shared" si="194"/>
        <v>0.34691189384330179</v>
      </c>
      <c r="CW63" s="8">
        <f>CW50/CW46</f>
        <v>0.34011949546359815</v>
      </c>
      <c r="CX63" s="66">
        <v>0.33700000000000002</v>
      </c>
      <c r="CY63" s="66">
        <v>0.33400000000000002</v>
      </c>
      <c r="CZ63" s="66">
        <v>0.33200000000000002</v>
      </c>
      <c r="DA63" s="66">
        <v>0.33</v>
      </c>
      <c r="DB63" s="66">
        <v>0.32800000000000001</v>
      </c>
      <c r="DC63" s="66">
        <v>0.32700000000000001</v>
      </c>
      <c r="DD63" s="66">
        <v>0.32600000000000001</v>
      </c>
      <c r="DE63" s="66">
        <v>0.32500000000000001</v>
      </c>
      <c r="DF63" s="66">
        <v>0.32500000000000001</v>
      </c>
      <c r="DG63" s="66">
        <v>0.32500000000000001</v>
      </c>
    </row>
    <row r="64" spans="2:147">
      <c r="B64" s="26" t="s">
        <v>17</v>
      </c>
      <c r="C64" s="8">
        <f t="shared" ref="C64:BN64" si="195">C53/C46</f>
        <v>0.23408852037837199</v>
      </c>
      <c r="D64" s="8">
        <f t="shared" si="195"/>
        <v>0.22014519056261342</v>
      </c>
      <c r="E64" s="8">
        <f t="shared" si="195"/>
        <v>0.23655779679010802</v>
      </c>
      <c r="F64" s="8">
        <f t="shared" si="195"/>
        <v>0.23881784250137672</v>
      </c>
      <c r="G64" s="8">
        <f t="shared" si="195"/>
        <v>0.18810863122240362</v>
      </c>
      <c r="H64" s="8">
        <f t="shared" si="195"/>
        <v>0.28019191974265306</v>
      </c>
      <c r="I64" s="8">
        <f t="shared" si="195"/>
        <v>0.24784614529486959</v>
      </c>
      <c r="J64" s="8">
        <f t="shared" si="195"/>
        <v>0.25452166988965996</v>
      </c>
      <c r="K64" s="8">
        <f t="shared" si="195"/>
        <v>0.26640271493212669</v>
      </c>
      <c r="L64" s="8">
        <f t="shared" si="195"/>
        <v>0.19331227753546906</v>
      </c>
      <c r="M64" s="8">
        <f t="shared" si="195"/>
        <v>0.20992555831265508</v>
      </c>
      <c r="N64" s="8">
        <f t="shared" si="195"/>
        <v>0.1959921798631476</v>
      </c>
      <c r="O64" s="8">
        <f t="shared" si="195"/>
        <v>0.21861152141802068</v>
      </c>
      <c r="P64" s="8">
        <f t="shared" si="195"/>
        <v>0.18871331828442439</v>
      </c>
      <c r="Q64" s="8">
        <f t="shared" si="195"/>
        <v>0.22026839426191577</v>
      </c>
      <c r="R64" s="8">
        <f t="shared" si="195"/>
        <v>0.21130104463437796</v>
      </c>
      <c r="S64" s="8">
        <f t="shared" si="195"/>
        <v>0.21929824561403508</v>
      </c>
      <c r="T64" s="8">
        <f t="shared" si="195"/>
        <v>0.15825491873396064</v>
      </c>
      <c r="U64" s="8">
        <f t="shared" si="195"/>
        <v>0.17625570776255708</v>
      </c>
      <c r="V64" s="8">
        <f t="shared" si="195"/>
        <v>0.13110307414104883</v>
      </c>
      <c r="W64" s="8">
        <f t="shared" si="195"/>
        <v>6.9735006973500699E-2</v>
      </c>
      <c r="X64" s="8">
        <f t="shared" si="195"/>
        <v>0.17423014586709887</v>
      </c>
      <c r="Y64" s="8">
        <f t="shared" si="195"/>
        <v>5.683297180043384E-2</v>
      </c>
      <c r="Z64" s="8">
        <f t="shared" si="195"/>
        <v>8.3368599238256458E-2</v>
      </c>
      <c r="AA64" s="8">
        <f t="shared" si="195"/>
        <v>0.18836333193804938</v>
      </c>
      <c r="AB64" s="8">
        <f t="shared" si="195"/>
        <v>0.1787624140565317</v>
      </c>
      <c r="AC64" s="8">
        <f t="shared" si="195"/>
        <v>0.17065994115174443</v>
      </c>
      <c r="AD64" s="8">
        <f t="shared" si="195"/>
        <v>0.17639802631578946</v>
      </c>
      <c r="AE64" s="8">
        <f t="shared" si="195"/>
        <v>0.15619834710743802</v>
      </c>
      <c r="AF64" s="8">
        <f t="shared" si="195"/>
        <v>0.23867403314917127</v>
      </c>
      <c r="AG64" s="8">
        <f t="shared" si="195"/>
        <v>0.20801603206412825</v>
      </c>
      <c r="AH64" s="8">
        <f t="shared" si="195"/>
        <v>0.176056338028169</v>
      </c>
      <c r="AI64" s="8">
        <f t="shared" si="195"/>
        <v>0.17154959406989057</v>
      </c>
      <c r="AJ64" s="8">
        <f t="shared" si="195"/>
        <v>0.21222679759265126</v>
      </c>
      <c r="AK64" s="8">
        <f t="shared" si="195"/>
        <v>0.18815566835871406</v>
      </c>
      <c r="AL64" s="8">
        <f t="shared" si="195"/>
        <v>0.16666666666666666</v>
      </c>
      <c r="AM64" s="8">
        <f t="shared" si="195"/>
        <v>0.17465069860279442</v>
      </c>
      <c r="AN64" s="8">
        <f t="shared" si="195"/>
        <v>0.20570440795159897</v>
      </c>
      <c r="AO64" s="8">
        <f t="shared" si="195"/>
        <v>0.18235112619561863</v>
      </c>
      <c r="AP64" s="8">
        <f t="shared" si="195"/>
        <v>0.20228777844671886</v>
      </c>
      <c r="AQ64" s="8">
        <f t="shared" si="195"/>
        <v>0.17766810610734116</v>
      </c>
      <c r="AR64" s="8">
        <f t="shared" si="195"/>
        <v>0.18387776606954689</v>
      </c>
      <c r="AS64" s="8">
        <f t="shared" si="195"/>
        <v>0.15017064846416384</v>
      </c>
      <c r="AT64" s="8">
        <f t="shared" si="195"/>
        <v>0.16794520547945205</v>
      </c>
      <c r="AU64" s="8">
        <f t="shared" si="195"/>
        <v>0.17507666573738501</v>
      </c>
      <c r="AV64" s="8">
        <f t="shared" si="195"/>
        <v>0.22851609779714355</v>
      </c>
      <c r="AW64" s="8">
        <f t="shared" si="195"/>
        <v>0.17697881828316611</v>
      </c>
      <c r="AX64" s="8">
        <f t="shared" si="195"/>
        <v>-7.2358900144717797E-3</v>
      </c>
      <c r="AY64" s="8">
        <f t="shared" si="195"/>
        <v>0.22986352689322986</v>
      </c>
      <c r="AZ64" s="8">
        <f t="shared" si="195"/>
        <v>0.17573908962928203</v>
      </c>
      <c r="BA64" s="8">
        <f t="shared" si="195"/>
        <v>0.11611434353655452</v>
      </c>
      <c r="BB64" s="8">
        <f t="shared" si="195"/>
        <v>0.17047042384722869</v>
      </c>
      <c r="BC64" s="8">
        <f t="shared" si="195"/>
        <v>0.13798076923076924</v>
      </c>
      <c r="BD64" s="8">
        <f t="shared" si="195"/>
        <v>0.1742182514358647</v>
      </c>
      <c r="BE64" s="8">
        <f t="shared" si="195"/>
        <v>0.10456140350877192</v>
      </c>
      <c r="BF64" s="8">
        <f t="shared" si="195"/>
        <v>0.17182283552192298</v>
      </c>
      <c r="BG64" s="8">
        <f t="shared" si="195"/>
        <v>0.18039741013619112</v>
      </c>
      <c r="BH64" s="8">
        <f t="shared" si="195"/>
        <v>0.15647827758554403</v>
      </c>
      <c r="BI64" s="8">
        <f t="shared" si="195"/>
        <v>0.15383005441607367</v>
      </c>
      <c r="BJ64" s="8">
        <f t="shared" si="195"/>
        <v>0.19315452361889512</v>
      </c>
      <c r="BK64" s="8">
        <f t="shared" si="195"/>
        <v>0.18965166021592991</v>
      </c>
      <c r="BL64" s="8">
        <f t="shared" si="195"/>
        <v>0.21616509028374892</v>
      </c>
      <c r="BM64" s="8">
        <f t="shared" si="195"/>
        <v>0.1853900438680145</v>
      </c>
      <c r="BN64" s="8">
        <f t="shared" si="195"/>
        <v>0.19383991147178162</v>
      </c>
      <c r="BO64" s="8">
        <f t="shared" ref="BO64:BP64" si="196">BO53/BO46</f>
        <v>0.19748816891153986</v>
      </c>
      <c r="BP64" s="8">
        <f t="shared" si="196"/>
        <v>9.0273461777501549E-2</v>
      </c>
      <c r="BQ64" s="8">
        <f>BQ53/BQ46</f>
        <v>0.14268666893965223</v>
      </c>
      <c r="CH64" s="8">
        <f t="shared" ref="CH64:CR64" si="197">CH53/CH46</f>
        <v>0.23709653428528932</v>
      </c>
      <c r="CI64" s="8">
        <f t="shared" si="197"/>
        <v>0.23907103825136616</v>
      </c>
      <c r="CJ64" s="8">
        <f t="shared" si="197"/>
        <v>0.20296135789093536</v>
      </c>
      <c r="CK64" s="8">
        <f t="shared" si="197"/>
        <v>0.20110892919025067</v>
      </c>
      <c r="CL64" s="8">
        <f t="shared" si="197"/>
        <v>0.13923068395964971</v>
      </c>
      <c r="CM64" s="8">
        <f t="shared" si="197"/>
        <v>0.12878552971576226</v>
      </c>
      <c r="CN64" s="8">
        <f t="shared" si="197"/>
        <v>0.18711039613915142</v>
      </c>
      <c r="CO64" s="8">
        <f t="shared" si="197"/>
        <v>0.19205298013245034</v>
      </c>
      <c r="CP64" s="8">
        <f t="shared" si="197"/>
        <v>0.18458694953391191</v>
      </c>
      <c r="CQ64" s="8">
        <f t="shared" si="197"/>
        <v>0.18653040217631056</v>
      </c>
      <c r="CR64" s="8">
        <f t="shared" si="197"/>
        <v>0.18227626981994088</v>
      </c>
      <c r="CS64" s="8">
        <f t="shared" ref="CS64:CV64" si="198">CS53/CS46</f>
        <v>0.15490209741481431</v>
      </c>
      <c r="CT64" s="8">
        <f t="shared" si="198"/>
        <v>0.15104044891278934</v>
      </c>
      <c r="CU64" s="8">
        <f t="shared" si="198"/>
        <v>0.15399208629193994</v>
      </c>
      <c r="CV64" s="8">
        <f t="shared" si="198"/>
        <v>0.18967704166260124</v>
      </c>
      <c r="CW64" s="8">
        <f>CW53/CW46</f>
        <v>0.16326620933834921</v>
      </c>
      <c r="CX64" s="66">
        <f>CX53/CX46</f>
        <v>0.19719905526520445</v>
      </c>
      <c r="CY64" s="66">
        <f t="shared" ref="CY64:DG64" si="199">CY53/CY46</f>
        <v>0.20453694276110823</v>
      </c>
      <c r="CZ64" s="66">
        <f t="shared" si="199"/>
        <v>0.21038177340542094</v>
      </c>
      <c r="DA64" s="66">
        <f t="shared" si="199"/>
        <v>0.21588995962111518</v>
      </c>
      <c r="DB64" s="66">
        <f t="shared" si="199"/>
        <v>0.22129161886986329</v>
      </c>
      <c r="DC64" s="66">
        <f t="shared" si="199"/>
        <v>0.2255578700047785</v>
      </c>
      <c r="DD64" s="66">
        <f t="shared" si="199"/>
        <v>0.22973425523153626</v>
      </c>
      <c r="DE64" s="66">
        <f t="shared" si="199"/>
        <v>0.23376048137551539</v>
      </c>
      <c r="DF64" s="66">
        <f t="shared" si="199"/>
        <v>0.23471806147291754</v>
      </c>
      <c r="DG64" s="66">
        <f t="shared" si="199"/>
        <v>0.23566906385120762</v>
      </c>
    </row>
    <row r="65" spans="2:111">
      <c r="B65" s="26" t="s">
        <v>1206</v>
      </c>
      <c r="C65" s="8">
        <f t="shared" ref="C65:BN65" si="200">C56/C55</f>
        <v>0.27207807664841716</v>
      </c>
      <c r="D65" s="8">
        <f t="shared" si="200"/>
        <v>0.27195316657796703</v>
      </c>
      <c r="E65" s="8">
        <f t="shared" si="200"/>
        <v>0.27279792746113996</v>
      </c>
      <c r="F65" s="8">
        <f t="shared" si="200"/>
        <v>0.27141073657927595</v>
      </c>
      <c r="G65" s="8">
        <f t="shared" si="200"/>
        <v>0.27197452229299374</v>
      </c>
      <c r="H65" s="8">
        <f t="shared" si="200"/>
        <v>0.41566380133715375</v>
      </c>
      <c r="I65" s="8">
        <f t="shared" si="200"/>
        <v>0.27868852459016402</v>
      </c>
      <c r="J65" s="8">
        <f t="shared" si="200"/>
        <v>0.27963800904977365</v>
      </c>
      <c r="K65" s="8">
        <f t="shared" si="200"/>
        <v>0.27056277056277056</v>
      </c>
      <c r="L65" s="8">
        <f t="shared" si="200"/>
        <v>0.2199630314232901</v>
      </c>
      <c r="M65" s="8">
        <f t="shared" si="200"/>
        <v>0.25304136253041365</v>
      </c>
      <c r="N65" s="8">
        <f t="shared" si="200"/>
        <v>0.24574209245742093</v>
      </c>
      <c r="O65" s="8">
        <f t="shared" si="200"/>
        <v>0.24129930394431554</v>
      </c>
      <c r="P65" s="8">
        <f t="shared" si="200"/>
        <v>7.3903002309468821E-2</v>
      </c>
      <c r="Q65" s="8">
        <f t="shared" si="200"/>
        <v>0.25213675213675213</v>
      </c>
      <c r="R65" s="8">
        <f t="shared" si="200"/>
        <v>0.25287356321839083</v>
      </c>
      <c r="S65" s="8">
        <f t="shared" si="200"/>
        <v>0.20495495495495494</v>
      </c>
      <c r="T65" s="8">
        <f t="shared" si="200"/>
        <v>0.24581005586592178</v>
      </c>
      <c r="U65" s="8">
        <f t="shared" si="200"/>
        <v>0.18933333333333333</v>
      </c>
      <c r="V65" s="8">
        <f t="shared" si="200"/>
        <v>0.20817843866171004</v>
      </c>
      <c r="W65" s="8">
        <f t="shared" si="200"/>
        <v>0.24817518248175183</v>
      </c>
      <c r="X65" s="8">
        <f t="shared" si="200"/>
        <v>0.10440835266821345</v>
      </c>
      <c r="Y65" s="8">
        <f t="shared" si="200"/>
        <v>0.34579439252336447</v>
      </c>
      <c r="Z65" s="8">
        <f t="shared" si="200"/>
        <v>0.23353293413173654</v>
      </c>
      <c r="AA65" s="8">
        <f t="shared" si="200"/>
        <v>0.86588235294117644</v>
      </c>
      <c r="AB65" s="8">
        <f t="shared" si="200"/>
        <v>0.43600867678958788</v>
      </c>
      <c r="AC65" s="8">
        <f t="shared" si="200"/>
        <v>0.40583554376657827</v>
      </c>
      <c r="AD65" s="8">
        <f t="shared" si="200"/>
        <v>2.2443890274314215E-2</v>
      </c>
      <c r="AE65" s="8">
        <f t="shared" si="200"/>
        <v>0.12753623188405797</v>
      </c>
      <c r="AF65" s="8">
        <f t="shared" si="200"/>
        <v>0.14705882352941177</v>
      </c>
      <c r="AG65" s="8">
        <f t="shared" si="200"/>
        <v>0.16424116424116425</v>
      </c>
      <c r="AH65" s="8">
        <f t="shared" si="200"/>
        <v>0.12240184757505773</v>
      </c>
      <c r="AI65" s="8">
        <f t="shared" si="200"/>
        <v>0.15274463007159905</v>
      </c>
      <c r="AJ65" s="8">
        <f t="shared" si="200"/>
        <v>0.1326530612244898</v>
      </c>
      <c r="AK65" s="8">
        <f t="shared" si="200"/>
        <v>0.11022044088176353</v>
      </c>
      <c r="AL65" s="8">
        <f t="shared" si="200"/>
        <v>0.11936936936936937</v>
      </c>
      <c r="AM65" s="8">
        <f t="shared" si="200"/>
        <v>7.8556263269639062E-2</v>
      </c>
      <c r="AN65" s="8">
        <f t="shared" si="200"/>
        <v>1.3836671802773497</v>
      </c>
      <c r="AO65" s="8">
        <f t="shared" si="200"/>
        <v>0.18265682656826568</v>
      </c>
      <c r="AP65" s="8">
        <f t="shared" si="200"/>
        <v>0.27447833065810595</v>
      </c>
      <c r="AQ65" s="8">
        <f t="shared" si="200"/>
        <v>-0.10486891385767791</v>
      </c>
      <c r="AR65" s="8">
        <f t="shared" si="200"/>
        <v>-2.147640791476408</v>
      </c>
      <c r="AS65" s="8">
        <f t="shared" si="200"/>
        <v>0.14166666666666666</v>
      </c>
      <c r="AT65" s="8">
        <f t="shared" si="200"/>
        <v>0.15044247787610621</v>
      </c>
      <c r="AU65" s="8">
        <f t="shared" si="200"/>
        <v>0.19793459552495696</v>
      </c>
      <c r="AV65" s="8">
        <f t="shared" si="200"/>
        <v>0.22542735042735043</v>
      </c>
      <c r="AW65" s="8">
        <f t="shared" si="200"/>
        <v>0.16440677966101694</v>
      </c>
      <c r="AX65" s="8">
        <f t="shared" si="200"/>
        <v>4.5977011494252873E-2</v>
      </c>
      <c r="AY65" s="8">
        <f t="shared" si="200"/>
        <v>0.20384615384615384</v>
      </c>
      <c r="AZ65" s="8">
        <f t="shared" si="200"/>
        <v>0.15350223546944858</v>
      </c>
      <c r="BA65" s="8">
        <f t="shared" si="200"/>
        <v>0.17711171662125341</v>
      </c>
      <c r="BB65" s="8">
        <f t="shared" si="200"/>
        <v>0.10574018126888217</v>
      </c>
      <c r="BC65" s="8">
        <f t="shared" si="200"/>
        <v>0.11515151515151516</v>
      </c>
      <c r="BD65" s="8">
        <f t="shared" si="200"/>
        <v>0.12549537648612946</v>
      </c>
      <c r="BE65" s="8">
        <f t="shared" si="200"/>
        <v>0.16321243523316062</v>
      </c>
      <c r="BF65" s="8">
        <f t="shared" si="200"/>
        <v>8.8888888888888892E-2</v>
      </c>
      <c r="BG65" s="8">
        <f t="shared" si="200"/>
        <v>0</v>
      </c>
      <c r="BH65" s="8">
        <f t="shared" si="200"/>
        <v>0.26018396846254926</v>
      </c>
      <c r="BI65" s="8">
        <f t="shared" si="200"/>
        <v>0.12812960235640647</v>
      </c>
      <c r="BJ65" s="8">
        <f t="shared" si="200"/>
        <v>0.17908787541713014</v>
      </c>
      <c r="BK65" s="8">
        <f t="shared" si="200"/>
        <v>0.20368239355581128</v>
      </c>
      <c r="BL65" s="8">
        <f t="shared" si="200"/>
        <v>6.7699836867862975E-2</v>
      </c>
      <c r="BM65" s="8">
        <f t="shared" si="200"/>
        <v>0.14626218851570963</v>
      </c>
      <c r="BN65" s="8">
        <f t="shared" si="200"/>
        <v>0.17334669338677355</v>
      </c>
      <c r="BO65" s="8">
        <f t="shared" ref="BO65:BP65" si="201">BO56/BO55</f>
        <v>0.20038350910834132</v>
      </c>
      <c r="BP65" s="8">
        <f t="shared" si="201"/>
        <v>-3.4090909090909088E-2</v>
      </c>
      <c r="BQ65" s="8">
        <f>BQ56/BQ55</f>
        <v>0.14397905759162305</v>
      </c>
      <c r="CH65" s="8">
        <f t="shared" ref="CH65:CR65" si="202">CH56/CH55</f>
        <v>0.31834975369458135</v>
      </c>
      <c r="CI65" s="8">
        <f t="shared" si="202"/>
        <v>0.2638888888888889</v>
      </c>
      <c r="CJ65" s="8">
        <f t="shared" si="202"/>
        <v>0.2022538552787663</v>
      </c>
      <c r="CK65" s="8">
        <f t="shared" si="202"/>
        <v>0.23870967741935484</v>
      </c>
      <c r="CL65" s="8">
        <f t="shared" si="202"/>
        <v>0.16996699669966997</v>
      </c>
      <c r="CM65" s="8">
        <f t="shared" si="202"/>
        <v>0.55603448275862066</v>
      </c>
      <c r="CN65" s="8">
        <f t="shared" si="202"/>
        <v>0.17060518731988472</v>
      </c>
      <c r="CO65" s="8">
        <f t="shared" si="202"/>
        <v>0.14263404476834982</v>
      </c>
      <c r="CP65" s="8">
        <f t="shared" si="202"/>
        <v>0.50557440620455651</v>
      </c>
      <c r="CQ65" s="8">
        <f t="shared" si="202"/>
        <v>-0.50806451612903225</v>
      </c>
      <c r="CR65" s="8">
        <f t="shared" si="202"/>
        <v>0.1869633099141296</v>
      </c>
      <c r="CS65" s="8">
        <f t="shared" ref="CS65:CV65" si="203">CS56/CS55</f>
        <v>0.18167860798362334</v>
      </c>
      <c r="CT65" s="8">
        <f t="shared" si="203"/>
        <v>0.12582200789127576</v>
      </c>
      <c r="CU65" s="8">
        <f t="shared" si="203"/>
        <v>0.12113306000745434</v>
      </c>
      <c r="CV65" s="8">
        <f t="shared" si="203"/>
        <v>0.13830656139395589</v>
      </c>
      <c r="CW65" s="8">
        <f>CW56/CW55</f>
        <v>0.14289805269186712</v>
      </c>
      <c r="CX65" s="66">
        <v>0.14000000000000001</v>
      </c>
      <c r="CY65" s="66">
        <v>0.14000000000000001</v>
      </c>
      <c r="CZ65" s="66">
        <v>0.14000000000000001</v>
      </c>
      <c r="DA65" s="66">
        <v>0.14000000000000001</v>
      </c>
      <c r="DB65" s="66">
        <v>0.14000000000000001</v>
      </c>
      <c r="DC65" s="66">
        <v>0.14000000000000001</v>
      </c>
      <c r="DD65" s="66">
        <v>0.14000000000000001</v>
      </c>
      <c r="DE65" s="66">
        <v>0.14000000000000001</v>
      </c>
      <c r="DF65" s="66">
        <v>0.14000000000000001</v>
      </c>
      <c r="DG65" s="66">
        <v>0.14000000000000001</v>
      </c>
    </row>
    <row r="66" spans="2:111">
      <c r="B66" s="26" t="s">
        <v>16</v>
      </c>
      <c r="C66" s="8">
        <f t="shared" ref="C66:BN66" si="204">C57/C46</f>
        <v>0.17855891626766313</v>
      </c>
      <c r="D66" s="8">
        <f t="shared" si="204"/>
        <v>0.16551724137931031</v>
      </c>
      <c r="E66" s="8">
        <f t="shared" si="204"/>
        <v>0.17529507275338785</v>
      </c>
      <c r="F66" s="8">
        <f t="shared" si="204"/>
        <v>0.17854739032001465</v>
      </c>
      <c r="G66" s="8">
        <f t="shared" si="204"/>
        <v>0.13826891671203043</v>
      </c>
      <c r="H66" s="8">
        <f t="shared" si="204"/>
        <v>0.16678479908401941</v>
      </c>
      <c r="I66" s="8">
        <f t="shared" si="204"/>
        <v>0.17853371130009441</v>
      </c>
      <c r="J66" s="8">
        <f t="shared" si="204"/>
        <v>0.18109430098964854</v>
      </c>
      <c r="K66" s="8">
        <f t="shared" si="204"/>
        <v>0.19061085972850678</v>
      </c>
      <c r="L66" s="8">
        <f t="shared" si="204"/>
        <v>0.14809244497919494</v>
      </c>
      <c r="M66" s="8">
        <f t="shared" si="204"/>
        <v>0.15235732009925559</v>
      </c>
      <c r="N66" s="8">
        <f t="shared" si="204"/>
        <v>0.15151515151515152</v>
      </c>
      <c r="O66" s="8">
        <f t="shared" si="204"/>
        <v>0.16100443131462333</v>
      </c>
      <c r="P66" s="8">
        <f t="shared" si="204"/>
        <v>0.18103837471783296</v>
      </c>
      <c r="Q66" s="8">
        <f t="shared" si="204"/>
        <v>0.16196205460434984</v>
      </c>
      <c r="R66" s="8">
        <f t="shared" si="204"/>
        <v>0.15432098765432098</v>
      </c>
      <c r="S66" s="8">
        <f t="shared" si="204"/>
        <v>0.17202729044834308</v>
      </c>
      <c r="T66" s="8">
        <f t="shared" si="204"/>
        <v>0.11548331907613345</v>
      </c>
      <c r="U66" s="8">
        <f t="shared" si="204"/>
        <v>0.13881278538812786</v>
      </c>
      <c r="V66" s="8">
        <f t="shared" si="204"/>
        <v>9.6292947558770339E-2</v>
      </c>
      <c r="W66" s="8">
        <f t="shared" si="204"/>
        <v>4.7884704788470477E-2</v>
      </c>
      <c r="X66" s="8">
        <f t="shared" si="204"/>
        <v>0.15640194489465153</v>
      </c>
      <c r="Y66" s="8">
        <f t="shared" si="204"/>
        <v>3.0368763557483729E-2</v>
      </c>
      <c r="Z66" s="8">
        <f t="shared" si="204"/>
        <v>5.4168429961912824E-2</v>
      </c>
      <c r="AA66" s="8">
        <f t="shared" si="204"/>
        <v>2.3859355378819589E-2</v>
      </c>
      <c r="AB66" s="8">
        <f t="shared" si="204"/>
        <v>9.9312452253628725E-2</v>
      </c>
      <c r="AC66" s="8">
        <f t="shared" si="204"/>
        <v>9.4157208911307272E-2</v>
      </c>
      <c r="AD66" s="8">
        <f t="shared" si="204"/>
        <v>0.16118421052631579</v>
      </c>
      <c r="AE66" s="8">
        <f t="shared" si="204"/>
        <v>0.1243801652892562</v>
      </c>
      <c r="AF66" s="8">
        <f t="shared" si="204"/>
        <v>0.19226519337016573</v>
      </c>
      <c r="AG66" s="8">
        <f t="shared" si="204"/>
        <v>0.16112224448897797</v>
      </c>
      <c r="AH66" s="8">
        <f t="shared" si="204"/>
        <v>0.13380281690140844</v>
      </c>
      <c r="AI66" s="8">
        <f t="shared" si="204"/>
        <v>0.12530885986586657</v>
      </c>
      <c r="AJ66" s="8">
        <f t="shared" si="204"/>
        <v>0.16154577130186887</v>
      </c>
      <c r="AK66" s="8">
        <f t="shared" si="204"/>
        <v>0.150253807106599</v>
      </c>
      <c r="AL66" s="8">
        <f t="shared" si="204"/>
        <v>0.1298140770252324</v>
      </c>
      <c r="AM66" s="8">
        <f t="shared" si="204"/>
        <v>0.14437791084497673</v>
      </c>
      <c r="AN66" s="8">
        <f t="shared" si="204"/>
        <v>-7.1737251512532407E-2</v>
      </c>
      <c r="AO66" s="8">
        <f t="shared" si="204"/>
        <v>0.13668620796050601</v>
      </c>
      <c r="AP66" s="8">
        <f t="shared" si="204"/>
        <v>0.13606261288380495</v>
      </c>
      <c r="AQ66" s="8">
        <f t="shared" si="204"/>
        <v>0.18198642813078347</v>
      </c>
      <c r="AR66" s="8">
        <f t="shared" si="204"/>
        <v>0.54478398314014753</v>
      </c>
      <c r="AS66" s="8">
        <f t="shared" si="204"/>
        <v>0.11717861205915814</v>
      </c>
      <c r="AT66" s="8">
        <f t="shared" si="204"/>
        <v>0.13150684931506848</v>
      </c>
      <c r="AU66" s="8">
        <f t="shared" si="204"/>
        <v>0.12991357680512963</v>
      </c>
      <c r="AV66" s="8">
        <f t="shared" si="204"/>
        <v>0.17550229968530623</v>
      </c>
      <c r="AW66" s="8">
        <f t="shared" si="204"/>
        <v>0.13740245261984393</v>
      </c>
      <c r="AX66" s="8">
        <f t="shared" si="204"/>
        <v>-3.0028943560057888E-2</v>
      </c>
      <c r="AY66" s="8">
        <f t="shared" si="204"/>
        <v>0.16617607706716617</v>
      </c>
      <c r="AZ66" s="8">
        <f t="shared" si="204"/>
        <v>0.13327076489910841</v>
      </c>
      <c r="BA66" s="8">
        <f t="shared" si="204"/>
        <v>7.6397672653680748E-2</v>
      </c>
      <c r="BB66" s="8">
        <f t="shared" si="204"/>
        <v>0.13786679087098277</v>
      </c>
      <c r="BC66" s="8">
        <f t="shared" si="204"/>
        <v>0.10528846153846154</v>
      </c>
      <c r="BD66" s="8">
        <f t="shared" si="204"/>
        <v>0.1408211018932142</v>
      </c>
      <c r="BE66" s="8">
        <f t="shared" si="204"/>
        <v>7.5555555555555556E-2</v>
      </c>
      <c r="BF66" s="8">
        <f t="shared" si="204"/>
        <v>0.1460048965056755</v>
      </c>
      <c r="BG66" s="8">
        <f t="shared" si="204"/>
        <v>0.18218352310783656</v>
      </c>
      <c r="BH66" s="8">
        <f t="shared" si="204"/>
        <v>0.10822760476739715</v>
      </c>
      <c r="BI66" s="8">
        <f t="shared" si="204"/>
        <v>0.12390121389702805</v>
      </c>
      <c r="BJ66" s="8">
        <f t="shared" si="204"/>
        <v>0.14771817453963171</v>
      </c>
      <c r="BK66" s="8">
        <f t="shared" si="204"/>
        <v>0.14096557343654512</v>
      </c>
      <c r="BL66" s="8">
        <f t="shared" si="204"/>
        <v>0.19656061908856406</v>
      </c>
      <c r="BM66" s="8">
        <f t="shared" si="204"/>
        <v>0.15029563227160023</v>
      </c>
      <c r="BN66" s="8">
        <f t="shared" si="204"/>
        <v>0.15215787532275912</v>
      </c>
      <c r="BO66" s="8">
        <f t="shared" ref="BO66:BP66" si="205">BO57/BO46</f>
        <v>0.15180196578085184</v>
      </c>
      <c r="BP66" s="8">
        <f t="shared" si="205"/>
        <v>8.4835301429459289E-2</v>
      </c>
      <c r="BQ66" s="8">
        <f>BQ57/BQ46</f>
        <v>0.11148994203886806</v>
      </c>
      <c r="CH66" s="8">
        <f t="shared" ref="CH66:CR66" si="206">CH57/CH46</f>
        <v>0.16465863453815258</v>
      </c>
      <c r="CI66" s="8">
        <f t="shared" si="206"/>
        <v>0.17377049180327869</v>
      </c>
      <c r="CJ66" s="8">
        <f t="shared" si="206"/>
        <v>0.16191164078488021</v>
      </c>
      <c r="CK66" s="8">
        <f t="shared" si="206"/>
        <v>0.14993646759847523</v>
      </c>
      <c r="CL66" s="8">
        <f t="shared" si="206"/>
        <v>0.11151757011417802</v>
      </c>
      <c r="CM66" s="8">
        <f t="shared" si="206"/>
        <v>5.3229974160206715E-2</v>
      </c>
      <c r="CN66" s="8">
        <f t="shared" si="206"/>
        <v>0.14468127890609289</v>
      </c>
      <c r="CO66" s="8">
        <f t="shared" si="206"/>
        <v>0.14543046357615894</v>
      </c>
      <c r="CP66" s="8">
        <f t="shared" si="206"/>
        <v>8.1967213114754092E-2</v>
      </c>
      <c r="CQ66" s="8">
        <f t="shared" si="206"/>
        <v>0.2612307918535402</v>
      </c>
      <c r="CR66" s="8">
        <f t="shared" si="206"/>
        <v>0.13994893845740392</v>
      </c>
      <c r="CS66" s="8">
        <f t="shared" ref="CS66:CV66" si="207">CS57/CS46</f>
        <v>0.11142080691241028</v>
      </c>
      <c r="CT66" s="8">
        <f t="shared" si="207"/>
        <v>0.1165536591068506</v>
      </c>
      <c r="CU66" s="8">
        <f t="shared" si="207"/>
        <v>0.12781180551791424</v>
      </c>
      <c r="CV66" s="8">
        <f t="shared" si="207"/>
        <v>0.15440530783491072</v>
      </c>
      <c r="CW66" s="8">
        <f>CW57/CW46</f>
        <v>0.13246293427749503</v>
      </c>
      <c r="CX66" s="66">
        <f>CX57/CX46</f>
        <v>0.17953554435048985</v>
      </c>
      <c r="CY66" s="66">
        <f t="shared" ref="CY66:DG66" si="208">CY57/CY46</f>
        <v>0.18595510226989487</v>
      </c>
      <c r="CZ66" s="66">
        <f t="shared" si="208"/>
        <v>0.19118718679974389</v>
      </c>
      <c r="DA66" s="66">
        <f t="shared" si="208"/>
        <v>0.19620435574133668</v>
      </c>
      <c r="DB66" s="66">
        <f t="shared" si="208"/>
        <v>0.20115206559323523</v>
      </c>
      <c r="DC66" s="66">
        <f t="shared" si="208"/>
        <v>0.20515844340540207</v>
      </c>
      <c r="DD66" s="66">
        <f t="shared" si="208"/>
        <v>0.20911359476926164</v>
      </c>
      <c r="DE66" s="66">
        <f t="shared" si="208"/>
        <v>0.21299139781339982</v>
      </c>
      <c r="DF66" s="66">
        <f t="shared" si="208"/>
        <v>0.21425966948778022</v>
      </c>
      <c r="DG66" s="66">
        <f t="shared" si="208"/>
        <v>0.2155302071333195</v>
      </c>
    </row>
    <row r="67" spans="2:111">
      <c r="B67" s="26" t="s">
        <v>1610</v>
      </c>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f t="shared" ref="AX67:BP67" si="209">AX59/AW59-1</f>
        <v>-1.1680431500392985</v>
      </c>
      <c r="AY67" s="8">
        <f t="shared" si="209"/>
        <v>-8.477944784194003</v>
      </c>
      <c r="AZ67" s="8">
        <f t="shared" si="209"/>
        <v>-8.5832863178827101E-2</v>
      </c>
      <c r="BA67" s="8">
        <f t="shared" si="209"/>
        <v>-0.46887503602534686</v>
      </c>
      <c r="BB67" s="8">
        <f t="shared" si="209"/>
        <v>0.95714428792572392</v>
      </c>
      <c r="BC67" s="8">
        <f t="shared" si="209"/>
        <v>-0.26052753230557535</v>
      </c>
      <c r="BD67" s="8">
        <f t="shared" si="209"/>
        <v>0.51141552511415522</v>
      </c>
      <c r="BE67" s="8">
        <f t="shared" si="209"/>
        <v>-0.51285967619244155</v>
      </c>
      <c r="BF67" s="8">
        <f t="shared" si="209"/>
        <v>1.0277385631826919</v>
      </c>
      <c r="BG67" s="8">
        <f t="shared" si="209"/>
        <v>0.243573712164183</v>
      </c>
      <c r="BH67" s="8">
        <f t="shared" si="209"/>
        <v>-0.31114129028920279</v>
      </c>
      <c r="BI67" s="8">
        <f t="shared" si="209"/>
        <v>5.1509769094138624E-2</v>
      </c>
      <c r="BJ67" s="8">
        <f t="shared" si="209"/>
        <v>0.2449791688922125</v>
      </c>
      <c r="BK67" s="8">
        <f t="shared" si="209"/>
        <v>-6.3071278422105026E-2</v>
      </c>
      <c r="BL67" s="8">
        <f t="shared" si="209"/>
        <v>0.64999635117507393</v>
      </c>
      <c r="BM67" s="8">
        <f t="shared" si="209"/>
        <v>-0.31094864456348847</v>
      </c>
      <c r="BN67" s="8">
        <f t="shared" si="209"/>
        <v>4.5305567768495925E-2</v>
      </c>
      <c r="BO67" s="8">
        <f t="shared" si="209"/>
        <v>8.262732032365383E-3</v>
      </c>
      <c r="BP67" s="8">
        <f t="shared" si="209"/>
        <v>-0.34532374100719421</v>
      </c>
      <c r="BQ67" s="8">
        <f>BQ59/BP59-1</f>
        <v>0.19874361949289909</v>
      </c>
      <c r="CH67" s="8"/>
      <c r="CI67" s="8"/>
      <c r="CJ67" s="8"/>
      <c r="CK67" s="8"/>
      <c r="CL67" s="8"/>
      <c r="CM67" s="8"/>
      <c r="CN67" s="8"/>
      <c r="CO67" s="8"/>
      <c r="CP67" s="8"/>
      <c r="CQ67" s="8"/>
      <c r="CR67" s="8"/>
      <c r="CS67" s="8"/>
      <c r="CT67" s="8">
        <f t="shared" ref="CT67:CW67" si="210">CT59/CS59-1</f>
        <v>0.24234487980299346</v>
      </c>
      <c r="CU67" s="8">
        <f t="shared" si="210"/>
        <v>0.17786055481255358</v>
      </c>
      <c r="CV67" s="8">
        <f t="shared" si="210"/>
        <v>0.33762553690086761</v>
      </c>
      <c r="CW67" s="8">
        <f t="shared" si="210"/>
        <v>-5.8256783627827047E-2</v>
      </c>
      <c r="CX67" s="66"/>
      <c r="CY67" s="66"/>
      <c r="CZ67" s="66"/>
      <c r="DA67" s="66"/>
      <c r="DB67" s="66"/>
      <c r="DC67" s="66"/>
      <c r="DD67" s="66"/>
      <c r="DE67" s="66"/>
      <c r="DF67" s="66"/>
      <c r="DG67" s="66"/>
    </row>
    <row r="69" spans="2:111">
      <c r="B69" s="2" t="s">
        <v>1211</v>
      </c>
      <c r="C69" s="36"/>
      <c r="D69" s="36"/>
      <c r="E69" s="36"/>
      <c r="F69" s="36"/>
      <c r="G69" s="36"/>
      <c r="H69" s="36"/>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c r="AU69" s="36"/>
      <c r="AV69" s="36">
        <v>4337</v>
      </c>
      <c r="AW69" s="2">
        <v>3964</v>
      </c>
      <c r="AX69" s="2">
        <v>6539</v>
      </c>
      <c r="AY69" s="2">
        <v>7083</v>
      </c>
      <c r="AZ69" s="2">
        <v>2943</v>
      </c>
      <c r="BA69" s="2">
        <v>2238</v>
      </c>
      <c r="BB69" s="2">
        <v>2241</v>
      </c>
      <c r="BC69" s="2">
        <v>2563</v>
      </c>
      <c r="BD69" s="2">
        <v>2944</v>
      </c>
      <c r="BE69" s="2">
        <v>1458</v>
      </c>
      <c r="BF69" s="2">
        <v>1044</v>
      </c>
      <c r="BG69" s="2">
        <v>1420</v>
      </c>
      <c r="BH69" s="2">
        <v>1844</v>
      </c>
      <c r="BI69" s="2">
        <v>1671</v>
      </c>
      <c r="BJ69" s="2">
        <v>1401</v>
      </c>
      <c r="BK69" s="2">
        <v>1860</v>
      </c>
      <c r="BL69" s="2">
        <v>2971</v>
      </c>
      <c r="BM69" s="2">
        <v>2330</v>
      </c>
      <c r="BN69" s="2">
        <v>1874</v>
      </c>
      <c r="BO69" s="2">
        <v>3850</v>
      </c>
      <c r="BP69" s="2">
        <v>3652</v>
      </c>
      <c r="BQ69" s="2">
        <v>2320</v>
      </c>
      <c r="CR69" s="37">
        <f>AV69</f>
        <v>4337</v>
      </c>
      <c r="CS69" s="2">
        <f>AZ69</f>
        <v>2943</v>
      </c>
      <c r="CT69" s="2">
        <f>BD69</f>
        <v>2944</v>
      </c>
      <c r="CU69" s="2">
        <f>BH69</f>
        <v>1844</v>
      </c>
      <c r="CV69" s="2">
        <f>BL69</f>
        <v>2971</v>
      </c>
      <c r="CW69" s="2">
        <f t="shared" ref="CW69:CW79" si="211">BP69</f>
        <v>3652</v>
      </c>
      <c r="CX69" s="67">
        <f>CW69+CX57</f>
        <v>8188.2079009999989</v>
      </c>
      <c r="CY69" s="67">
        <f t="shared" ref="CY69:DG69" si="212">CX69+CY57</f>
        <v>13300.433236284236</v>
      </c>
      <c r="CZ69" s="67">
        <f t="shared" si="212"/>
        <v>18966.271674107458</v>
      </c>
      <c r="DA69" s="67">
        <f t="shared" si="212"/>
        <v>25192.239834808079</v>
      </c>
      <c r="DB69" s="67">
        <f t="shared" si="212"/>
        <v>32017.734773610686</v>
      </c>
      <c r="DC69" s="67">
        <f t="shared" si="212"/>
        <v>39444.192108409901</v>
      </c>
      <c r="DD69" s="67">
        <f t="shared" si="212"/>
        <v>47508.580319558452</v>
      </c>
      <c r="DE69" s="67">
        <f t="shared" si="212"/>
        <v>56230.134772968297</v>
      </c>
      <c r="DF69" s="67">
        <f t="shared" si="212"/>
        <v>65534.882605018254</v>
      </c>
      <c r="DG69" s="67">
        <f t="shared" si="212"/>
        <v>75468.233629171329</v>
      </c>
    </row>
    <row r="70" spans="2:111">
      <c r="B70" s="2" t="s">
        <v>1212</v>
      </c>
      <c r="C70" s="36"/>
      <c r="D70" s="36"/>
      <c r="E70" s="36"/>
      <c r="F70" s="36"/>
      <c r="G70" s="36"/>
      <c r="H70" s="36"/>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c r="AU70" s="36"/>
      <c r="AV70" s="36">
        <v>0</v>
      </c>
      <c r="AW70" s="2">
        <v>0</v>
      </c>
      <c r="AX70" s="2">
        <v>0</v>
      </c>
      <c r="AY70" s="2">
        <v>0</v>
      </c>
      <c r="AZ70" s="2">
        <v>0</v>
      </c>
      <c r="BA70" s="2">
        <v>0</v>
      </c>
      <c r="BB70" s="2">
        <v>0</v>
      </c>
      <c r="BC70" s="2">
        <v>0</v>
      </c>
      <c r="BD70" s="2">
        <v>0</v>
      </c>
      <c r="BE70" s="2">
        <v>0</v>
      </c>
      <c r="BF70" s="2">
        <v>0</v>
      </c>
      <c r="BG70" s="2">
        <v>0</v>
      </c>
      <c r="BH70" s="2">
        <v>0</v>
      </c>
      <c r="BI70" s="2">
        <v>0</v>
      </c>
      <c r="BJ70" s="2">
        <v>0</v>
      </c>
      <c r="BK70" s="2">
        <v>0</v>
      </c>
      <c r="BL70" s="2">
        <v>0</v>
      </c>
      <c r="BM70" s="2">
        <v>0</v>
      </c>
      <c r="BN70" s="2">
        <v>0</v>
      </c>
      <c r="BO70" s="2">
        <v>750</v>
      </c>
      <c r="BP70" s="2">
        <v>750</v>
      </c>
      <c r="BQ70" s="2">
        <v>0</v>
      </c>
      <c r="CR70" s="37">
        <f t="shared" ref="CR70:CR79" si="213">AV70</f>
        <v>0</v>
      </c>
      <c r="CS70" s="2">
        <f t="shared" ref="CS70:CS79" si="214">AZ70</f>
        <v>0</v>
      </c>
      <c r="CT70" s="2">
        <f t="shared" ref="CT70:CT79" si="215">BD70</f>
        <v>0</v>
      </c>
      <c r="CU70" s="2">
        <f t="shared" ref="CU70:CU79" si="216">BH70</f>
        <v>0</v>
      </c>
      <c r="CV70" s="2">
        <f t="shared" ref="CV70:CV79" si="217">BL70</f>
        <v>0</v>
      </c>
      <c r="CW70" s="2">
        <f t="shared" si="211"/>
        <v>750</v>
      </c>
    </row>
    <row r="71" spans="2:111">
      <c r="B71" s="2" t="s">
        <v>1213</v>
      </c>
      <c r="AV71" s="2">
        <v>88</v>
      </c>
      <c r="AW71" s="2">
        <v>84</v>
      </c>
      <c r="AX71" s="2">
        <v>80</v>
      </c>
      <c r="AY71" s="2">
        <v>78</v>
      </c>
      <c r="AZ71" s="2">
        <v>81</v>
      </c>
      <c r="BA71" s="2">
        <v>74</v>
      </c>
      <c r="BB71" s="2">
        <v>84</v>
      </c>
      <c r="BC71" s="2">
        <v>76</v>
      </c>
      <c r="BD71" s="2">
        <v>75</v>
      </c>
      <c r="BE71" s="2">
        <v>72</v>
      </c>
      <c r="BF71" s="2">
        <v>83</v>
      </c>
      <c r="BG71" s="2">
        <v>77</v>
      </c>
      <c r="BH71" s="2">
        <v>84</v>
      </c>
      <c r="BI71" s="2">
        <v>86</v>
      </c>
      <c r="BJ71" s="2">
        <v>77</v>
      </c>
      <c r="BK71" s="2">
        <v>76</v>
      </c>
      <c r="BL71" s="2">
        <v>82</v>
      </c>
      <c r="BM71" s="2">
        <v>77</v>
      </c>
      <c r="BN71" s="2">
        <v>83</v>
      </c>
      <c r="BO71" s="2">
        <v>84</v>
      </c>
      <c r="BP71" s="2">
        <v>91</v>
      </c>
      <c r="BQ71" s="2">
        <v>89</v>
      </c>
      <c r="CR71" s="37">
        <f t="shared" si="213"/>
        <v>88</v>
      </c>
      <c r="CS71" s="2">
        <f t="shared" si="214"/>
        <v>81</v>
      </c>
      <c r="CT71" s="2">
        <f t="shared" si="215"/>
        <v>75</v>
      </c>
      <c r="CU71" s="2">
        <f t="shared" si="216"/>
        <v>84</v>
      </c>
      <c r="CV71" s="2">
        <f t="shared" si="217"/>
        <v>82</v>
      </c>
      <c r="CW71" s="2">
        <f t="shared" si="211"/>
        <v>91</v>
      </c>
    </row>
    <row r="72" spans="2:111" ht="15" customHeight="1">
      <c r="B72" s="2" t="s">
        <v>1235</v>
      </c>
      <c r="AV72" s="2">
        <v>2893</v>
      </c>
      <c r="AW72" s="2">
        <v>2646</v>
      </c>
      <c r="AX72" s="2">
        <v>2203</v>
      </c>
      <c r="AY72" s="2">
        <v>2426</v>
      </c>
      <c r="AZ72" s="2">
        <v>2701</v>
      </c>
      <c r="BA72" s="2">
        <v>2616</v>
      </c>
      <c r="BB72" s="2">
        <v>2714</v>
      </c>
      <c r="BC72" s="2">
        <v>2817</v>
      </c>
      <c r="BD72" s="2">
        <v>3022</v>
      </c>
      <c r="BE72" s="2">
        <v>2991</v>
      </c>
      <c r="BF72" s="2">
        <v>3145</v>
      </c>
      <c r="BG72" s="2">
        <v>3103</v>
      </c>
      <c r="BH72" s="2">
        <v>3565</v>
      </c>
      <c r="BI72" s="2">
        <v>3215</v>
      </c>
      <c r="BJ72" s="2">
        <v>3261</v>
      </c>
      <c r="BK72" s="2">
        <v>3276</v>
      </c>
      <c r="BL72" s="2">
        <v>3765</v>
      </c>
      <c r="BM72" s="2">
        <v>3473</v>
      </c>
      <c r="BN72" s="2">
        <v>3622</v>
      </c>
      <c r="BO72" s="2">
        <v>3736</v>
      </c>
      <c r="BP72" s="2">
        <v>3987</v>
      </c>
      <c r="BQ72" s="2">
        <v>3961</v>
      </c>
      <c r="CR72" s="37">
        <f t="shared" si="213"/>
        <v>2893</v>
      </c>
      <c r="CS72" s="2">
        <f t="shared" si="214"/>
        <v>2701</v>
      </c>
      <c r="CT72" s="2">
        <f t="shared" si="215"/>
        <v>3022</v>
      </c>
      <c r="CU72" s="2">
        <f t="shared" si="216"/>
        <v>3565</v>
      </c>
      <c r="CV72" s="2">
        <f t="shared" si="217"/>
        <v>3765</v>
      </c>
      <c r="CW72" s="2">
        <f t="shared" si="211"/>
        <v>3987</v>
      </c>
      <c r="CY72" s="71" t="s">
        <v>1568</v>
      </c>
      <c r="CZ72" s="72">
        <v>0.08</v>
      </c>
      <c r="DE72" s="25" t="s">
        <v>1567</v>
      </c>
    </row>
    <row r="73" spans="2:111" ht="15" customHeight="1">
      <c r="B73" s="2" t="s">
        <v>1214</v>
      </c>
      <c r="AV73" s="2">
        <v>3282</v>
      </c>
      <c r="AW73" s="2">
        <v>3359</v>
      </c>
      <c r="AX73" s="2">
        <v>3442</v>
      </c>
      <c r="AY73" s="2">
        <v>3459</v>
      </c>
      <c r="AZ73" s="2">
        <v>3494</v>
      </c>
      <c r="BA73" s="2">
        <v>3473</v>
      </c>
      <c r="BB73" s="2">
        <v>3431</v>
      </c>
      <c r="BC73" s="2">
        <v>3434</v>
      </c>
      <c r="BD73" s="2">
        <v>3314</v>
      </c>
      <c r="BE73" s="2">
        <v>3525</v>
      </c>
      <c r="BF73" s="2">
        <v>3749</v>
      </c>
      <c r="BG73" s="2">
        <v>3883</v>
      </c>
      <c r="BH73" s="2">
        <v>3995</v>
      </c>
      <c r="BI73" s="2">
        <v>4333</v>
      </c>
      <c r="BJ73" s="2">
        <v>4593</v>
      </c>
      <c r="BK73" s="2">
        <v>4883</v>
      </c>
      <c r="BL73" s="2">
        <v>4843</v>
      </c>
      <c r="BM73" s="2">
        <v>5026</v>
      </c>
      <c r="BN73" s="2">
        <v>5044</v>
      </c>
      <c r="BO73" s="2">
        <v>5292</v>
      </c>
      <c r="BP73" s="2">
        <v>4774</v>
      </c>
      <c r="BQ73" s="2">
        <v>5105</v>
      </c>
      <c r="CR73" s="37">
        <f t="shared" si="213"/>
        <v>3282</v>
      </c>
      <c r="CS73" s="2">
        <f t="shared" si="214"/>
        <v>3494</v>
      </c>
      <c r="CT73" s="2">
        <f t="shared" si="215"/>
        <v>3314</v>
      </c>
      <c r="CU73" s="2">
        <f t="shared" si="216"/>
        <v>3995</v>
      </c>
      <c r="CV73" s="2">
        <f t="shared" si="217"/>
        <v>4843</v>
      </c>
      <c r="CW73" s="2">
        <f t="shared" si="211"/>
        <v>4774</v>
      </c>
      <c r="CY73" s="71" t="s">
        <v>1569</v>
      </c>
      <c r="CZ73" s="72">
        <v>3.5000000000000003E-2</v>
      </c>
      <c r="DE73" s="25" t="s">
        <v>1619</v>
      </c>
    </row>
    <row r="74" spans="2:111" ht="15" customHeight="1">
      <c r="B74" s="2" t="s">
        <v>1215</v>
      </c>
      <c r="AV74" s="2">
        <v>760</v>
      </c>
      <c r="AW74" s="2">
        <v>683</v>
      </c>
      <c r="AX74" s="2">
        <v>537</v>
      </c>
      <c r="AY74" s="2">
        <v>499</v>
      </c>
      <c r="AZ74" s="2">
        <v>488</v>
      </c>
      <c r="BA74" s="2">
        <v>578</v>
      </c>
      <c r="BB74" s="2">
        <v>562</v>
      </c>
      <c r="BC74" s="2">
        <v>570</v>
      </c>
      <c r="BD74" s="2">
        <v>662</v>
      </c>
      <c r="BE74" s="2">
        <v>679</v>
      </c>
      <c r="BF74" s="2">
        <v>804</v>
      </c>
      <c r="BG74" s="2">
        <v>835</v>
      </c>
      <c r="BH74" s="2">
        <v>787</v>
      </c>
      <c r="BI74" s="2">
        <v>850</v>
      </c>
      <c r="BJ74" s="2">
        <v>819</v>
      </c>
      <c r="BK74" s="2">
        <v>950</v>
      </c>
      <c r="BL74" s="2">
        <v>857</v>
      </c>
      <c r="BM74" s="2">
        <v>986</v>
      </c>
      <c r="BN74" s="2">
        <v>1022</v>
      </c>
      <c r="BO74" s="2">
        <v>961</v>
      </c>
      <c r="BP74" s="2">
        <v>1593</v>
      </c>
      <c r="BQ74" s="2">
        <v>1547</v>
      </c>
      <c r="CR74" s="37">
        <f t="shared" si="213"/>
        <v>760</v>
      </c>
      <c r="CS74" s="2">
        <f t="shared" si="214"/>
        <v>488</v>
      </c>
      <c r="CT74" s="2">
        <f t="shared" si="215"/>
        <v>662</v>
      </c>
      <c r="CU74" s="2">
        <f t="shared" si="216"/>
        <v>787</v>
      </c>
      <c r="CV74" s="2">
        <f t="shared" si="217"/>
        <v>857</v>
      </c>
      <c r="CW74" s="2">
        <f t="shared" si="211"/>
        <v>1593</v>
      </c>
      <c r="CY74" s="71" t="s">
        <v>1570</v>
      </c>
      <c r="CZ74" s="72">
        <v>4.3799999999999999E-2</v>
      </c>
    </row>
    <row r="75" spans="2:111" ht="15" customHeight="1">
      <c r="B75" s="2" t="s">
        <v>1216</v>
      </c>
      <c r="AV75" s="2">
        <v>2567</v>
      </c>
      <c r="AW75" s="2">
        <v>2607</v>
      </c>
      <c r="AX75" s="2">
        <v>2527</v>
      </c>
      <c r="AY75" s="2">
        <v>2529</v>
      </c>
      <c r="AZ75" s="2">
        <v>2752</v>
      </c>
      <c r="BA75" s="2">
        <v>2710</v>
      </c>
      <c r="BB75" s="2">
        <v>2738</v>
      </c>
      <c r="BC75" s="2">
        <v>2746</v>
      </c>
      <c r="BD75" s="2">
        <v>2833</v>
      </c>
      <c r="BE75" s="2">
        <v>2793</v>
      </c>
      <c r="BF75" s="2">
        <v>2803</v>
      </c>
      <c r="BG75" s="2">
        <v>2798</v>
      </c>
      <c r="BH75" s="2">
        <v>2970</v>
      </c>
      <c r="BI75" s="2">
        <v>3037</v>
      </c>
      <c r="BJ75" s="2">
        <v>3082</v>
      </c>
      <c r="BK75" s="2">
        <v>3106</v>
      </c>
      <c r="BL75" s="2">
        <v>3215</v>
      </c>
      <c r="BM75" s="2">
        <v>3260</v>
      </c>
      <c r="BN75" s="2">
        <v>3318</v>
      </c>
      <c r="BO75" s="2">
        <v>3429</v>
      </c>
      <c r="BP75" s="2">
        <v>3448</v>
      </c>
      <c r="BQ75" s="2">
        <v>3536</v>
      </c>
      <c r="CR75" s="37">
        <f t="shared" si="213"/>
        <v>2567</v>
      </c>
      <c r="CS75" s="2">
        <f t="shared" si="214"/>
        <v>2752</v>
      </c>
      <c r="CT75" s="2">
        <f t="shared" si="215"/>
        <v>2833</v>
      </c>
      <c r="CU75" s="2">
        <f t="shared" si="216"/>
        <v>2970</v>
      </c>
      <c r="CV75" s="2">
        <f t="shared" si="217"/>
        <v>3215</v>
      </c>
      <c r="CW75" s="2">
        <f t="shared" si="211"/>
        <v>3448</v>
      </c>
      <c r="CY75" s="71" t="s">
        <v>1571</v>
      </c>
      <c r="CZ75" s="72">
        <f>7.5%-CZ74</f>
        <v>3.1199999999999999E-2</v>
      </c>
    </row>
    <row r="76" spans="2:111" ht="15" customHeight="1">
      <c r="B76" s="2" t="s">
        <v>1217</v>
      </c>
      <c r="AV76" s="2">
        <v>9069</v>
      </c>
      <c r="AW76" s="2">
        <v>9025</v>
      </c>
      <c r="AX76" s="2">
        <v>9074</v>
      </c>
      <c r="AY76" s="2">
        <v>9128</v>
      </c>
      <c r="AZ76" s="2">
        <v>12778</v>
      </c>
      <c r="BA76" s="2">
        <v>12803</v>
      </c>
      <c r="BB76" s="2">
        <v>12802</v>
      </c>
      <c r="BC76" s="2">
        <v>12893</v>
      </c>
      <c r="BD76" s="2">
        <v>12918</v>
      </c>
      <c r="BE76" s="2">
        <v>15228</v>
      </c>
      <c r="BF76" s="2">
        <v>15115</v>
      </c>
      <c r="BG76" s="2">
        <v>14993</v>
      </c>
      <c r="BH76" s="2">
        <v>14880</v>
      </c>
      <c r="BI76" s="2">
        <v>14849</v>
      </c>
      <c r="BJ76" s="2">
        <v>15172</v>
      </c>
      <c r="BK76" s="2">
        <v>15138</v>
      </c>
      <c r="BL76" s="2">
        <v>15243</v>
      </c>
      <c r="BM76" s="2">
        <v>15351</v>
      </c>
      <c r="BN76" s="2">
        <v>15408</v>
      </c>
      <c r="BO76" s="2">
        <v>16396</v>
      </c>
      <c r="BP76" s="2">
        <v>15855</v>
      </c>
      <c r="BQ76" s="2">
        <v>19089</v>
      </c>
      <c r="CR76" s="37">
        <f t="shared" si="213"/>
        <v>9069</v>
      </c>
      <c r="CS76" s="2">
        <f t="shared" si="214"/>
        <v>12778</v>
      </c>
      <c r="CT76" s="2">
        <f t="shared" si="215"/>
        <v>12918</v>
      </c>
      <c r="CU76" s="2">
        <f t="shared" si="216"/>
        <v>14880</v>
      </c>
      <c r="CV76" s="2">
        <f t="shared" si="217"/>
        <v>15243</v>
      </c>
      <c r="CW76" s="2">
        <f t="shared" si="211"/>
        <v>15855</v>
      </c>
      <c r="CY76" s="71" t="s">
        <v>1572</v>
      </c>
      <c r="CZ76" s="70">
        <v>0.94</v>
      </c>
    </row>
    <row r="77" spans="2:111" ht="15" customHeight="1">
      <c r="B77" s="2" t="s">
        <v>1218</v>
      </c>
      <c r="AV77" s="2">
        <v>4227</v>
      </c>
      <c r="AW77" s="2">
        <v>4107</v>
      </c>
      <c r="AX77" s="2">
        <v>4012</v>
      </c>
      <c r="AY77" s="2">
        <v>3917</v>
      </c>
      <c r="AZ77" s="2">
        <v>5554</v>
      </c>
      <c r="BA77" s="2">
        <v>5378</v>
      </c>
      <c r="BB77" s="2">
        <v>5261</v>
      </c>
      <c r="BC77" s="2">
        <v>5058</v>
      </c>
      <c r="BD77" s="2">
        <v>4840</v>
      </c>
      <c r="BE77" s="2">
        <v>5430</v>
      </c>
      <c r="BF77" s="2">
        <v>5245</v>
      </c>
      <c r="BG77" s="2">
        <v>5053</v>
      </c>
      <c r="BH77" s="2">
        <v>4885</v>
      </c>
      <c r="BI77" s="2">
        <v>4779</v>
      </c>
      <c r="BJ77" s="2">
        <v>4917</v>
      </c>
      <c r="BK77" s="2">
        <v>4731</v>
      </c>
      <c r="BL77" s="2">
        <v>4593</v>
      </c>
      <c r="BM77" s="2">
        <v>4509</v>
      </c>
      <c r="BN77" s="2">
        <v>4363</v>
      </c>
      <c r="BO77" s="2">
        <v>4940</v>
      </c>
      <c r="BP77" s="2">
        <v>4395</v>
      </c>
      <c r="BQ77" s="2">
        <v>6132</v>
      </c>
      <c r="CR77" s="37">
        <f t="shared" si="213"/>
        <v>4227</v>
      </c>
      <c r="CS77" s="2">
        <f t="shared" si="214"/>
        <v>5554</v>
      </c>
      <c r="CT77" s="2">
        <f t="shared" si="215"/>
        <v>4840</v>
      </c>
      <c r="CU77" s="2">
        <f t="shared" si="216"/>
        <v>4885</v>
      </c>
      <c r="CV77" s="2">
        <f t="shared" si="217"/>
        <v>4593</v>
      </c>
      <c r="CW77" s="2">
        <f t="shared" si="211"/>
        <v>4395</v>
      </c>
      <c r="CY77" s="71" t="s">
        <v>1573</v>
      </c>
      <c r="CZ77" s="72">
        <f>+CZ74+(CZ75*CZ76)</f>
        <v>7.3127999999999999E-2</v>
      </c>
    </row>
    <row r="78" spans="2:111" ht="15" customHeight="1">
      <c r="B78" s="2" t="s">
        <v>1219</v>
      </c>
      <c r="AV78" s="2">
        <v>1575</v>
      </c>
      <c r="AW78" s="2">
        <v>1537</v>
      </c>
      <c r="AX78" s="2">
        <v>1570</v>
      </c>
      <c r="AY78" s="2">
        <v>1627</v>
      </c>
      <c r="AZ78" s="2">
        <v>1530</v>
      </c>
      <c r="BA78" s="2">
        <v>1519</v>
      </c>
      <c r="BB78" s="2">
        <v>1751</v>
      </c>
      <c r="BC78" s="2">
        <v>1860</v>
      </c>
      <c r="BD78" s="2">
        <v>1760</v>
      </c>
      <c r="BE78" s="2">
        <v>1602</v>
      </c>
      <c r="BF78" s="2">
        <v>1625</v>
      </c>
      <c r="BG78" s="2">
        <v>1390</v>
      </c>
      <c r="BH78" s="2">
        <v>1410</v>
      </c>
      <c r="BI78" s="2">
        <v>1443</v>
      </c>
      <c r="BJ78" s="2">
        <v>1439</v>
      </c>
      <c r="BK78" s="2">
        <v>1406</v>
      </c>
      <c r="BL78" s="2">
        <v>1670</v>
      </c>
      <c r="BM78" s="2">
        <v>1641</v>
      </c>
      <c r="BN78" s="2">
        <v>1606</v>
      </c>
      <c r="BO78" s="2">
        <v>1562</v>
      </c>
      <c r="BP78" s="2">
        <v>1742</v>
      </c>
      <c r="BQ78" s="2">
        <v>1411</v>
      </c>
      <c r="CR78" s="37">
        <f t="shared" si="213"/>
        <v>1575</v>
      </c>
      <c r="CS78" s="2">
        <f t="shared" si="214"/>
        <v>1530</v>
      </c>
      <c r="CT78" s="2">
        <f t="shared" si="215"/>
        <v>1760</v>
      </c>
      <c r="CU78" s="2">
        <f t="shared" si="216"/>
        <v>1410</v>
      </c>
      <c r="CV78" s="2">
        <f t="shared" si="217"/>
        <v>1670</v>
      </c>
      <c r="CW78" s="2">
        <f t="shared" si="211"/>
        <v>1742</v>
      </c>
      <c r="CY78" s="71"/>
      <c r="CZ78" s="70"/>
    </row>
    <row r="79" spans="2:111" ht="15" customHeight="1">
      <c r="B79" s="2" t="s">
        <v>1220</v>
      </c>
      <c r="AV79" s="2">
        <v>1369</v>
      </c>
      <c r="AW79" s="2">
        <v>1428</v>
      </c>
      <c r="AX79" s="2">
        <v>1499</v>
      </c>
      <c r="AY79" s="2">
        <v>1540</v>
      </c>
      <c r="AZ79" s="2">
        <v>2009</v>
      </c>
      <c r="BA79" s="2">
        <v>2066</v>
      </c>
      <c r="BB79" s="2">
        <v>2114</v>
      </c>
      <c r="BC79" s="2">
        <v>2128</v>
      </c>
      <c r="BD79" s="2">
        <v>2263</v>
      </c>
      <c r="BE79" s="2">
        <v>2359</v>
      </c>
      <c r="BF79" s="2">
        <v>2419</v>
      </c>
      <c r="BG79" s="2">
        <v>2431</v>
      </c>
      <c r="BH79" s="2">
        <v>2464</v>
      </c>
      <c r="BI79" s="2">
        <v>2567</v>
      </c>
      <c r="BJ79" s="2">
        <v>2648</v>
      </c>
      <c r="BK79" s="2">
        <v>2616</v>
      </c>
      <c r="BL79" s="2">
        <v>2673</v>
      </c>
      <c r="BM79" s="2">
        <v>2749</v>
      </c>
      <c r="BN79" s="2">
        <v>2790</v>
      </c>
      <c r="BO79" s="2">
        <v>2833</v>
      </c>
      <c r="BP79" s="2">
        <v>2684</v>
      </c>
      <c r="BQ79" s="2">
        <v>2816</v>
      </c>
      <c r="CR79" s="37">
        <f t="shared" si="213"/>
        <v>1369</v>
      </c>
      <c r="CS79" s="2">
        <f t="shared" si="214"/>
        <v>2009</v>
      </c>
      <c r="CT79" s="2">
        <f t="shared" si="215"/>
        <v>2263</v>
      </c>
      <c r="CU79" s="2">
        <f t="shared" si="216"/>
        <v>2464</v>
      </c>
      <c r="CV79" s="2">
        <f t="shared" si="217"/>
        <v>2673</v>
      </c>
      <c r="CW79" s="2">
        <f t="shared" si="211"/>
        <v>2684</v>
      </c>
      <c r="CY79" s="71" t="s">
        <v>1574</v>
      </c>
      <c r="CZ79" s="74">
        <f>NPV(CZ77,CX57:EQ57)</f>
        <v>144251.00357966521</v>
      </c>
    </row>
    <row r="80" spans="2:111" ht="15" customHeight="1">
      <c r="B80" s="2" t="s">
        <v>1226</v>
      </c>
      <c r="AV80" s="2">
        <f t="shared" ref="AV80:BP80" si="218">SUM(AV69:AV79)</f>
        <v>30167</v>
      </c>
      <c r="AW80" s="2">
        <f t="shared" si="218"/>
        <v>29440</v>
      </c>
      <c r="AX80" s="2">
        <f t="shared" si="218"/>
        <v>31483</v>
      </c>
      <c r="AY80" s="2">
        <f t="shared" si="218"/>
        <v>32286</v>
      </c>
      <c r="AZ80" s="2">
        <f t="shared" si="218"/>
        <v>34330</v>
      </c>
      <c r="BA80" s="2">
        <f t="shared" si="218"/>
        <v>33455</v>
      </c>
      <c r="BB80" s="2">
        <f t="shared" si="218"/>
        <v>33698</v>
      </c>
      <c r="BC80" s="2">
        <f t="shared" si="218"/>
        <v>34145</v>
      </c>
      <c r="BD80" s="2">
        <f t="shared" si="218"/>
        <v>34631</v>
      </c>
      <c r="BE80" s="2">
        <f t="shared" si="218"/>
        <v>36137</v>
      </c>
      <c r="BF80" s="2">
        <f t="shared" si="218"/>
        <v>36032</v>
      </c>
      <c r="BG80" s="2">
        <f t="shared" si="218"/>
        <v>35983</v>
      </c>
      <c r="BH80" s="2">
        <f t="shared" si="218"/>
        <v>36884</v>
      </c>
      <c r="BI80" s="2">
        <f t="shared" si="218"/>
        <v>36830</v>
      </c>
      <c r="BJ80" s="2">
        <f t="shared" si="218"/>
        <v>37409</v>
      </c>
      <c r="BK80" s="2">
        <f t="shared" si="218"/>
        <v>38042</v>
      </c>
      <c r="BL80" s="2">
        <f t="shared" si="218"/>
        <v>39912</v>
      </c>
      <c r="BM80" s="2">
        <f t="shared" si="218"/>
        <v>39402</v>
      </c>
      <c r="BN80" s="2">
        <f>SUM(BN69:BN79)</f>
        <v>39130</v>
      </c>
      <c r="BO80" s="2">
        <f t="shared" si="218"/>
        <v>43833</v>
      </c>
      <c r="BP80" s="2">
        <f t="shared" si="218"/>
        <v>42971</v>
      </c>
      <c r="BQ80" s="2">
        <f>SUM(BQ69:BQ79)</f>
        <v>46006</v>
      </c>
      <c r="CR80" s="2">
        <f t="shared" ref="CR80" si="219">SUM(CR69:CR79)</f>
        <v>30167</v>
      </c>
      <c r="CS80" s="2">
        <f t="shared" ref="CS80" si="220">SUM(CS69:CS79)</f>
        <v>34330</v>
      </c>
      <c r="CT80" s="2">
        <f t="shared" ref="CT80" si="221">SUM(CT69:CT79)</f>
        <v>34631</v>
      </c>
      <c r="CU80" s="2">
        <f t="shared" ref="CU80:CW80" si="222">SUM(CU69:CU79)</f>
        <v>36884</v>
      </c>
      <c r="CV80" s="2">
        <f t="shared" si="222"/>
        <v>39912</v>
      </c>
      <c r="CW80" s="2">
        <f t="shared" si="222"/>
        <v>42971</v>
      </c>
      <c r="CY80" s="71" t="s">
        <v>1208</v>
      </c>
      <c r="CZ80" s="74">
        <f>Main!C6</f>
        <v>382.16399999999999</v>
      </c>
    </row>
    <row r="81" spans="2:105" ht="15" customHeight="1">
      <c r="CY81" s="71" t="s">
        <v>1575</v>
      </c>
      <c r="CZ81" s="73">
        <f>CZ79/CZ80</f>
        <v>377.45837802531167</v>
      </c>
    </row>
    <row r="82" spans="2:105" ht="15" customHeight="1">
      <c r="B82" s="2" t="s">
        <v>1221</v>
      </c>
      <c r="AV82" s="2">
        <v>675</v>
      </c>
      <c r="AW82" s="2">
        <v>736</v>
      </c>
      <c r="AX82" s="2">
        <v>635</v>
      </c>
      <c r="AY82" s="2">
        <v>647</v>
      </c>
      <c r="AZ82" s="2">
        <v>810</v>
      </c>
      <c r="BA82" s="2">
        <v>767</v>
      </c>
      <c r="BB82" s="2">
        <v>864</v>
      </c>
      <c r="BC82" s="2">
        <v>934</v>
      </c>
      <c r="BD82" s="2">
        <v>1129</v>
      </c>
      <c r="BE82" s="2">
        <v>1084</v>
      </c>
      <c r="BF82" s="2">
        <v>1160</v>
      </c>
      <c r="BG82" s="2">
        <v>1213</v>
      </c>
      <c r="BH82" s="2">
        <v>1413</v>
      </c>
      <c r="BI82" s="2">
        <v>1366</v>
      </c>
      <c r="BJ82" s="2">
        <v>1326</v>
      </c>
      <c r="BK82" s="2">
        <v>1296</v>
      </c>
      <c r="BL82" s="2">
        <v>1517</v>
      </c>
      <c r="BM82" s="2">
        <v>1246</v>
      </c>
      <c r="BN82" s="2">
        <v>1304</v>
      </c>
      <c r="BO82" s="2">
        <v>1337</v>
      </c>
      <c r="BP82" s="2">
        <v>1679</v>
      </c>
      <c r="BQ82" s="2">
        <v>1464</v>
      </c>
      <c r="CR82" s="37">
        <f t="shared" ref="CR82:CR92" si="223">AV82</f>
        <v>675</v>
      </c>
      <c r="CS82" s="2">
        <f t="shared" ref="CS82:CS92" si="224">AZ82</f>
        <v>810</v>
      </c>
      <c r="CT82" s="2">
        <f t="shared" ref="CT82:CT92" si="225">BD82</f>
        <v>1129</v>
      </c>
      <c r="CU82" s="2">
        <f t="shared" ref="CU82:CU92" si="226">BH82</f>
        <v>1413</v>
      </c>
      <c r="CV82" s="2">
        <f t="shared" ref="CV82:CV92" si="227">BL82</f>
        <v>1517</v>
      </c>
      <c r="CW82" s="2">
        <f t="shared" ref="CW82:CW92" si="228">BP82</f>
        <v>1679</v>
      </c>
      <c r="CY82" s="71" t="s">
        <v>1576</v>
      </c>
      <c r="CZ82" s="73">
        <v>380.92</v>
      </c>
    </row>
    <row r="83" spans="2:105" ht="15" customHeight="1">
      <c r="B83" s="2" t="s">
        <v>1222</v>
      </c>
      <c r="AV83" s="2">
        <v>955</v>
      </c>
      <c r="AW83" s="2">
        <v>430</v>
      </c>
      <c r="AX83" s="2">
        <v>528</v>
      </c>
      <c r="AY83" s="2">
        <v>680</v>
      </c>
      <c r="AZ83" s="2">
        <v>925</v>
      </c>
      <c r="BA83" s="2">
        <v>689</v>
      </c>
      <c r="BB83" s="2">
        <v>890</v>
      </c>
      <c r="BC83" s="2">
        <v>976</v>
      </c>
      <c r="BD83" s="2">
        <v>1092</v>
      </c>
      <c r="BE83" s="2">
        <v>703</v>
      </c>
      <c r="BF83" s="2">
        <v>779</v>
      </c>
      <c r="BG83" s="2">
        <v>927</v>
      </c>
      <c r="BH83" s="2">
        <v>1149</v>
      </c>
      <c r="BI83" s="2">
        <v>713</v>
      </c>
      <c r="BJ83" s="2">
        <v>929</v>
      </c>
      <c r="BK83" s="2">
        <v>1223</v>
      </c>
      <c r="BL83" s="2">
        <v>1478</v>
      </c>
      <c r="BM83" s="2">
        <v>778</v>
      </c>
      <c r="BN83" s="2">
        <v>887</v>
      </c>
      <c r="BO83" s="2">
        <v>1250</v>
      </c>
      <c r="BP83" s="2">
        <v>1403</v>
      </c>
      <c r="BQ83" s="2">
        <v>919</v>
      </c>
      <c r="CR83" s="37">
        <f t="shared" si="223"/>
        <v>955</v>
      </c>
      <c r="CS83" s="2">
        <f t="shared" si="224"/>
        <v>925</v>
      </c>
      <c r="CT83" s="2">
        <f t="shared" si="225"/>
        <v>1092</v>
      </c>
      <c r="CU83" s="2">
        <f t="shared" si="226"/>
        <v>1149</v>
      </c>
      <c r="CV83" s="2">
        <f t="shared" si="227"/>
        <v>1478</v>
      </c>
      <c r="CW83" s="2">
        <f t="shared" si="228"/>
        <v>1403</v>
      </c>
      <c r="CY83" s="71" t="s">
        <v>1577</v>
      </c>
      <c r="CZ83" s="72">
        <f>CZ81/CZ82-1</f>
        <v>-9.0875301236174044E-3</v>
      </c>
      <c r="DA83" s="79" t="str">
        <f>IF(CZ83&gt;0,"Upside","Downside")</f>
        <v>Downside</v>
      </c>
    </row>
    <row r="84" spans="2:105">
      <c r="B84" s="2" t="s">
        <v>20</v>
      </c>
      <c r="AV84" s="2">
        <v>171</v>
      </c>
      <c r="AW84" s="2">
        <v>227</v>
      </c>
      <c r="AX84" s="2">
        <v>214</v>
      </c>
      <c r="AY84" s="2">
        <v>261</v>
      </c>
      <c r="AZ84" s="2">
        <v>207</v>
      </c>
      <c r="BA84" s="2">
        <v>253</v>
      </c>
      <c r="BB84" s="2">
        <v>300</v>
      </c>
      <c r="BC84" s="2">
        <v>373</v>
      </c>
      <c r="BD84" s="2">
        <v>192</v>
      </c>
      <c r="BE84" s="2">
        <v>173</v>
      </c>
      <c r="BF84" s="2">
        <v>300</v>
      </c>
      <c r="BG84" s="2">
        <v>243</v>
      </c>
      <c r="BH84" s="2">
        <v>292</v>
      </c>
      <c r="BI84" s="2">
        <v>371</v>
      </c>
      <c r="BJ84" s="2">
        <v>298</v>
      </c>
      <c r="BK84" s="2">
        <v>407</v>
      </c>
      <c r="BL84" s="2">
        <v>391</v>
      </c>
      <c r="BM84" s="2">
        <v>444</v>
      </c>
      <c r="BN84" s="2">
        <v>334</v>
      </c>
      <c r="BO84" s="2">
        <v>394</v>
      </c>
      <c r="BP84" s="2">
        <v>539</v>
      </c>
      <c r="BQ84" s="2">
        <v>599</v>
      </c>
      <c r="CR84" s="37">
        <f t="shared" si="223"/>
        <v>171</v>
      </c>
      <c r="CS84" s="2">
        <f t="shared" si="224"/>
        <v>207</v>
      </c>
      <c r="CT84" s="2">
        <f t="shared" si="225"/>
        <v>192</v>
      </c>
      <c r="CU84" s="2">
        <f t="shared" si="226"/>
        <v>292</v>
      </c>
      <c r="CV84" s="2">
        <f t="shared" si="227"/>
        <v>391</v>
      </c>
      <c r="CW84" s="2">
        <f t="shared" si="228"/>
        <v>539</v>
      </c>
    </row>
    <row r="85" spans="2:105">
      <c r="B85" s="2" t="s">
        <v>1223</v>
      </c>
      <c r="AV85" s="2">
        <v>213</v>
      </c>
      <c r="AW85" s="2">
        <v>216</v>
      </c>
      <c r="AX85" s="2">
        <v>216</v>
      </c>
      <c r="AY85" s="2">
        <v>216</v>
      </c>
      <c r="AZ85" s="2">
        <v>237</v>
      </c>
      <c r="BA85" s="2">
        <v>237</v>
      </c>
      <c r="BB85" s="2">
        <v>238</v>
      </c>
      <c r="BC85" s="2">
        <v>238</v>
      </c>
      <c r="BD85" s="2">
        <v>263</v>
      </c>
      <c r="BE85" s="2">
        <v>263</v>
      </c>
      <c r="BF85" s="2">
        <v>263</v>
      </c>
      <c r="BG85" s="2">
        <v>263</v>
      </c>
      <c r="BH85" s="2">
        <v>284</v>
      </c>
      <c r="BI85" s="2">
        <v>285</v>
      </c>
      <c r="BJ85" s="2">
        <v>284</v>
      </c>
      <c r="BK85" s="2">
        <v>285</v>
      </c>
      <c r="BL85" s="2">
        <v>304</v>
      </c>
      <c r="BM85" s="2">
        <v>305</v>
      </c>
      <c r="BN85" s="2">
        <v>305</v>
      </c>
      <c r="BO85" s="2">
        <v>305</v>
      </c>
      <c r="BP85" s="2">
        <v>320</v>
      </c>
      <c r="BQ85" s="2">
        <v>320</v>
      </c>
      <c r="CR85" s="37">
        <f t="shared" si="223"/>
        <v>213</v>
      </c>
      <c r="CS85" s="2">
        <f t="shared" si="224"/>
        <v>237</v>
      </c>
      <c r="CT85" s="2">
        <f t="shared" si="225"/>
        <v>263</v>
      </c>
      <c r="CU85" s="2">
        <f t="shared" si="226"/>
        <v>284</v>
      </c>
      <c r="CV85" s="2">
        <f t="shared" si="227"/>
        <v>304</v>
      </c>
      <c r="CW85" s="2">
        <f t="shared" si="228"/>
        <v>320</v>
      </c>
    </row>
    <row r="86" spans="2:105">
      <c r="B86" s="2" t="s">
        <v>1224</v>
      </c>
      <c r="AV86" s="2">
        <v>1527</v>
      </c>
      <c r="AW86" s="2">
        <v>1450</v>
      </c>
      <c r="AX86" s="2">
        <v>1702</v>
      </c>
      <c r="AY86" s="2">
        <v>1766</v>
      </c>
      <c r="AZ86" s="2">
        <f>515+1586</f>
        <v>2101</v>
      </c>
      <c r="BA86" s="2">
        <f>505+1487</f>
        <v>1992</v>
      </c>
      <c r="BB86" s="2">
        <f>444+1510</f>
        <v>1954</v>
      </c>
      <c r="BC86" s="2">
        <f>439+1467</f>
        <v>1906</v>
      </c>
      <c r="BD86" s="2">
        <f>401+1465</f>
        <v>1866</v>
      </c>
      <c r="BE86" s="2">
        <f>430+1541</f>
        <v>1971</v>
      </c>
      <c r="BF86" s="2">
        <f>400+1495</f>
        <v>1895</v>
      </c>
      <c r="BG86" s="2">
        <f>391+1526</f>
        <v>1917</v>
      </c>
      <c r="BH86" s="2">
        <f>230+1744</f>
        <v>1974</v>
      </c>
      <c r="BI86" s="2">
        <f>227+1700</f>
        <v>1927</v>
      </c>
      <c r="BJ86" s="2">
        <f>220+1729</f>
        <v>1949</v>
      </c>
      <c r="BK86" s="2">
        <f>224+1715</f>
        <v>1939</v>
      </c>
      <c r="BL86" s="2">
        <v>2137</v>
      </c>
      <c r="BM86" s="2">
        <v>2124</v>
      </c>
      <c r="BN86" s="2">
        <v>2001</v>
      </c>
      <c r="BO86" s="2">
        <v>2224</v>
      </c>
      <c r="BP86" s="2">
        <v>2266</v>
      </c>
      <c r="BQ86" s="2">
        <v>2229</v>
      </c>
      <c r="CR86" s="37">
        <f t="shared" si="223"/>
        <v>1527</v>
      </c>
      <c r="CS86" s="2">
        <f t="shared" si="224"/>
        <v>2101</v>
      </c>
      <c r="CT86" s="2">
        <f t="shared" si="225"/>
        <v>1866</v>
      </c>
      <c r="CU86" s="2">
        <f t="shared" si="226"/>
        <v>1974</v>
      </c>
      <c r="CV86" s="2">
        <f t="shared" si="227"/>
        <v>2137</v>
      </c>
      <c r="CW86" s="2">
        <f t="shared" si="228"/>
        <v>2266</v>
      </c>
    </row>
    <row r="87" spans="2:105">
      <c r="B87" s="2" t="s">
        <v>1237</v>
      </c>
      <c r="AV87" s="2">
        <v>859</v>
      </c>
      <c r="AW87" s="2">
        <v>1103</v>
      </c>
      <c r="AX87" s="2">
        <v>1110</v>
      </c>
      <c r="AY87" s="2">
        <v>1119</v>
      </c>
      <c r="AZ87" s="2">
        <v>761</v>
      </c>
      <c r="BA87" s="2">
        <v>15</v>
      </c>
      <c r="BB87" s="2">
        <v>6</v>
      </c>
      <c r="BC87" s="2">
        <v>22</v>
      </c>
      <c r="BD87" s="2">
        <v>7</v>
      </c>
      <c r="BE87" s="2">
        <v>214</v>
      </c>
      <c r="BF87" s="2">
        <v>7</v>
      </c>
      <c r="BG87" s="2">
        <v>8</v>
      </c>
      <c r="BH87" s="2">
        <v>1191</v>
      </c>
      <c r="BI87" s="2">
        <v>1204</v>
      </c>
      <c r="BJ87" s="2">
        <v>1798</v>
      </c>
      <c r="BK87" s="2">
        <v>2308</v>
      </c>
      <c r="BL87" s="2">
        <v>2094</v>
      </c>
      <c r="BM87" s="2">
        <v>2058</v>
      </c>
      <c r="BN87" s="2">
        <v>2095</v>
      </c>
      <c r="BO87" s="2">
        <v>2159</v>
      </c>
      <c r="BP87" s="2">
        <v>1409</v>
      </c>
      <c r="BQ87" s="2">
        <v>2398</v>
      </c>
      <c r="CR87" s="37">
        <f t="shared" si="223"/>
        <v>859</v>
      </c>
      <c r="CS87" s="2">
        <f t="shared" si="224"/>
        <v>761</v>
      </c>
      <c r="CT87" s="2">
        <f t="shared" si="225"/>
        <v>7</v>
      </c>
      <c r="CU87" s="2">
        <f t="shared" si="226"/>
        <v>1191</v>
      </c>
      <c r="CV87" s="2">
        <f t="shared" si="227"/>
        <v>2094</v>
      </c>
      <c r="CW87" s="2">
        <f t="shared" si="228"/>
        <v>1409</v>
      </c>
    </row>
    <row r="88" spans="2:105">
      <c r="B88" s="2" t="s">
        <v>1236</v>
      </c>
      <c r="AV88" s="2">
        <v>10231</v>
      </c>
      <c r="AW88" s="2">
        <v>9404</v>
      </c>
      <c r="AX88" s="2">
        <v>11811</v>
      </c>
      <c r="AY88" s="2">
        <v>12008</v>
      </c>
      <c r="AZ88" s="2">
        <v>13230</v>
      </c>
      <c r="BA88" s="2">
        <v>13059</v>
      </c>
      <c r="BB88" s="2">
        <v>12734</v>
      </c>
      <c r="BC88" s="2">
        <v>12629</v>
      </c>
      <c r="BD88" s="2">
        <v>12472</v>
      </c>
      <c r="BE88" s="2">
        <v>13885</v>
      </c>
      <c r="BF88" s="2">
        <v>13374</v>
      </c>
      <c r="BG88" s="2">
        <v>12751</v>
      </c>
      <c r="BH88" s="2">
        <v>11857</v>
      </c>
      <c r="BI88" s="2">
        <v>11857</v>
      </c>
      <c r="BJ88" s="2">
        <v>11149</v>
      </c>
      <c r="BK88" s="2">
        <v>10382</v>
      </c>
      <c r="BL88" s="2">
        <v>10901</v>
      </c>
      <c r="BM88" s="2">
        <v>10807</v>
      </c>
      <c r="BN88" s="2">
        <v>10127</v>
      </c>
      <c r="BO88" s="2">
        <v>13325</v>
      </c>
      <c r="BP88" s="2">
        <v>12188</v>
      </c>
      <c r="BQ88" s="2">
        <v>14383</v>
      </c>
      <c r="CR88" s="37">
        <f t="shared" si="223"/>
        <v>10231</v>
      </c>
      <c r="CS88" s="2">
        <f t="shared" si="224"/>
        <v>13230</v>
      </c>
      <c r="CT88" s="2">
        <f t="shared" si="225"/>
        <v>12472</v>
      </c>
      <c r="CU88" s="2">
        <f t="shared" si="226"/>
        <v>11857</v>
      </c>
      <c r="CV88" s="2">
        <f t="shared" si="227"/>
        <v>10901</v>
      </c>
      <c r="CW88" s="2">
        <f t="shared" si="228"/>
        <v>12188</v>
      </c>
    </row>
    <row r="89" spans="2:105">
      <c r="B89" s="2" t="s">
        <v>1225</v>
      </c>
      <c r="AV89" s="2">
        <v>1068</v>
      </c>
      <c r="AW89" s="2">
        <v>1026</v>
      </c>
      <c r="AX89" s="2">
        <v>990</v>
      </c>
      <c r="AY89" s="2">
        <v>999</v>
      </c>
      <c r="AZ89" s="2">
        <v>990</v>
      </c>
      <c r="BA89" s="2">
        <v>986</v>
      </c>
      <c r="BB89" s="2">
        <v>927</v>
      </c>
      <c r="BC89" s="2">
        <v>929</v>
      </c>
      <c r="BD89" s="2">
        <v>913</v>
      </c>
      <c r="BE89" s="2">
        <v>917</v>
      </c>
      <c r="BF89" s="2">
        <v>787</v>
      </c>
      <c r="BG89" s="2">
        <v>921</v>
      </c>
      <c r="BH89" s="2">
        <v>641</v>
      </c>
      <c r="BI89" s="2">
        <v>625</v>
      </c>
      <c r="BJ89" s="2">
        <v>469</v>
      </c>
      <c r="BK89" s="2">
        <v>465</v>
      </c>
      <c r="BL89" s="2">
        <v>567</v>
      </c>
      <c r="BM89" s="2">
        <v>565</v>
      </c>
      <c r="BN89" s="2">
        <v>350</v>
      </c>
      <c r="BO89" s="2">
        <v>368</v>
      </c>
      <c r="BP89" s="2">
        <v>349</v>
      </c>
      <c r="BQ89" s="2">
        <v>372</v>
      </c>
      <c r="CR89" s="37">
        <f t="shared" si="223"/>
        <v>1068</v>
      </c>
      <c r="CS89" s="2">
        <f t="shared" si="224"/>
        <v>990</v>
      </c>
      <c r="CT89" s="2">
        <f t="shared" si="225"/>
        <v>913</v>
      </c>
      <c r="CU89" s="2">
        <f t="shared" si="226"/>
        <v>641</v>
      </c>
      <c r="CV89" s="2">
        <f t="shared" si="227"/>
        <v>567</v>
      </c>
      <c r="CW89" s="2">
        <f t="shared" si="228"/>
        <v>349</v>
      </c>
    </row>
    <row r="90" spans="2:105">
      <c r="B90" s="2" t="s">
        <v>1230</v>
      </c>
      <c r="AV90" s="2">
        <v>1661</v>
      </c>
      <c r="AW90" s="26">
        <v>1733</v>
      </c>
      <c r="AX90" s="26">
        <v>1523</v>
      </c>
      <c r="AY90" s="26">
        <v>1604</v>
      </c>
      <c r="AZ90" s="26">
        <v>1985</v>
      </c>
      <c r="BA90" s="26">
        <v>1955</v>
      </c>
      <c r="BB90" s="26">
        <v>1965</v>
      </c>
      <c r="BC90" s="26">
        <v>1960</v>
      </c>
      <c r="BD90" s="26">
        <v>1820</v>
      </c>
      <c r="BE90" s="26">
        <v>1881</v>
      </c>
      <c r="BF90" s="26">
        <v>1793</v>
      </c>
      <c r="BG90" s="26">
        <v>1577</v>
      </c>
      <c r="BH90" s="26">
        <v>1467</v>
      </c>
      <c r="BI90" s="26">
        <v>1587</v>
      </c>
      <c r="BJ90" s="26">
        <v>1846</v>
      </c>
      <c r="BK90" s="26">
        <v>1832</v>
      </c>
      <c r="BL90" s="26">
        <v>1930</v>
      </c>
      <c r="BM90" s="26">
        <v>1903</v>
      </c>
      <c r="BN90" s="26">
        <v>1965</v>
      </c>
      <c r="BO90" s="26">
        <v>2322</v>
      </c>
      <c r="BP90" s="26">
        <v>2184</v>
      </c>
      <c r="BQ90" s="2">
        <v>2392</v>
      </c>
      <c r="CH90" s="26"/>
      <c r="CI90" s="26"/>
      <c r="CJ90" s="26"/>
      <c r="CK90" s="26"/>
      <c r="CL90" s="26"/>
      <c r="CM90" s="26"/>
      <c r="CN90" s="26"/>
      <c r="CO90" s="26"/>
      <c r="CP90" s="26"/>
      <c r="CQ90" s="26"/>
      <c r="CR90" s="37">
        <f t="shared" si="223"/>
        <v>1661</v>
      </c>
      <c r="CS90" s="2">
        <f t="shared" si="224"/>
        <v>1985</v>
      </c>
      <c r="CT90" s="2">
        <f t="shared" si="225"/>
        <v>1820</v>
      </c>
      <c r="CU90" s="2">
        <f t="shared" si="226"/>
        <v>1467</v>
      </c>
      <c r="CV90" s="2">
        <f t="shared" si="227"/>
        <v>1930</v>
      </c>
      <c r="CW90" s="2">
        <f t="shared" si="228"/>
        <v>2184</v>
      </c>
    </row>
    <row r="91" spans="2:105">
      <c r="B91" s="2" t="s">
        <v>1227</v>
      </c>
      <c r="AV91" s="2">
        <f t="shared" ref="AV91:BP91" si="229">SUM(AV82:AV90)</f>
        <v>17360</v>
      </c>
      <c r="AW91" s="2">
        <f t="shared" si="229"/>
        <v>16325</v>
      </c>
      <c r="AX91" s="2">
        <f t="shared" si="229"/>
        <v>18729</v>
      </c>
      <c r="AY91" s="2">
        <f t="shared" si="229"/>
        <v>19300</v>
      </c>
      <c r="AZ91" s="2">
        <f t="shared" si="229"/>
        <v>21246</v>
      </c>
      <c r="BA91" s="2">
        <f t="shared" si="229"/>
        <v>19953</v>
      </c>
      <c r="BB91" s="2">
        <f t="shared" si="229"/>
        <v>19878</v>
      </c>
      <c r="BC91" s="2">
        <f t="shared" si="229"/>
        <v>19967</v>
      </c>
      <c r="BD91" s="2">
        <f t="shared" si="229"/>
        <v>19754</v>
      </c>
      <c r="BE91" s="2">
        <f t="shared" si="229"/>
        <v>21091</v>
      </c>
      <c r="BF91" s="2">
        <f t="shared" si="229"/>
        <v>20358</v>
      </c>
      <c r="BG91" s="2">
        <f t="shared" si="229"/>
        <v>19820</v>
      </c>
      <c r="BH91" s="2">
        <f t="shared" si="229"/>
        <v>20268</v>
      </c>
      <c r="BI91" s="2">
        <f t="shared" si="229"/>
        <v>19935</v>
      </c>
      <c r="BJ91" s="2">
        <f t="shared" si="229"/>
        <v>20048</v>
      </c>
      <c r="BK91" s="2">
        <f t="shared" si="229"/>
        <v>20137</v>
      </c>
      <c r="BL91" s="2">
        <f t="shared" si="229"/>
        <v>21319</v>
      </c>
      <c r="BM91" s="2">
        <f t="shared" si="229"/>
        <v>20230</v>
      </c>
      <c r="BN91" s="2">
        <f t="shared" si="229"/>
        <v>19368</v>
      </c>
      <c r="BO91" s="2">
        <f t="shared" si="229"/>
        <v>23684</v>
      </c>
      <c r="BP91" s="2">
        <f t="shared" si="229"/>
        <v>22337</v>
      </c>
      <c r="BQ91" s="2">
        <f>SUM(BQ82:BQ90)</f>
        <v>25076</v>
      </c>
      <c r="CH91" s="26"/>
      <c r="CI91" s="26"/>
      <c r="CJ91" s="26"/>
      <c r="CK91" s="26"/>
      <c r="CL91" s="26"/>
      <c r="CM91" s="26"/>
      <c r="CN91" s="26"/>
      <c r="CO91" s="26"/>
      <c r="CP91" s="26"/>
      <c r="CQ91" s="26"/>
      <c r="CR91" s="37">
        <f t="shared" si="223"/>
        <v>17360</v>
      </c>
      <c r="CS91" s="2">
        <f t="shared" si="224"/>
        <v>21246</v>
      </c>
      <c r="CT91" s="2">
        <f t="shared" si="225"/>
        <v>19754</v>
      </c>
      <c r="CU91" s="2">
        <f t="shared" si="226"/>
        <v>20268</v>
      </c>
      <c r="CV91" s="2">
        <f t="shared" si="227"/>
        <v>21319</v>
      </c>
      <c r="CW91" s="2">
        <f t="shared" si="228"/>
        <v>22337</v>
      </c>
    </row>
    <row r="92" spans="2:105">
      <c r="B92" s="2" t="s">
        <v>1228</v>
      </c>
      <c r="AV92" s="2">
        <v>12807</v>
      </c>
      <c r="AW92" s="26">
        <v>13115</v>
      </c>
      <c r="AX92" s="26">
        <v>12754</v>
      </c>
      <c r="AY92" s="26">
        <v>12986</v>
      </c>
      <c r="AZ92" s="26">
        <v>13084</v>
      </c>
      <c r="BA92" s="26">
        <v>13502</v>
      </c>
      <c r="BB92" s="26">
        <v>13820</v>
      </c>
      <c r="BC92" s="26">
        <v>14178</v>
      </c>
      <c r="BD92" s="26">
        <v>14877</v>
      </c>
      <c r="BE92" s="26">
        <v>15046</v>
      </c>
      <c r="BF92" s="26">
        <v>15674</v>
      </c>
      <c r="BG92" s="26">
        <v>16463</v>
      </c>
      <c r="BH92" s="26">
        <v>16616</v>
      </c>
      <c r="BI92" s="26">
        <v>16895</v>
      </c>
      <c r="BJ92" s="26">
        <v>17361</v>
      </c>
      <c r="BK92" s="26">
        <v>17905</v>
      </c>
      <c r="BL92" s="26">
        <v>18593</v>
      </c>
      <c r="BM92" s="26">
        <v>19172</v>
      </c>
      <c r="BN92" s="26">
        <v>19762</v>
      </c>
      <c r="BO92" s="26">
        <v>20149</v>
      </c>
      <c r="BP92" s="26">
        <v>20634</v>
      </c>
      <c r="BQ92" s="2">
        <v>20930</v>
      </c>
      <c r="CH92" s="26"/>
      <c r="CI92" s="26"/>
      <c r="CJ92" s="26"/>
      <c r="CK92" s="26"/>
      <c r="CL92" s="26"/>
      <c r="CM92" s="26"/>
      <c r="CN92" s="26"/>
      <c r="CO92" s="26"/>
      <c r="CP92" s="26"/>
      <c r="CQ92" s="26"/>
      <c r="CR92" s="37">
        <f t="shared" si="223"/>
        <v>12807</v>
      </c>
      <c r="CS92" s="2">
        <f t="shared" si="224"/>
        <v>13084</v>
      </c>
      <c r="CT92" s="2">
        <f t="shared" si="225"/>
        <v>14877</v>
      </c>
      <c r="CU92" s="2">
        <f t="shared" si="226"/>
        <v>16616</v>
      </c>
      <c r="CV92" s="2">
        <f t="shared" si="227"/>
        <v>18593</v>
      </c>
      <c r="CW92" s="2">
        <f t="shared" si="228"/>
        <v>20634</v>
      </c>
    </row>
    <row r="93" spans="2:105">
      <c r="B93" s="2" t="s">
        <v>1229</v>
      </c>
      <c r="AV93" s="2">
        <f t="shared" ref="AV93:BP93" si="230">AV91+AV92</f>
        <v>30167</v>
      </c>
      <c r="AW93" s="2">
        <f t="shared" si="230"/>
        <v>29440</v>
      </c>
      <c r="AX93" s="2">
        <f t="shared" si="230"/>
        <v>31483</v>
      </c>
      <c r="AY93" s="2">
        <f t="shared" si="230"/>
        <v>32286</v>
      </c>
      <c r="AZ93" s="2">
        <f t="shared" si="230"/>
        <v>34330</v>
      </c>
      <c r="BA93" s="2">
        <f t="shared" si="230"/>
        <v>33455</v>
      </c>
      <c r="BB93" s="2">
        <f t="shared" si="230"/>
        <v>33698</v>
      </c>
      <c r="BC93" s="2">
        <f t="shared" si="230"/>
        <v>34145</v>
      </c>
      <c r="BD93" s="2">
        <f t="shared" si="230"/>
        <v>34631</v>
      </c>
      <c r="BE93" s="2">
        <f t="shared" si="230"/>
        <v>36137</v>
      </c>
      <c r="BF93" s="2">
        <f t="shared" si="230"/>
        <v>36032</v>
      </c>
      <c r="BG93" s="2">
        <f t="shared" si="230"/>
        <v>36283</v>
      </c>
      <c r="BH93" s="2">
        <f t="shared" si="230"/>
        <v>36884</v>
      </c>
      <c r="BI93" s="2">
        <f t="shared" si="230"/>
        <v>36830</v>
      </c>
      <c r="BJ93" s="2">
        <f t="shared" si="230"/>
        <v>37409</v>
      </c>
      <c r="BK93" s="2">
        <f t="shared" si="230"/>
        <v>38042</v>
      </c>
      <c r="BL93" s="2">
        <f t="shared" si="230"/>
        <v>39912</v>
      </c>
      <c r="BM93" s="2">
        <f t="shared" si="230"/>
        <v>39402</v>
      </c>
      <c r="BN93" s="2">
        <f t="shared" si="230"/>
        <v>39130</v>
      </c>
      <c r="BO93" s="2">
        <f t="shared" si="230"/>
        <v>43833</v>
      </c>
      <c r="BP93" s="2">
        <f t="shared" si="230"/>
        <v>42971</v>
      </c>
      <c r="BQ93" s="2">
        <f>BQ91+BQ92</f>
        <v>46006</v>
      </c>
      <c r="CH93" s="26"/>
      <c r="CI93" s="26"/>
      <c r="CJ93" s="26"/>
      <c r="CK93" s="26"/>
      <c r="CL93" s="26"/>
      <c r="CM93" s="26"/>
      <c r="CN93" s="26"/>
      <c r="CO93" s="26"/>
      <c r="CP93" s="26"/>
      <c r="CQ93" s="26"/>
      <c r="CR93" s="2">
        <f t="shared" ref="CR93:CT93" si="231">CR91+CR92</f>
        <v>30167</v>
      </c>
      <c r="CS93" s="2">
        <f t="shared" si="231"/>
        <v>34330</v>
      </c>
      <c r="CT93" s="2">
        <f t="shared" si="231"/>
        <v>34631</v>
      </c>
      <c r="CU93" s="2">
        <f t="shared" ref="CU93:CW93" si="232">CU91+CU92</f>
        <v>36884</v>
      </c>
      <c r="CV93" s="2">
        <f t="shared" si="232"/>
        <v>39912</v>
      </c>
      <c r="CW93" s="2">
        <f t="shared" si="232"/>
        <v>42971</v>
      </c>
    </row>
    <row r="94" spans="2:105">
      <c r="AW94" s="26"/>
      <c r="AX94" s="26"/>
      <c r="AY94" s="26"/>
      <c r="AZ94" s="26"/>
      <c r="BA94" s="26"/>
      <c r="BB94" s="26"/>
      <c r="BC94" s="26"/>
      <c r="BD94" s="26"/>
      <c r="BE94" s="26"/>
      <c r="BF94" s="26"/>
      <c r="BG94" s="26"/>
      <c r="BH94" s="26"/>
      <c r="BI94" s="26"/>
      <c r="BJ94" s="26"/>
      <c r="BK94" s="26"/>
      <c r="BL94" s="26"/>
      <c r="BM94" s="26"/>
      <c r="BN94" s="26"/>
      <c r="BO94" s="26"/>
      <c r="BP94" s="26"/>
      <c r="CH94" s="26"/>
      <c r="CI94" s="26"/>
      <c r="CJ94" s="26"/>
      <c r="CK94" s="26"/>
      <c r="CL94" s="26"/>
      <c r="CM94" s="26"/>
      <c r="CN94" s="26"/>
      <c r="CO94" s="26"/>
      <c r="CP94" s="26"/>
      <c r="CQ94" s="26"/>
      <c r="CR94" s="26"/>
      <c r="CS94" s="26"/>
      <c r="CT94" s="26"/>
      <c r="CU94" s="26"/>
      <c r="CV94" s="26"/>
      <c r="CW94" s="26"/>
    </row>
    <row r="95" spans="2:105">
      <c r="B95" s="2" t="s">
        <v>1238</v>
      </c>
      <c r="AV95" s="18">
        <f t="shared" ref="AV95" si="233">SUM(AV69:AV74)/SUM(AV82:AV87)</f>
        <v>2.581818181818182</v>
      </c>
      <c r="AW95" s="18">
        <f t="shared" ref="AW95:BP95" si="234">SUM(AW69:AW74)/SUM(AW82:AW87)</f>
        <v>2.5795290725612685</v>
      </c>
      <c r="AX95" s="18">
        <f t="shared" si="234"/>
        <v>2.9060158910329172</v>
      </c>
      <c r="AY95" s="18">
        <f t="shared" si="234"/>
        <v>2.8886756238003839</v>
      </c>
      <c r="AZ95" s="18">
        <f t="shared" si="234"/>
        <v>1.9256099980162666</v>
      </c>
      <c r="BA95" s="18">
        <f t="shared" si="234"/>
        <v>2.2714394131039715</v>
      </c>
      <c r="BB95" s="18">
        <f t="shared" si="234"/>
        <v>2.1241768579492004</v>
      </c>
      <c r="BC95" s="18">
        <f t="shared" si="234"/>
        <v>2.1263205214654977</v>
      </c>
      <c r="BD95" s="18">
        <f t="shared" si="234"/>
        <v>2.2020224225104417</v>
      </c>
      <c r="BE95" s="18">
        <f t="shared" si="234"/>
        <v>1.9793557168784028</v>
      </c>
      <c r="BF95" s="18">
        <f t="shared" si="234"/>
        <v>2.0038601271571297</v>
      </c>
      <c r="BG95" s="18">
        <f t="shared" si="234"/>
        <v>2.0385036097134108</v>
      </c>
      <c r="BH95" s="18">
        <f t="shared" si="234"/>
        <v>1.6301761066158973</v>
      </c>
      <c r="BI95" s="18">
        <f t="shared" si="234"/>
        <v>1.7311626321172862</v>
      </c>
      <c r="BJ95" s="18">
        <f t="shared" si="234"/>
        <v>1.541767922235723</v>
      </c>
      <c r="BK95" s="18">
        <f t="shared" si="234"/>
        <v>1.4809600429069456</v>
      </c>
      <c r="BL95" s="18">
        <f t="shared" si="234"/>
        <v>1.5803560156545891</v>
      </c>
      <c r="BM95" s="18">
        <f t="shared" si="234"/>
        <v>1.7098490294751978</v>
      </c>
      <c r="BN95" s="18">
        <f t="shared" si="234"/>
        <v>1.6813456540571758</v>
      </c>
      <c r="BO95" s="18">
        <f t="shared" si="234"/>
        <v>1.913287260399009</v>
      </c>
      <c r="BP95" s="18">
        <f t="shared" si="234"/>
        <v>1.9494485294117647</v>
      </c>
      <c r="BQ95" s="18">
        <f>SUM(BQ69:BQ74)/SUM(BQ82:BQ87)</f>
        <v>1.6423256400554924</v>
      </c>
      <c r="CH95" s="26"/>
      <c r="CI95" s="26"/>
      <c r="CJ95" s="26"/>
      <c r="CK95" s="26"/>
      <c r="CL95" s="26"/>
      <c r="CM95" s="26"/>
      <c r="CN95" s="26"/>
      <c r="CO95" s="26"/>
      <c r="CP95" s="26"/>
      <c r="CQ95" s="26"/>
      <c r="CR95" s="18">
        <f t="shared" ref="CR95:CV95" si="235">SUM(CR69:CR74)/SUM(CR82:CR87)</f>
        <v>2.581818181818182</v>
      </c>
      <c r="CS95" s="18">
        <f t="shared" si="235"/>
        <v>1.9256099980162666</v>
      </c>
      <c r="CT95" s="18">
        <f t="shared" si="235"/>
        <v>2.2020224225104417</v>
      </c>
      <c r="CU95" s="18">
        <f t="shared" si="235"/>
        <v>1.6301761066158973</v>
      </c>
      <c r="CV95" s="18">
        <f t="shared" si="235"/>
        <v>1.5803560156545891</v>
      </c>
      <c r="CW95" s="18">
        <f>SUM(CW69:CW74)/SUM(CW82:CW87)</f>
        <v>1.9494485294117647</v>
      </c>
    </row>
    <row r="96" spans="2:105">
      <c r="B96" s="2" t="s">
        <v>1239</v>
      </c>
      <c r="AV96" s="18">
        <f t="shared" ref="AV96" si="236">(SUM(AV69:AV75)-AV74)/SUM(AV82:AV87)</f>
        <v>2.9925000000000002</v>
      </c>
      <c r="AW96" s="18">
        <f t="shared" ref="AW96:BP96" si="237">(SUM(AW69:AW75)-AW74)/SUM(AW82:AW87)</f>
        <v>3.0418068236424798</v>
      </c>
      <c r="AX96" s="18">
        <f t="shared" si="237"/>
        <v>3.3577752553916005</v>
      </c>
      <c r="AY96" s="18">
        <f t="shared" si="237"/>
        <v>3.3216037534655576</v>
      </c>
      <c r="AZ96" s="18">
        <f t="shared" si="237"/>
        <v>2.374727236659393</v>
      </c>
      <c r="BA96" s="18">
        <f t="shared" si="237"/>
        <v>2.8107766253478372</v>
      </c>
      <c r="BB96" s="18">
        <f t="shared" si="237"/>
        <v>2.6359360301034807</v>
      </c>
      <c r="BC96" s="18">
        <f t="shared" si="237"/>
        <v>2.6154191953247921</v>
      </c>
      <c r="BD96" s="18">
        <f t="shared" si="237"/>
        <v>2.679270169267971</v>
      </c>
      <c r="BE96" s="18">
        <f t="shared" si="237"/>
        <v>2.4589382940108893</v>
      </c>
      <c r="BF96" s="18">
        <f t="shared" si="237"/>
        <v>2.457765667574932</v>
      </c>
      <c r="BG96" s="18">
        <f t="shared" si="237"/>
        <v>2.4679501203237804</v>
      </c>
      <c r="BH96" s="18">
        <f t="shared" si="237"/>
        <v>1.9765191178803745</v>
      </c>
      <c r="BI96" s="18">
        <f t="shared" si="237"/>
        <v>2.1039890896692808</v>
      </c>
      <c r="BJ96" s="18">
        <f t="shared" si="237"/>
        <v>1.8854799513973268</v>
      </c>
      <c r="BK96" s="18">
        <f t="shared" si="237"/>
        <v>1.7700455886296593</v>
      </c>
      <c r="BL96" s="18">
        <f t="shared" si="237"/>
        <v>1.8780457013003409</v>
      </c>
      <c r="BM96" s="18">
        <f t="shared" si="237"/>
        <v>2.036808051761323</v>
      </c>
      <c r="BN96" s="18">
        <f t="shared" si="237"/>
        <v>2.0128501299451345</v>
      </c>
      <c r="BO96" s="18">
        <f t="shared" si="237"/>
        <v>2.2351023601512585</v>
      </c>
      <c r="BP96" s="18">
        <f t="shared" si="237"/>
        <v>2.1930147058823528</v>
      </c>
      <c r="BQ96" s="18">
        <f>(SUM(BQ69:BQ75)-BQ74)/SUM(BQ82:BQ87)</f>
        <v>1.8931769453903393</v>
      </c>
      <c r="CH96" s="26"/>
      <c r="CI96" s="26"/>
      <c r="CJ96" s="26"/>
      <c r="CK96" s="26"/>
      <c r="CL96" s="26"/>
      <c r="CM96" s="26"/>
      <c r="CN96" s="26"/>
      <c r="CO96" s="26"/>
      <c r="CP96" s="26"/>
      <c r="CQ96" s="26"/>
      <c r="CR96" s="18">
        <f t="shared" ref="CR96:CW96" si="238">(SUM(CR69:CR75)-CR74)/SUM(CR82:CR87)</f>
        <v>2.9925000000000002</v>
      </c>
      <c r="CS96" s="18">
        <f t="shared" si="238"/>
        <v>2.374727236659393</v>
      </c>
      <c r="CT96" s="18">
        <f t="shared" si="238"/>
        <v>2.679270169267971</v>
      </c>
      <c r="CU96" s="18">
        <f t="shared" si="238"/>
        <v>1.9765191178803745</v>
      </c>
      <c r="CV96" s="18">
        <f t="shared" si="238"/>
        <v>1.8780457013003409</v>
      </c>
      <c r="CW96" s="18">
        <f t="shared" si="238"/>
        <v>2.1930147058823528</v>
      </c>
    </row>
    <row r="97" spans="2:101">
      <c r="B97" s="2" t="s">
        <v>1240</v>
      </c>
      <c r="AV97" s="18">
        <f t="shared" ref="AV97" si="239">AV69/SUM(AV82:AV87)</f>
        <v>0.98568181818181821</v>
      </c>
      <c r="AW97" s="18">
        <f t="shared" ref="AW97:BP97" si="240">AW69/SUM(AW82:AW87)</f>
        <v>0.95242671792407496</v>
      </c>
      <c r="AX97" s="18">
        <f t="shared" si="240"/>
        <v>1.4844494892167992</v>
      </c>
      <c r="AY97" s="18">
        <f t="shared" si="240"/>
        <v>1.510556621880998</v>
      </c>
      <c r="AZ97" s="18">
        <f t="shared" si="240"/>
        <v>0.58381273556833957</v>
      </c>
      <c r="BA97" s="18">
        <f t="shared" si="240"/>
        <v>0.56615228940045537</v>
      </c>
      <c r="BB97" s="18">
        <f t="shared" si="240"/>
        <v>0.52704609595484475</v>
      </c>
      <c r="BC97" s="18">
        <f t="shared" si="240"/>
        <v>0.57608451337379185</v>
      </c>
      <c r="BD97" s="18">
        <f t="shared" si="240"/>
        <v>0.64717520334139367</v>
      </c>
      <c r="BE97" s="18">
        <f t="shared" si="240"/>
        <v>0.33076225045372049</v>
      </c>
      <c r="BF97" s="18">
        <f t="shared" si="240"/>
        <v>0.23705722070844687</v>
      </c>
      <c r="BG97" s="18">
        <f t="shared" si="240"/>
        <v>0.31065412382410851</v>
      </c>
      <c r="BH97" s="18">
        <f t="shared" si="240"/>
        <v>0.29255909884182135</v>
      </c>
      <c r="BI97" s="18">
        <f t="shared" si="240"/>
        <v>0.28486191612683259</v>
      </c>
      <c r="BJ97" s="18">
        <f t="shared" si="240"/>
        <v>0.21278857837181045</v>
      </c>
      <c r="BK97" s="18">
        <f t="shared" si="240"/>
        <v>0.24939662107803701</v>
      </c>
      <c r="BL97" s="18">
        <f t="shared" si="240"/>
        <v>0.37507890417876533</v>
      </c>
      <c r="BM97" s="18">
        <f t="shared" si="240"/>
        <v>0.33501078360891445</v>
      </c>
      <c r="BN97" s="18">
        <f t="shared" si="240"/>
        <v>0.27057464626046779</v>
      </c>
      <c r="BO97" s="18">
        <f t="shared" si="240"/>
        <v>0.5020211240057374</v>
      </c>
      <c r="BP97" s="18">
        <f t="shared" si="240"/>
        <v>0.47951680672268909</v>
      </c>
      <c r="BQ97" s="18">
        <f>BQ69/SUM(BQ82:BQ87)</f>
        <v>0.29259679656955478</v>
      </c>
      <c r="CH97" s="26"/>
      <c r="CI97" s="26"/>
      <c r="CJ97" s="26"/>
      <c r="CK97" s="26"/>
      <c r="CL97" s="26"/>
      <c r="CM97" s="26"/>
      <c r="CN97" s="26"/>
      <c r="CO97" s="26"/>
      <c r="CP97" s="26"/>
      <c r="CQ97" s="26"/>
      <c r="CR97" s="18">
        <f t="shared" ref="CR97:CV97" si="241">CR69/SUM(CR82:CR87)</f>
        <v>0.98568181818181821</v>
      </c>
      <c r="CS97" s="18">
        <f t="shared" si="241"/>
        <v>0.58381273556833957</v>
      </c>
      <c r="CT97" s="18">
        <f t="shared" si="241"/>
        <v>0.64717520334139367</v>
      </c>
      <c r="CU97" s="18">
        <f t="shared" si="241"/>
        <v>0.29255909884182135</v>
      </c>
      <c r="CV97" s="18">
        <f t="shared" si="241"/>
        <v>0.37507890417876533</v>
      </c>
      <c r="CW97" s="18">
        <f>CW69/SUM(CW82:CW87)</f>
        <v>0.47951680672268909</v>
      </c>
    </row>
    <row r="98" spans="2:101">
      <c r="B98" s="2" t="s">
        <v>1241</v>
      </c>
      <c r="AV98" s="18">
        <f t="shared" ref="AV98" si="242">AV46/AV80</f>
        <v>0.13693771339543209</v>
      </c>
      <c r="AW98" s="18">
        <f t="shared" ref="AW98:BP98" si="243">AW46/AW80</f>
        <v>0.121875</v>
      </c>
      <c r="AX98" s="18">
        <f t="shared" si="243"/>
        <v>8.7793412317758793E-2</v>
      </c>
      <c r="AY98" s="18">
        <f t="shared" si="243"/>
        <v>0.11574676330297962</v>
      </c>
      <c r="AZ98" s="18">
        <f t="shared" si="243"/>
        <v>0.124147975531605</v>
      </c>
      <c r="BA98" s="18">
        <f t="shared" si="243"/>
        <v>0.11815872066955611</v>
      </c>
      <c r="BB98" s="18">
        <f t="shared" si="243"/>
        <v>0.12742595999762596</v>
      </c>
      <c r="BC98" s="18">
        <f t="shared" si="243"/>
        <v>0.12183335773905403</v>
      </c>
      <c r="BD98" s="18">
        <f t="shared" si="243"/>
        <v>0.13574543039473305</v>
      </c>
      <c r="BE98" s="18">
        <f t="shared" si="243"/>
        <v>0.11829980352547251</v>
      </c>
      <c r="BF98" s="18">
        <f t="shared" si="243"/>
        <v>0.12469471580817051</v>
      </c>
      <c r="BG98" s="18">
        <f t="shared" si="243"/>
        <v>0.12447544673873774</v>
      </c>
      <c r="BH98" s="18">
        <f t="shared" si="243"/>
        <v>0.14103676390846981</v>
      </c>
      <c r="BI98" s="18">
        <f t="shared" si="243"/>
        <v>0.12973119739342928</v>
      </c>
      <c r="BJ98" s="18">
        <f t="shared" si="243"/>
        <v>0.13355074981956214</v>
      </c>
      <c r="BK98" s="18">
        <f t="shared" si="243"/>
        <v>0.12904158561589821</v>
      </c>
      <c r="BL98" s="18">
        <f t="shared" si="243"/>
        <v>0.14569553016636599</v>
      </c>
      <c r="BM98" s="18">
        <f t="shared" si="243"/>
        <v>0.13306431145627126</v>
      </c>
      <c r="BN98" s="18">
        <f t="shared" si="243"/>
        <v>0.13856376181957578</v>
      </c>
      <c r="BO98" s="18">
        <f t="shared" si="243"/>
        <v>0.12533935619282277</v>
      </c>
      <c r="BP98" s="18">
        <f t="shared" si="243"/>
        <v>0.14977542994112308</v>
      </c>
      <c r="BQ98" s="18">
        <f>BQ46/BQ80</f>
        <v>0.12750510802938747</v>
      </c>
      <c r="CH98" s="26"/>
      <c r="CI98" s="26"/>
      <c r="CJ98" s="26"/>
      <c r="CK98" s="26"/>
      <c r="CL98" s="26"/>
      <c r="CM98" s="26"/>
      <c r="CN98" s="26"/>
      <c r="CO98" s="26"/>
      <c r="CP98" s="26"/>
      <c r="CQ98" s="26"/>
      <c r="CR98" s="18">
        <f t="shared" ref="CR98:CV98" si="244">CR46/CR80</f>
        <v>0.49338681340537671</v>
      </c>
      <c r="CS98" s="18">
        <f t="shared" si="244"/>
        <v>0.41803087678415379</v>
      </c>
      <c r="CT98" s="18">
        <f t="shared" si="244"/>
        <v>0.49400825849672259</v>
      </c>
      <c r="CU98" s="18">
        <f t="shared" si="244"/>
        <v>0.50018978418826587</v>
      </c>
      <c r="CV98" s="18">
        <f t="shared" si="244"/>
        <v>0.51357987572659847</v>
      </c>
      <c r="CW98" s="18">
        <f>CW46/CW80</f>
        <v>0.52581973889367251</v>
      </c>
    </row>
    <row r="99" spans="2:101">
      <c r="B99" s="2" t="s">
        <v>1242</v>
      </c>
      <c r="AV99" s="18">
        <f t="shared" ref="AV99:BP99" si="245">AV47/AVERAGE(AS74:AV74)</f>
        <v>1.8789473684210527</v>
      </c>
      <c r="AW99" s="18">
        <f t="shared" si="245"/>
        <v>1.7422037422037422</v>
      </c>
      <c r="AX99" s="18">
        <f t="shared" si="245"/>
        <v>1.8424242424242425</v>
      </c>
      <c r="AY99" s="18">
        <f t="shared" si="245"/>
        <v>2.0588947156111335</v>
      </c>
      <c r="AZ99" s="18">
        <f t="shared" si="245"/>
        <v>2.8001812415043044</v>
      </c>
      <c r="BA99" s="18">
        <f t="shared" si="245"/>
        <v>2.747859181731684</v>
      </c>
      <c r="BB99" s="18">
        <f t="shared" si="245"/>
        <v>2.8622472966619652</v>
      </c>
      <c r="BC99" s="18">
        <f t="shared" si="245"/>
        <v>2.7625113739763423</v>
      </c>
      <c r="BD99" s="18">
        <f t="shared" si="245"/>
        <v>2.7925801011804383</v>
      </c>
      <c r="BE99" s="18">
        <f t="shared" si="245"/>
        <v>2.4925192074403557</v>
      </c>
      <c r="BF99" s="18">
        <f t="shared" si="245"/>
        <v>2.4559852670349906</v>
      </c>
      <c r="BG99" s="18">
        <f t="shared" si="245"/>
        <v>2.2778523489932887</v>
      </c>
      <c r="BH99" s="18">
        <f t="shared" si="245"/>
        <v>2.5326892109500805</v>
      </c>
      <c r="BI99" s="18">
        <f t="shared" si="245"/>
        <v>2.1514041514041513</v>
      </c>
      <c r="BJ99" s="18">
        <f t="shared" si="245"/>
        <v>2.2060164083865086</v>
      </c>
      <c r="BK99" s="18">
        <f t="shared" si="245"/>
        <v>2.0563711098062245</v>
      </c>
      <c r="BL99" s="18">
        <f t="shared" si="245"/>
        <v>2.4303797468354431</v>
      </c>
      <c r="BM99" s="18">
        <f t="shared" si="245"/>
        <v>2.115171650055371</v>
      </c>
      <c r="BN99" s="18">
        <f t="shared" si="245"/>
        <v>2.1032765399737876</v>
      </c>
      <c r="BO99" s="18">
        <f t="shared" si="245"/>
        <v>2.066910611604809</v>
      </c>
      <c r="BP99" s="18">
        <f t="shared" si="245"/>
        <v>1.9833406400701448</v>
      </c>
      <c r="BQ99" s="18">
        <f>BQ47/AVERAGE(BN74:BQ74)</f>
        <v>1.6568416943197346</v>
      </c>
      <c r="CH99" s="26"/>
      <c r="CI99" s="26"/>
      <c r="CJ99" s="26"/>
      <c r="CK99" s="26"/>
      <c r="CL99" s="26"/>
      <c r="CM99" s="26"/>
      <c r="CN99" s="26"/>
      <c r="CO99" s="26"/>
      <c r="CP99" s="26"/>
      <c r="CQ99" s="26"/>
      <c r="CR99" s="18">
        <f>CR47/AVERAGE(CO73:CR73)</f>
        <v>1.5807434491163925</v>
      </c>
      <c r="CS99" s="18">
        <f t="shared" ref="CS99:CV99" si="246">CS47/AVERAGE(CP73:CS73)</f>
        <v>1.5625737898465171</v>
      </c>
      <c r="CT99" s="18">
        <f t="shared" si="246"/>
        <v>1.8255698711595638</v>
      </c>
      <c r="CU99" s="18">
        <f t="shared" si="246"/>
        <v>1.9512957046503372</v>
      </c>
      <c r="CV99" s="18">
        <f t="shared" si="246"/>
        <v>1.9020835996420811</v>
      </c>
      <c r="CW99" s="18">
        <f>CW47/AVERAGE(CT73:CW73)</f>
        <v>1.9272125723738627</v>
      </c>
    </row>
    <row r="100" spans="2:101">
      <c r="B100" s="2" t="s">
        <v>1243</v>
      </c>
      <c r="AV100" s="16">
        <f t="shared" ref="AV100" si="247">AV57/AV80</f>
        <v>2.4032883614545697E-2</v>
      </c>
      <c r="AW100" s="16">
        <f t="shared" ref="AW100:BP100" si="248">AW57/AW80</f>
        <v>1.6745923913043477E-2</v>
      </c>
      <c r="AX100" s="16">
        <f t="shared" si="248"/>
        <v>-2.6363434234348698E-3</v>
      </c>
      <c r="AY100" s="16">
        <f t="shared" si="248"/>
        <v>1.9234343058910985E-2</v>
      </c>
      <c r="AZ100" s="16">
        <f t="shared" si="248"/>
        <v>1.6545295659772793E-2</v>
      </c>
      <c r="BA100" s="16">
        <f t="shared" si="248"/>
        <v>9.0270512628904502E-3</v>
      </c>
      <c r="BB100" s="16">
        <f t="shared" si="248"/>
        <v>1.7567808178526916E-2</v>
      </c>
      <c r="BC100" s="16">
        <f t="shared" si="248"/>
        <v>1.2827646800410016E-2</v>
      </c>
      <c r="BD100" s="16">
        <f t="shared" si="248"/>
        <v>1.9115821085154919E-2</v>
      </c>
      <c r="BE100" s="16">
        <f t="shared" si="248"/>
        <v>8.9382073774801445E-3</v>
      </c>
      <c r="BF100" s="16">
        <f t="shared" si="248"/>
        <v>1.8206039076376555E-2</v>
      </c>
      <c r="BG100" s="16">
        <f t="shared" si="248"/>
        <v>2.2677375427285106E-2</v>
      </c>
      <c r="BH100" s="16">
        <f t="shared" si="248"/>
        <v>1.5264071141958572E-2</v>
      </c>
      <c r="BI100" s="16">
        <f t="shared" si="248"/>
        <v>1.6073852837360847E-2</v>
      </c>
      <c r="BJ100" s="16">
        <f t="shared" si="248"/>
        <v>1.9727872971744768E-2</v>
      </c>
      <c r="BK100" s="16">
        <f t="shared" si="248"/>
        <v>1.8190421113506126E-2</v>
      </c>
      <c r="BL100" s="16">
        <f t="shared" si="248"/>
        <v>2.8638003607937463E-2</v>
      </c>
      <c r="BM100" s="16">
        <f t="shared" si="248"/>
        <v>1.9998984823105425E-2</v>
      </c>
      <c r="BN100" s="16">
        <f t="shared" si="248"/>
        <v>2.1083567595195501E-2</v>
      </c>
      <c r="BO100" s="16">
        <f t="shared" si="248"/>
        <v>1.9026760659776879E-2</v>
      </c>
      <c r="BP100" s="16">
        <f t="shared" si="248"/>
        <v>1.2706243745782039E-2</v>
      </c>
      <c r="BQ100" s="16">
        <f>BQ57/BQ80</f>
        <v>1.421553710385602E-2</v>
      </c>
      <c r="CH100" s="26"/>
      <c r="CI100" s="26"/>
      <c r="CJ100" s="26"/>
      <c r="CK100" s="26"/>
      <c r="CL100" s="26"/>
      <c r="CM100" s="26"/>
      <c r="CN100" s="26"/>
      <c r="CO100" s="26"/>
      <c r="CP100" s="26"/>
      <c r="CQ100" s="26"/>
      <c r="CR100" s="16">
        <f t="shared" ref="CR100:CV100" si="249">CR57/CR80</f>
        <v>6.9048960784963698E-2</v>
      </c>
      <c r="CS100" s="16">
        <f t="shared" si="249"/>
        <v>4.6577337605592774E-2</v>
      </c>
      <c r="CT100" s="16">
        <f t="shared" si="249"/>
        <v>5.7578470156795937E-2</v>
      </c>
      <c r="CU100" s="16">
        <f t="shared" si="249"/>
        <v>6.3930159418718144E-2</v>
      </c>
      <c r="CV100" s="16">
        <f t="shared" si="249"/>
        <v>7.9299458809380635E-2</v>
      </c>
      <c r="CW100" s="16">
        <f>CW57/CW80</f>
        <v>6.9651625514882132E-2</v>
      </c>
    </row>
    <row r="101" spans="2:101" ht="15">
      <c r="B101" s="2" t="s">
        <v>1244</v>
      </c>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c r="AE101" s="27"/>
      <c r="AF101" s="27"/>
      <c r="AG101" s="27"/>
      <c r="AH101" s="27"/>
      <c r="AI101" s="27"/>
      <c r="AJ101" s="27"/>
      <c r="AK101" s="27"/>
      <c r="AL101" s="27"/>
      <c r="AM101" s="27"/>
      <c r="AN101" s="27"/>
      <c r="AO101" s="27"/>
      <c r="AP101" s="27"/>
      <c r="AQ101" s="27"/>
      <c r="AR101" s="27"/>
      <c r="AS101" s="27"/>
      <c r="AT101" s="27"/>
      <c r="AU101" s="27"/>
      <c r="AV101" s="16">
        <f t="shared" ref="AV101" si="250">AV57/AV92</f>
        <v>5.6609666588584365E-2</v>
      </c>
      <c r="AW101" s="16">
        <f t="shared" ref="AW101:BP101" si="251">AW57/AW92</f>
        <v>3.7590545177277924E-2</v>
      </c>
      <c r="AX101" s="16">
        <f t="shared" si="251"/>
        <v>-6.5077622706601846E-3</v>
      </c>
      <c r="AY101" s="16">
        <f t="shared" si="251"/>
        <v>4.7820730016941322E-2</v>
      </c>
      <c r="AZ101" s="16">
        <f t="shared" si="251"/>
        <v>4.3411800672577196E-2</v>
      </c>
      <c r="BA101" s="16">
        <f t="shared" si="251"/>
        <v>2.2367056732335949E-2</v>
      </c>
      <c r="BB101" s="16">
        <f t="shared" si="251"/>
        <v>4.283646888567294E-2</v>
      </c>
      <c r="BC101" s="16">
        <f t="shared" si="251"/>
        <v>3.0892932712653406E-2</v>
      </c>
      <c r="BD101" s="16">
        <f t="shared" si="251"/>
        <v>4.4498218726893864E-2</v>
      </c>
      <c r="BE101" s="16">
        <f t="shared" si="251"/>
        <v>2.1467499667685765E-2</v>
      </c>
      <c r="BF101" s="16">
        <f t="shared" si="251"/>
        <v>4.1852749776700268E-2</v>
      </c>
      <c r="BG101" s="16">
        <f t="shared" si="251"/>
        <v>4.9565692765595575E-2</v>
      </c>
      <c r="BH101" s="16">
        <f t="shared" si="251"/>
        <v>3.3883004333172845E-2</v>
      </c>
      <c r="BI101" s="16">
        <f t="shared" si="251"/>
        <v>3.5039952648712638E-2</v>
      </c>
      <c r="BJ101" s="16">
        <f t="shared" si="251"/>
        <v>4.2509072058061169E-2</v>
      </c>
      <c r="BK101" s="16">
        <f t="shared" si="251"/>
        <v>3.8648422228427813E-2</v>
      </c>
      <c r="BL101" s="16">
        <f t="shared" si="251"/>
        <v>6.1474748561286506E-2</v>
      </c>
      <c r="BM101" s="16">
        <f t="shared" si="251"/>
        <v>4.1101606509493009E-2</v>
      </c>
      <c r="BN101" s="16">
        <f t="shared" si="251"/>
        <v>4.1746786762473433E-2</v>
      </c>
      <c r="BO101" s="16">
        <f t="shared" si="251"/>
        <v>4.1391632339073899E-2</v>
      </c>
      <c r="BP101" s="16">
        <f t="shared" si="251"/>
        <v>2.6461180575748765E-2</v>
      </c>
      <c r="BQ101" s="16">
        <f>BQ57/BQ92</f>
        <v>3.1247013855709507E-2</v>
      </c>
      <c r="CR101" s="16">
        <f t="shared" ref="CR101:CW101" si="252">CR57/CR92</f>
        <v>0.1626454282814086</v>
      </c>
      <c r="CS101" s="16">
        <f t="shared" si="252"/>
        <v>0.1222103332314277</v>
      </c>
      <c r="CT101" s="16">
        <f t="shared" si="252"/>
        <v>0.13403239900517577</v>
      </c>
      <c r="CU101" s="16">
        <f t="shared" si="252"/>
        <v>0.14191141068849303</v>
      </c>
      <c r="CV101" s="16">
        <f t="shared" si="252"/>
        <v>0.17022535362770935</v>
      </c>
      <c r="CW101" s="16">
        <f t="shared" si="252"/>
        <v>0.14505185615973637</v>
      </c>
    </row>
    <row r="103" spans="2:101">
      <c r="B103" s="2" t="s">
        <v>19</v>
      </c>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c r="AC103" s="37"/>
      <c r="AD103" s="37"/>
      <c r="AE103" s="37"/>
      <c r="AF103" s="37"/>
      <c r="AG103" s="37"/>
      <c r="AH103" s="37"/>
      <c r="AI103" s="37"/>
      <c r="AJ103" s="37"/>
      <c r="AK103" s="37"/>
      <c r="AL103" s="37"/>
      <c r="AM103" s="37"/>
      <c r="AN103" s="37"/>
      <c r="AO103" s="37"/>
      <c r="AP103" s="37"/>
      <c r="AQ103" s="37"/>
      <c r="AR103" s="37"/>
      <c r="AS103" s="37"/>
      <c r="AT103" s="37"/>
      <c r="AU103" s="37"/>
      <c r="AV103" s="37"/>
      <c r="AW103" s="37">
        <f t="shared" ref="AW103:BN103" si="253">AW57</f>
        <v>493</v>
      </c>
      <c r="AX103" s="37">
        <f t="shared" si="253"/>
        <v>-83</v>
      </c>
      <c r="AY103" s="37">
        <f t="shared" si="253"/>
        <v>621</v>
      </c>
      <c r="AZ103" s="37">
        <f t="shared" si="253"/>
        <v>568</v>
      </c>
      <c r="BA103" s="37">
        <f t="shared" si="253"/>
        <v>302</v>
      </c>
      <c r="BB103" s="37">
        <f t="shared" si="253"/>
        <v>592</v>
      </c>
      <c r="BC103" s="37">
        <f t="shared" si="253"/>
        <v>438</v>
      </c>
      <c r="BD103" s="37">
        <f t="shared" si="253"/>
        <v>662</v>
      </c>
      <c r="BE103" s="37">
        <f t="shared" si="253"/>
        <v>323</v>
      </c>
      <c r="BF103" s="37">
        <f t="shared" si="253"/>
        <v>656</v>
      </c>
      <c r="BG103" s="37">
        <f t="shared" si="253"/>
        <v>816</v>
      </c>
      <c r="BH103" s="37">
        <f t="shared" si="253"/>
        <v>563</v>
      </c>
      <c r="BI103" s="37">
        <f t="shared" si="253"/>
        <v>592</v>
      </c>
      <c r="BJ103" s="37">
        <f t="shared" si="253"/>
        <v>738</v>
      </c>
      <c r="BK103" s="37">
        <f t="shared" si="253"/>
        <v>692</v>
      </c>
      <c r="BL103" s="37">
        <f t="shared" si="253"/>
        <v>1143</v>
      </c>
      <c r="BM103" s="37">
        <f t="shared" si="253"/>
        <v>788</v>
      </c>
      <c r="BN103" s="37">
        <f t="shared" si="253"/>
        <v>825</v>
      </c>
      <c r="BO103" s="37">
        <f t="shared" ref="BO103:BP103" si="254">BO57</f>
        <v>834</v>
      </c>
      <c r="BP103" s="37">
        <f t="shared" si="254"/>
        <v>546</v>
      </c>
      <c r="BQ103" s="37">
        <f>BQ57</f>
        <v>654</v>
      </c>
      <c r="CG103" s="37"/>
      <c r="CH103" s="37"/>
      <c r="CI103" s="37"/>
      <c r="CJ103" s="37"/>
      <c r="CK103" s="37"/>
      <c r="CL103" s="37"/>
      <c r="CM103" s="37"/>
      <c r="CN103" s="37">
        <f t="shared" ref="CN103:CQ103" si="255">CN57</f>
        <v>1439</v>
      </c>
      <c r="CO103" s="37">
        <f t="shared" si="255"/>
        <v>1647</v>
      </c>
      <c r="CP103" s="37">
        <f t="shared" si="255"/>
        <v>1020</v>
      </c>
      <c r="CQ103" s="37">
        <f t="shared" si="255"/>
        <v>3553</v>
      </c>
      <c r="CR103" s="37">
        <f>CR57</f>
        <v>2083</v>
      </c>
      <c r="CS103" s="2">
        <f t="shared" ref="CS103:CS105" si="256">SUM(AW103:AZ103)</f>
        <v>1599</v>
      </c>
      <c r="CT103" s="37">
        <f>SUM(BA103:BD103)</f>
        <v>1994</v>
      </c>
      <c r="CU103" s="2">
        <f t="shared" ref="CU103:CU105" si="257">SUM(BE103:BH103)</f>
        <v>2358</v>
      </c>
      <c r="CV103" s="2">
        <f t="shared" ref="CV103:CV105" si="258">SUM(BI103:BL103)</f>
        <v>3165</v>
      </c>
      <c r="CW103" s="2">
        <f>SUM(BM103:BP103)</f>
        <v>2993</v>
      </c>
    </row>
    <row r="104" spans="2:101">
      <c r="B104" s="2" t="s">
        <v>1231</v>
      </c>
      <c r="AW104" s="2">
        <v>591</v>
      </c>
      <c r="AX104" s="2">
        <f>1211-AW104</f>
        <v>620</v>
      </c>
      <c r="AY104" s="2">
        <f>2040-SUM(AW104:AX104)</f>
        <v>829</v>
      </c>
      <c r="AZ104" s="2">
        <f>3277-SUM(AW104:AY104)</f>
        <v>1237</v>
      </c>
      <c r="BA104" s="2">
        <v>452</v>
      </c>
      <c r="BB104" s="2">
        <f>1330-BA104</f>
        <v>878</v>
      </c>
      <c r="BC104" s="2">
        <f>2263-SUM(BA104:BB104)</f>
        <v>933</v>
      </c>
      <c r="BD104" s="2">
        <f>3263-SUM(BA104:BC104)</f>
        <v>1000</v>
      </c>
      <c r="BE104" s="2">
        <v>203</v>
      </c>
      <c r="BF104" s="2">
        <f>732-BE104</f>
        <v>529</v>
      </c>
      <c r="BG104" s="2">
        <f>1621-SUM(BE104:BF104)</f>
        <v>889</v>
      </c>
      <c r="BH104" s="2">
        <f>2624-SUM(BE104:BG104)</f>
        <v>1003</v>
      </c>
      <c r="BI104" s="2">
        <v>445</v>
      </c>
      <c r="BJ104" s="2">
        <f>1133-BI104</f>
        <v>688</v>
      </c>
      <c r="BK104" s="2">
        <f>2183-SUM(BI104:BJ104)</f>
        <v>1050</v>
      </c>
      <c r="BL104" s="2">
        <f>3711-SUM(BI104:BK104)</f>
        <v>1528</v>
      </c>
      <c r="BM104" s="2">
        <v>204</v>
      </c>
      <c r="BN104" s="2">
        <f>837-BM104</f>
        <v>633</v>
      </c>
      <c r="BO104" s="2">
        <f>2311-SUM(BM104:BN104)</f>
        <v>1474</v>
      </c>
      <c r="BP104" s="2">
        <f>4242-SUM(BM104:BO104)</f>
        <v>1931</v>
      </c>
      <c r="BQ104" s="2">
        <v>250</v>
      </c>
      <c r="CG104" s="37"/>
      <c r="CH104" s="37"/>
      <c r="CI104" s="37"/>
      <c r="CJ104" s="37"/>
      <c r="CK104" s="37"/>
      <c r="CL104" s="37"/>
      <c r="CM104" s="37"/>
      <c r="CN104" s="37">
        <v>981</v>
      </c>
      <c r="CO104" s="37">
        <v>1915</v>
      </c>
      <c r="CP104" s="37">
        <v>1559</v>
      </c>
      <c r="CQ104" s="37">
        <v>2610</v>
      </c>
      <c r="CR104" s="37">
        <v>2191</v>
      </c>
      <c r="CS104" s="2">
        <f t="shared" si="256"/>
        <v>3277</v>
      </c>
      <c r="CT104" s="2">
        <f>SUM(BA104:BD104)</f>
        <v>3263</v>
      </c>
      <c r="CU104" s="2">
        <f t="shared" si="257"/>
        <v>2624</v>
      </c>
      <c r="CV104" s="2">
        <f t="shared" si="258"/>
        <v>3711</v>
      </c>
      <c r="CW104" s="2">
        <f>SUM(BM104:BP104)</f>
        <v>4242</v>
      </c>
    </row>
    <row r="105" spans="2:101">
      <c r="B105" s="2" t="s">
        <v>1232</v>
      </c>
      <c r="AW105" s="2">
        <v>-144</v>
      </c>
      <c r="AX105" s="2">
        <f>253-AW105</f>
        <v>397</v>
      </c>
      <c r="AY105" s="2">
        <f>-322-SUM(AW105:AX105)</f>
        <v>-575</v>
      </c>
      <c r="AZ105" s="2">
        <f>-487-SUM(AW105:AY105)</f>
        <v>-165</v>
      </c>
      <c r="BA105" s="2">
        <v>-83</v>
      </c>
      <c r="BB105" s="2">
        <f>189-BA105</f>
        <v>272</v>
      </c>
      <c r="BC105" s="2">
        <f>-319-SUM(BA105:BB105)</f>
        <v>-508</v>
      </c>
      <c r="BD105" s="2">
        <f>-525-SUM(BA105:BC105)</f>
        <v>-206</v>
      </c>
      <c r="BE105" s="2">
        <v>-119</v>
      </c>
      <c r="BF105" s="2">
        <f>-262-BE105</f>
        <v>-143</v>
      </c>
      <c r="BG105" s="2">
        <f>-400-SUM(BE105:BF105)</f>
        <v>-138</v>
      </c>
      <c r="BH105" s="2">
        <f>-588-SUM(BE105:BG105)</f>
        <v>-188</v>
      </c>
      <c r="BI105" s="2">
        <v>-130</v>
      </c>
      <c r="BJ105" s="2">
        <f>-282-BI105</f>
        <v>-152</v>
      </c>
      <c r="BK105" s="2">
        <f>-430-SUM(BI105:BJ105)</f>
        <v>-148</v>
      </c>
      <c r="BL105" s="2">
        <f>-575-SUM(BI105:BK105)</f>
        <v>-145</v>
      </c>
      <c r="BM105" s="2">
        <v>-167</v>
      </c>
      <c r="BN105" s="2">
        <f>-319-BM105</f>
        <v>-152</v>
      </c>
      <c r="BO105" s="2">
        <f>-489-SUM(BM105:BN105)</f>
        <v>-170</v>
      </c>
      <c r="BP105" s="2">
        <f>-755-SUM(BM105:BO105)</f>
        <v>-266</v>
      </c>
      <c r="BQ105" s="2">
        <v>-123</v>
      </c>
      <c r="CG105" s="37"/>
      <c r="CH105" s="37"/>
      <c r="CI105" s="37"/>
      <c r="CJ105" s="37"/>
      <c r="CK105" s="37"/>
      <c r="CL105" s="37"/>
      <c r="CM105" s="37"/>
      <c r="CN105" s="37">
        <v>-270</v>
      </c>
      <c r="CO105" s="37">
        <v>-490</v>
      </c>
      <c r="CP105" s="37">
        <v>-598</v>
      </c>
      <c r="CQ105" s="37">
        <v>-572</v>
      </c>
      <c r="CR105" s="37">
        <v>-649</v>
      </c>
      <c r="CS105" s="37">
        <f t="shared" si="256"/>
        <v>-487</v>
      </c>
      <c r="CT105" s="2">
        <f>SUM(BA105:BD105)</f>
        <v>-525</v>
      </c>
      <c r="CU105" s="2">
        <f t="shared" si="257"/>
        <v>-588</v>
      </c>
      <c r="CV105" s="2">
        <f t="shared" si="258"/>
        <v>-575</v>
      </c>
      <c r="CW105" s="2">
        <f>SUM(BM105:BP105)</f>
        <v>-755</v>
      </c>
    </row>
    <row r="106" spans="2:101">
      <c r="B106" s="2" t="s">
        <v>1233</v>
      </c>
      <c r="AW106" s="2">
        <f t="shared" ref="AW106:BP106" si="259">AW104+AW105</f>
        <v>447</v>
      </c>
      <c r="AX106" s="2">
        <f t="shared" si="259"/>
        <v>1017</v>
      </c>
      <c r="AY106" s="2">
        <f t="shared" si="259"/>
        <v>254</v>
      </c>
      <c r="AZ106" s="2">
        <f t="shared" si="259"/>
        <v>1072</v>
      </c>
      <c r="BA106" s="2">
        <f t="shared" si="259"/>
        <v>369</v>
      </c>
      <c r="BB106" s="2">
        <f t="shared" si="259"/>
        <v>1150</v>
      </c>
      <c r="BC106" s="2">
        <f t="shared" si="259"/>
        <v>425</v>
      </c>
      <c r="BD106" s="2">
        <f t="shared" si="259"/>
        <v>794</v>
      </c>
      <c r="BE106" s="2">
        <f t="shared" si="259"/>
        <v>84</v>
      </c>
      <c r="BF106" s="2">
        <f t="shared" si="259"/>
        <v>386</v>
      </c>
      <c r="BG106" s="2">
        <f t="shared" si="259"/>
        <v>751</v>
      </c>
      <c r="BH106" s="2">
        <f t="shared" si="259"/>
        <v>815</v>
      </c>
      <c r="BI106" s="2">
        <f t="shared" si="259"/>
        <v>315</v>
      </c>
      <c r="BJ106" s="2">
        <f t="shared" si="259"/>
        <v>536</v>
      </c>
      <c r="BK106" s="2">
        <f t="shared" si="259"/>
        <v>902</v>
      </c>
      <c r="BL106" s="2">
        <f t="shared" si="259"/>
        <v>1383</v>
      </c>
      <c r="BM106" s="2">
        <f t="shared" si="259"/>
        <v>37</v>
      </c>
      <c r="BN106" s="2">
        <f t="shared" si="259"/>
        <v>481</v>
      </c>
      <c r="BO106" s="2">
        <f t="shared" si="259"/>
        <v>1304</v>
      </c>
      <c r="BP106" s="2">
        <f t="shared" si="259"/>
        <v>1665</v>
      </c>
      <c r="BQ106" s="2">
        <f>BQ104+BQ105</f>
        <v>127</v>
      </c>
      <c r="CG106" s="37"/>
      <c r="CH106" s="37"/>
      <c r="CI106" s="37"/>
      <c r="CJ106" s="37"/>
      <c r="CK106" s="37"/>
      <c r="CL106" s="37"/>
      <c r="CN106" s="2">
        <f t="shared" ref="CN106:CR106" si="260">CN104+CN105</f>
        <v>711</v>
      </c>
      <c r="CO106" s="2">
        <f t="shared" si="260"/>
        <v>1425</v>
      </c>
      <c r="CP106" s="2">
        <f t="shared" si="260"/>
        <v>961</v>
      </c>
      <c r="CQ106" s="2">
        <f t="shared" si="260"/>
        <v>2038</v>
      </c>
      <c r="CR106" s="2">
        <f t="shared" si="260"/>
        <v>1542</v>
      </c>
      <c r="CS106" s="2">
        <f>CS104+CS105</f>
        <v>2790</v>
      </c>
      <c r="CT106" s="2">
        <f>CT104+CT105</f>
        <v>2738</v>
      </c>
      <c r="CU106" s="2">
        <f>CU104+CU105</f>
        <v>2036</v>
      </c>
      <c r="CV106" s="2">
        <f>CV104+CV105</f>
        <v>3136</v>
      </c>
      <c r="CW106" s="2">
        <f>CW104+CW105</f>
        <v>3487</v>
      </c>
    </row>
    <row r="107" spans="2:101">
      <c r="B107" s="2" t="s">
        <v>1208</v>
      </c>
      <c r="AW107" s="37">
        <f t="shared" ref="AW107:BQ107" si="261">AW58</f>
        <v>374.8</v>
      </c>
      <c r="AX107" s="37">
        <f t="shared" si="261"/>
        <v>375.5</v>
      </c>
      <c r="AY107" s="37">
        <f t="shared" si="261"/>
        <v>375.7</v>
      </c>
      <c r="AZ107" s="37">
        <f t="shared" si="261"/>
        <v>375.9</v>
      </c>
      <c r="BA107" s="37">
        <f t="shared" si="261"/>
        <v>376.3</v>
      </c>
      <c r="BB107" s="37">
        <f t="shared" si="261"/>
        <v>376.9</v>
      </c>
      <c r="BC107" s="37">
        <f t="shared" si="261"/>
        <v>377.1</v>
      </c>
      <c r="BD107" s="37">
        <f t="shared" si="261"/>
        <v>377.1</v>
      </c>
      <c r="BE107" s="37">
        <f t="shared" si="261"/>
        <v>377.7</v>
      </c>
      <c r="BF107" s="37">
        <f t="shared" si="261"/>
        <v>378.3</v>
      </c>
      <c r="BG107" s="37">
        <f t="shared" si="261"/>
        <v>378.4</v>
      </c>
      <c r="BH107" s="37">
        <f t="shared" si="261"/>
        <v>379</v>
      </c>
      <c r="BI107" s="37">
        <f t="shared" si="261"/>
        <v>379</v>
      </c>
      <c r="BJ107" s="37">
        <f t="shared" si="261"/>
        <v>379.5</v>
      </c>
      <c r="BK107" s="37">
        <f t="shared" si="261"/>
        <v>379.8</v>
      </c>
      <c r="BL107" s="37">
        <f t="shared" si="261"/>
        <v>380.2</v>
      </c>
      <c r="BM107" s="37">
        <f t="shared" si="261"/>
        <v>380.4</v>
      </c>
      <c r="BN107" s="37">
        <f t="shared" si="261"/>
        <v>381</v>
      </c>
      <c r="BO107" s="37">
        <f t="shared" si="261"/>
        <v>382</v>
      </c>
      <c r="BP107" s="37">
        <f t="shared" si="261"/>
        <v>382</v>
      </c>
      <c r="BQ107" s="37">
        <f t="shared" si="261"/>
        <v>381.7</v>
      </c>
      <c r="CG107" s="37"/>
      <c r="CH107" s="37"/>
      <c r="CI107" s="37"/>
      <c r="CJ107" s="37"/>
      <c r="CK107" s="37"/>
      <c r="CL107" s="37"/>
      <c r="CM107" s="37"/>
      <c r="CN107" s="37">
        <f t="shared" ref="CN107:CR107" si="262">CN58</f>
        <v>376.6</v>
      </c>
      <c r="CO107" s="37">
        <f t="shared" si="262"/>
        <v>374.1</v>
      </c>
      <c r="CP107" s="37">
        <f t="shared" si="262"/>
        <v>374</v>
      </c>
      <c r="CQ107" s="37">
        <f t="shared" si="262"/>
        <v>374.1</v>
      </c>
      <c r="CR107" s="37">
        <f t="shared" si="262"/>
        <v>374</v>
      </c>
      <c r="CS107" s="37">
        <f>CS58</f>
        <v>375.47500000000002</v>
      </c>
      <c r="CT107" s="37">
        <f>CT58</f>
        <v>376.85</v>
      </c>
      <c r="CU107" s="37">
        <f>CU58</f>
        <v>378.35</v>
      </c>
      <c r="CV107" s="37">
        <f>CV58</f>
        <v>379.625</v>
      </c>
      <c r="CW107" s="37">
        <f>CW58</f>
        <v>381.35</v>
      </c>
    </row>
    <row r="108" spans="2:101">
      <c r="B108" s="2" t="s">
        <v>1234</v>
      </c>
      <c r="AW108" s="18">
        <f t="shared" ref="AW108:BP108" si="263">AW106/AW107</f>
        <v>1.1926360725720384</v>
      </c>
      <c r="AX108" s="18">
        <f t="shared" si="263"/>
        <v>2.7083888149134485</v>
      </c>
      <c r="AY108" s="18">
        <f t="shared" si="263"/>
        <v>0.67607133351077986</v>
      </c>
      <c r="AZ108" s="18">
        <f t="shared" si="263"/>
        <v>2.8518222931630755</v>
      </c>
      <c r="BA108" s="18">
        <f t="shared" si="263"/>
        <v>0.98060058463991495</v>
      </c>
      <c r="BB108" s="18">
        <f t="shared" si="263"/>
        <v>3.0512072167683737</v>
      </c>
      <c r="BC108" s="18">
        <f t="shared" si="263"/>
        <v>1.1270220100769026</v>
      </c>
      <c r="BD108" s="18">
        <f t="shared" si="263"/>
        <v>2.1055422964730841</v>
      </c>
      <c r="BE108" s="18">
        <f t="shared" si="263"/>
        <v>0.22239872915011916</v>
      </c>
      <c r="BF108" s="18">
        <f t="shared" si="263"/>
        <v>1.0203542162305048</v>
      </c>
      <c r="BG108" s="18">
        <f t="shared" si="263"/>
        <v>1.9846723044397465</v>
      </c>
      <c r="BH108" s="18">
        <f t="shared" si="263"/>
        <v>2.1503957783641159</v>
      </c>
      <c r="BI108" s="18">
        <f t="shared" si="263"/>
        <v>0.83113456464379942</v>
      </c>
      <c r="BJ108" s="18">
        <f t="shared" si="263"/>
        <v>1.4123847167325427</v>
      </c>
      <c r="BK108" s="18">
        <f t="shared" si="263"/>
        <v>2.3749341758820433</v>
      </c>
      <c r="BL108" s="18">
        <f t="shared" si="263"/>
        <v>3.6375591793792741</v>
      </c>
      <c r="BM108" s="18">
        <f t="shared" si="263"/>
        <v>9.7266035751840174E-2</v>
      </c>
      <c r="BN108" s="18">
        <f t="shared" si="263"/>
        <v>1.2624671916010499</v>
      </c>
      <c r="BO108" s="18">
        <f t="shared" si="263"/>
        <v>3.413612565445026</v>
      </c>
      <c r="BP108" s="18">
        <f t="shared" si="263"/>
        <v>4.3586387434554972</v>
      </c>
      <c r="BQ108" s="18">
        <f>BQ106/BQ107</f>
        <v>0.33272203301021747</v>
      </c>
      <c r="CM108" s="18"/>
      <c r="CN108" s="18">
        <f t="shared" ref="CN108:CR108" si="264">CN106/CN107</f>
        <v>1.887944768985661</v>
      </c>
      <c r="CO108" s="18">
        <f t="shared" si="264"/>
        <v>3.8091419406575779</v>
      </c>
      <c r="CP108" s="18">
        <f t="shared" si="264"/>
        <v>2.5695187165775399</v>
      </c>
      <c r="CQ108" s="18">
        <f t="shared" si="264"/>
        <v>5.4477412456562417</v>
      </c>
      <c r="CR108" s="18">
        <f t="shared" si="264"/>
        <v>4.1229946524064172</v>
      </c>
      <c r="CS108" s="18">
        <f>CS106/CS107</f>
        <v>7.4305879219655102</v>
      </c>
      <c r="CT108" s="18">
        <f>CT106/CT107</f>
        <v>7.2654902481093266</v>
      </c>
      <c r="CU108" s="18">
        <f>CU106/CU107</f>
        <v>5.3812607374124486</v>
      </c>
      <c r="CV108" s="18">
        <f>CV106/CV107</f>
        <v>8.2607836680935129</v>
      </c>
      <c r="CW108" s="18">
        <f>CW106/CW107</f>
        <v>9.1438311262619631</v>
      </c>
    </row>
  </sheetData>
  <pageMargins left="0.7" right="0.7" top="0.75" bottom="0.75" header="0.3" footer="0.3"/>
  <ignoredErrors>
    <ignoredError sqref="CV48:CW57 CS9 BD9 CX9:DG9" formula="1"/>
    <ignoredError sqref="AV95:BQ101 AZ47:AZ56 CH46:CU47 CS59:CU59" formulaRange="1"/>
    <ignoredError sqref="CH48:CU57 CV58:CW58 CH58:CM58 CS58:CU58" formula="1" formulaRange="1"/>
  </ignoredErrors>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4CFE4-27B0-47D1-98A8-2BD6EC88FF38}">
  <dimension ref="A1:GG1192"/>
  <sheetViews>
    <sheetView topLeftCell="H1" zoomScale="70" zoomScaleNormal="70" workbookViewId="0">
      <selection activeCell="T219" sqref="T219"/>
    </sheetView>
  </sheetViews>
  <sheetFormatPr defaultColWidth="9.140625" defaultRowHeight="14.25"/>
  <cols>
    <col min="1" max="7" width="9.140625" style="2" hidden="1" customWidth="1"/>
    <col min="8" max="8" width="3.28515625" style="2" customWidth="1"/>
    <col min="9" max="32" width="9.140625" style="2"/>
    <col min="33" max="33" width="3" style="2" customWidth="1"/>
    <col min="34" max="55" width="9.140625" style="2"/>
    <col min="56" max="56" width="9.28515625" style="2" customWidth="1"/>
    <col min="57" max="61" width="9.140625" style="2"/>
    <col min="62" max="62" width="3.28515625" style="2" customWidth="1"/>
    <col min="63" max="16384" width="9.140625" style="2"/>
  </cols>
  <sheetData>
    <row r="1" spans="8:189">
      <c r="CF1" s="2">
        <v>0</v>
      </c>
      <c r="GG1" s="2">
        <v>0</v>
      </c>
    </row>
    <row r="2" spans="8:189" ht="15">
      <c r="H2" s="1" t="s">
        <v>1615</v>
      </c>
      <c r="N2" s="4" t="s">
        <v>1618</v>
      </c>
      <c r="AH2" s="1" t="s">
        <v>1277</v>
      </c>
    </row>
    <row r="3" spans="8:189">
      <c r="AH3" s="2" t="s">
        <v>1426</v>
      </c>
    </row>
    <row r="5" spans="8:189">
      <c r="AH5" s="2" t="s">
        <v>1489</v>
      </c>
    </row>
    <row r="6" spans="8:189">
      <c r="AI6" s="2" t="s">
        <v>1490</v>
      </c>
    </row>
    <row r="7" spans="8:189">
      <c r="AI7" s="2" t="s">
        <v>1491</v>
      </c>
    </row>
    <row r="8" spans="8:189">
      <c r="AI8" s="2" t="s">
        <v>1559</v>
      </c>
    </row>
    <row r="9" spans="8:189" ht="15">
      <c r="AH9" s="1" t="s">
        <v>1492</v>
      </c>
    </row>
    <row r="34" spans="8:34" ht="15">
      <c r="H34" s="1" t="s">
        <v>12</v>
      </c>
    </row>
    <row r="36" spans="8:34" ht="15">
      <c r="AH36" s="1" t="s">
        <v>1253</v>
      </c>
    </row>
    <row r="37" spans="8:34" ht="15">
      <c r="AH37" s="1" t="s">
        <v>1254</v>
      </c>
    </row>
    <row r="66" spans="8:94" ht="15">
      <c r="AH66" s="1" t="s">
        <v>1510</v>
      </c>
    </row>
    <row r="67" spans="8:94" ht="15">
      <c r="H67" s="1" t="s">
        <v>13</v>
      </c>
      <c r="O67" s="1" t="s">
        <v>1487</v>
      </c>
    </row>
    <row r="68" spans="8:94" ht="15">
      <c r="I68" s="2" t="s">
        <v>1488</v>
      </c>
      <c r="AH68" s="1" t="s">
        <v>1603</v>
      </c>
    </row>
    <row r="69" spans="8:94">
      <c r="J69" s="2" t="s">
        <v>1533</v>
      </c>
      <c r="AI69" s="2" t="s">
        <v>1604</v>
      </c>
    </row>
    <row r="70" spans="8:94">
      <c r="J70" s="2" t="s">
        <v>1517</v>
      </c>
      <c r="AI70" s="2" t="s">
        <v>1605</v>
      </c>
    </row>
    <row r="71" spans="8:94" ht="15">
      <c r="I71" s="2" t="s">
        <v>9</v>
      </c>
      <c r="AH71" s="1" t="s">
        <v>1606</v>
      </c>
    </row>
    <row r="72" spans="8:94" ht="15">
      <c r="J72" s="2" t="s">
        <v>1535</v>
      </c>
      <c r="AI72" s="2" t="s">
        <v>1607</v>
      </c>
      <c r="BK72" s="65"/>
      <c r="BN72" s="63" t="s">
        <v>1508</v>
      </c>
      <c r="BO72" s="64" t="s">
        <v>1507</v>
      </c>
    </row>
    <row r="73" spans="8:94" ht="15">
      <c r="J73" s="2" t="s">
        <v>1518</v>
      </c>
      <c r="AI73" s="2" t="s">
        <v>1608</v>
      </c>
      <c r="BK73" s="2" t="s">
        <v>1386</v>
      </c>
      <c r="CN73" s="2" t="s">
        <v>1389</v>
      </c>
    </row>
    <row r="74" spans="8:94">
      <c r="J74" s="2" t="s">
        <v>1536</v>
      </c>
      <c r="AI74" s="2" t="s">
        <v>1609</v>
      </c>
    </row>
    <row r="75" spans="8:94">
      <c r="J75" s="2" t="s">
        <v>1537</v>
      </c>
      <c r="BL75" s="2" t="s">
        <v>1387</v>
      </c>
      <c r="CO75" s="2" t="s">
        <v>1390</v>
      </c>
    </row>
    <row r="76" spans="8:94">
      <c r="J76" s="2" t="s">
        <v>1538</v>
      </c>
      <c r="BM76" s="2" t="s">
        <v>1388</v>
      </c>
      <c r="CP76" s="2" t="s">
        <v>1391</v>
      </c>
    </row>
    <row r="77" spans="8:94" ht="15">
      <c r="J77" s="2" t="s">
        <v>1539</v>
      </c>
      <c r="BK77" s="1" t="s">
        <v>1411</v>
      </c>
    </row>
    <row r="78" spans="8:94">
      <c r="J78" s="2" t="s">
        <v>1519</v>
      </c>
      <c r="BK78" s="2" t="s">
        <v>1392</v>
      </c>
      <c r="CN78" s="2" t="s">
        <v>1395</v>
      </c>
    </row>
    <row r="79" spans="8:94" ht="15">
      <c r="J79" s="1" t="s">
        <v>1520</v>
      </c>
      <c r="BL79" s="2" t="s">
        <v>1393</v>
      </c>
      <c r="CO79" s="2" t="s">
        <v>1396</v>
      </c>
    </row>
    <row r="80" spans="8:94" ht="15">
      <c r="J80" s="1" t="s">
        <v>1511</v>
      </c>
      <c r="BM80" s="2" t="s">
        <v>1394</v>
      </c>
      <c r="CP80" s="2" t="s">
        <v>1394</v>
      </c>
    </row>
    <row r="81" spans="9:94" ht="15">
      <c r="I81" s="2" t="s">
        <v>10</v>
      </c>
      <c r="BK81" s="1" t="s">
        <v>1410</v>
      </c>
    </row>
    <row r="82" spans="9:94" ht="15">
      <c r="J82" s="1" t="s">
        <v>1512</v>
      </c>
      <c r="BK82" s="2" t="s">
        <v>1399</v>
      </c>
      <c r="CN82" s="2" t="s">
        <v>1402</v>
      </c>
    </row>
    <row r="83" spans="9:94">
      <c r="J83" s="2" t="s">
        <v>1540</v>
      </c>
      <c r="BL83" s="2" t="s">
        <v>1400</v>
      </c>
      <c r="CO83" s="2" t="s">
        <v>1403</v>
      </c>
    </row>
    <row r="84" spans="9:94">
      <c r="J84" s="2" t="s">
        <v>1513</v>
      </c>
      <c r="BM84" s="2" t="s">
        <v>1401</v>
      </c>
      <c r="CP84" s="2" t="s">
        <v>1404</v>
      </c>
    </row>
    <row r="85" spans="9:94" ht="15">
      <c r="J85" s="2" t="s">
        <v>1521</v>
      </c>
      <c r="AH85" s="2" t="s">
        <v>1532</v>
      </c>
      <c r="BK85" s="1" t="s">
        <v>1409</v>
      </c>
    </row>
    <row r="86" spans="9:94">
      <c r="J86" s="2" t="s">
        <v>1514</v>
      </c>
      <c r="BK86" s="2" t="s">
        <v>1405</v>
      </c>
      <c r="CN86" s="2" t="s">
        <v>1407</v>
      </c>
    </row>
    <row r="87" spans="9:94">
      <c r="J87" s="2" t="s">
        <v>1515</v>
      </c>
      <c r="BL87" s="2" t="s">
        <v>1406</v>
      </c>
    </row>
    <row r="88" spans="9:94">
      <c r="J88" s="2" t="s">
        <v>1493</v>
      </c>
      <c r="BK88" s="2" t="s">
        <v>1427</v>
      </c>
    </row>
    <row r="89" spans="9:94">
      <c r="J89" s="2" t="s">
        <v>1526</v>
      </c>
      <c r="BL89" s="2" t="s">
        <v>1408</v>
      </c>
    </row>
    <row r="90" spans="9:94" ht="15">
      <c r="J90" s="2" t="s">
        <v>1546</v>
      </c>
      <c r="BK90" s="1" t="s">
        <v>1378</v>
      </c>
    </row>
    <row r="91" spans="9:94" ht="15">
      <c r="J91" s="2" t="s">
        <v>1547</v>
      </c>
      <c r="BK91" s="2" t="s">
        <v>1385</v>
      </c>
    </row>
    <row r="92" spans="9:94">
      <c r="J92" s="2" t="s">
        <v>1545</v>
      </c>
      <c r="BK92" s="2" t="s">
        <v>1380</v>
      </c>
    </row>
    <row r="93" spans="9:94">
      <c r="J93" s="2" t="s">
        <v>1522</v>
      </c>
      <c r="BL93" s="2" t="s">
        <v>1562</v>
      </c>
    </row>
    <row r="94" spans="9:94" ht="15">
      <c r="J94" s="2" t="s">
        <v>1523</v>
      </c>
      <c r="BK94" s="1" t="s">
        <v>1384</v>
      </c>
    </row>
    <row r="95" spans="9:94" ht="15">
      <c r="J95" s="2" t="s">
        <v>1516</v>
      </c>
      <c r="BK95" s="2" t="s">
        <v>1382</v>
      </c>
    </row>
    <row r="96" spans="9:94">
      <c r="J96" s="2" t="s">
        <v>1524</v>
      </c>
      <c r="BK96" s="2" t="s">
        <v>1428</v>
      </c>
    </row>
    <row r="97" spans="9:65">
      <c r="I97" s="2" t="s">
        <v>11</v>
      </c>
      <c r="BL97" s="2" t="s">
        <v>1429</v>
      </c>
    </row>
    <row r="98" spans="9:65" ht="15">
      <c r="J98" s="2" t="s">
        <v>1548</v>
      </c>
      <c r="BK98" s="1" t="s">
        <v>1412</v>
      </c>
    </row>
    <row r="99" spans="9:65" ht="15">
      <c r="J99" s="1" t="s">
        <v>1525</v>
      </c>
      <c r="BK99" s="2" t="s">
        <v>1413</v>
      </c>
    </row>
    <row r="100" spans="9:65">
      <c r="J100" s="2" t="s">
        <v>91</v>
      </c>
      <c r="BL100" s="2" t="s">
        <v>1414</v>
      </c>
    </row>
    <row r="101" spans="9:65" ht="15">
      <c r="J101" s="1" t="s">
        <v>1602</v>
      </c>
      <c r="BK101" s="1" t="s">
        <v>1415</v>
      </c>
    </row>
    <row r="102" spans="9:65">
      <c r="J102" s="2" t="s">
        <v>92</v>
      </c>
      <c r="BK102" s="2" t="s">
        <v>1430</v>
      </c>
    </row>
    <row r="103" spans="9:65">
      <c r="J103" s="2" t="s">
        <v>1560</v>
      </c>
      <c r="BK103" s="2" t="s">
        <v>1431</v>
      </c>
    </row>
    <row r="104" spans="9:65">
      <c r="J104" s="2" t="s">
        <v>1541</v>
      </c>
      <c r="BK104" s="2" t="s">
        <v>1432</v>
      </c>
    </row>
    <row r="105" spans="9:65" ht="15">
      <c r="J105" s="2" t="s">
        <v>1529</v>
      </c>
      <c r="BK105" s="1" t="s">
        <v>22</v>
      </c>
    </row>
    <row r="106" spans="9:65">
      <c r="J106" s="2" t="s">
        <v>1549</v>
      </c>
      <c r="BK106" s="2" t="s">
        <v>1418</v>
      </c>
    </row>
    <row r="107" spans="9:65">
      <c r="J107" s="2" t="s">
        <v>1527</v>
      </c>
      <c r="BL107" s="2" t="s">
        <v>1419</v>
      </c>
    </row>
    <row r="108" spans="9:65">
      <c r="J108" s="2" t="s">
        <v>1528</v>
      </c>
      <c r="BM108" s="2" t="s">
        <v>1420</v>
      </c>
    </row>
    <row r="109" spans="9:65">
      <c r="J109" s="2" t="s">
        <v>1542</v>
      </c>
      <c r="BM109" s="2" t="s">
        <v>1421</v>
      </c>
    </row>
    <row r="110" spans="9:65" ht="15">
      <c r="I110" s="4" t="s">
        <v>1383</v>
      </c>
      <c r="J110" s="1" t="s">
        <v>93</v>
      </c>
      <c r="BM110" s="2" t="s">
        <v>1422</v>
      </c>
    </row>
    <row r="111" spans="9:65" ht="15">
      <c r="I111" s="4"/>
      <c r="J111" s="1"/>
      <c r="K111" s="2" t="s">
        <v>1534</v>
      </c>
      <c r="BM111" s="2" t="s">
        <v>1423</v>
      </c>
    </row>
    <row r="112" spans="9:65" ht="15">
      <c r="I112" s="4"/>
      <c r="J112" s="1"/>
      <c r="V112" s="2" t="s">
        <v>1530</v>
      </c>
      <c r="BK112" s="2" t="s">
        <v>1424</v>
      </c>
    </row>
    <row r="113" spans="8:64" ht="15">
      <c r="I113" s="4"/>
      <c r="J113" s="1"/>
      <c r="V113" s="2" t="s">
        <v>1531</v>
      </c>
      <c r="BK113" s="2" t="s">
        <v>1425</v>
      </c>
    </row>
    <row r="114" spans="8:64" ht="15">
      <c r="I114" s="4"/>
      <c r="J114" s="1"/>
      <c r="V114" s="2" t="s">
        <v>1561</v>
      </c>
      <c r="BL114" s="2" t="s">
        <v>1563</v>
      </c>
    </row>
    <row r="115" spans="8:64" ht="15">
      <c r="I115" s="4"/>
      <c r="J115" s="1"/>
      <c r="BK115" s="1" t="s">
        <v>1497</v>
      </c>
    </row>
    <row r="116" spans="8:64" ht="15">
      <c r="I116" s="4"/>
      <c r="J116" s="1"/>
      <c r="BK116" s="2" t="s">
        <v>1498</v>
      </c>
    </row>
    <row r="117" spans="8:64">
      <c r="BK117" s="2" t="s">
        <v>1499</v>
      </c>
    </row>
    <row r="118" spans="8:64" ht="15">
      <c r="H118" s="1" t="s">
        <v>1245</v>
      </c>
      <c r="BK118" s="1" t="s">
        <v>20</v>
      </c>
    </row>
    <row r="119" spans="8:64">
      <c r="BK119" s="2" t="s">
        <v>1500</v>
      </c>
    </row>
    <row r="120" spans="8:64">
      <c r="BL120" s="2" t="s">
        <v>1501</v>
      </c>
    </row>
    <row r="121" spans="8:64">
      <c r="BK121" s="2" t="s">
        <v>1502</v>
      </c>
    </row>
    <row r="122" spans="8:64">
      <c r="BK122" s="2" t="s">
        <v>1565</v>
      </c>
    </row>
    <row r="123" spans="8:64">
      <c r="BL123" s="2" t="s">
        <v>1503</v>
      </c>
    </row>
    <row r="124" spans="8:64">
      <c r="BK124" s="2" t="s">
        <v>1504</v>
      </c>
    </row>
    <row r="125" spans="8:64">
      <c r="BL125" s="2" t="s">
        <v>1505</v>
      </c>
    </row>
    <row r="126" spans="8:64">
      <c r="BL126" s="2" t="s">
        <v>1506</v>
      </c>
    </row>
    <row r="127" spans="8:64" ht="15">
      <c r="AH127" s="1" t="s">
        <v>1255</v>
      </c>
    </row>
    <row r="151" spans="8:35">
      <c r="I151" s="2" t="s">
        <v>1397</v>
      </c>
    </row>
    <row r="152" spans="8:35">
      <c r="J152" s="2" t="s">
        <v>1398</v>
      </c>
    </row>
    <row r="153" spans="8:35" ht="15">
      <c r="J153" s="2" t="s">
        <v>1564</v>
      </c>
      <c r="AH153" s="1" t="s">
        <v>1416</v>
      </c>
    </row>
    <row r="154" spans="8:35">
      <c r="AI154" s="2" t="s">
        <v>1417</v>
      </c>
    </row>
    <row r="155" spans="8:35" ht="15">
      <c r="H155" s="1" t="s">
        <v>94</v>
      </c>
    </row>
    <row r="165" spans="1:7">
      <c r="A165" s="2" t="s">
        <v>1127</v>
      </c>
    </row>
    <row r="166" spans="1:7">
      <c r="A166" s="7" t="s">
        <v>1126</v>
      </c>
      <c r="B166" s="7" t="s">
        <v>1125</v>
      </c>
      <c r="C166" s="7" t="s">
        <v>1124</v>
      </c>
      <c r="D166" s="7" t="s">
        <v>1123</v>
      </c>
      <c r="E166" s="7" t="s">
        <v>1122</v>
      </c>
      <c r="F166" s="7" t="s">
        <v>1121</v>
      </c>
      <c r="G166" s="7" t="s">
        <v>1129</v>
      </c>
    </row>
    <row r="167" spans="1:7">
      <c r="A167" s="5">
        <v>378.22</v>
      </c>
      <c r="B167" s="5">
        <v>379.33</v>
      </c>
      <c r="C167" s="5">
        <v>363.08</v>
      </c>
      <c r="D167" s="5">
        <v>373.89</v>
      </c>
      <c r="E167" s="5">
        <v>3708728</v>
      </c>
      <c r="F167" s="5" t="s">
        <v>1120</v>
      </c>
      <c r="G167" s="9">
        <f t="shared" ref="G167:G230" si="0">A167/D167-1</f>
        <v>1.1580946267618852E-2</v>
      </c>
    </row>
    <row r="168" spans="1:7">
      <c r="A168" s="5">
        <v>373.99</v>
      </c>
      <c r="B168" s="5">
        <v>376.18</v>
      </c>
      <c r="C168" s="5">
        <v>368.53500000000003</v>
      </c>
      <c r="D168" s="5">
        <v>372.42</v>
      </c>
      <c r="E168" s="5">
        <v>1634482</v>
      </c>
      <c r="F168" s="5" t="s">
        <v>1119</v>
      </c>
      <c r="G168" s="9">
        <f t="shared" si="0"/>
        <v>4.2156704795661692E-3</v>
      </c>
    </row>
    <row r="169" spans="1:7">
      <c r="A169" s="5">
        <v>373.92</v>
      </c>
      <c r="B169" s="5">
        <v>375.16</v>
      </c>
      <c r="C169" s="5">
        <v>366.56</v>
      </c>
      <c r="D169" s="5">
        <v>370</v>
      </c>
      <c r="E169" s="5">
        <v>2251828</v>
      </c>
      <c r="F169" s="5" t="s">
        <v>1118</v>
      </c>
      <c r="G169" s="9">
        <f t="shared" si="0"/>
        <v>1.0594594594594664E-2</v>
      </c>
    </row>
    <row r="170" spans="1:7">
      <c r="A170" s="5">
        <v>370.92</v>
      </c>
      <c r="B170" s="5">
        <v>372.32</v>
      </c>
      <c r="C170" s="5">
        <v>365.81</v>
      </c>
      <c r="D170" s="5">
        <v>366.98</v>
      </c>
      <c r="E170" s="5">
        <v>1108290</v>
      </c>
      <c r="F170" s="5" t="s">
        <v>1117</v>
      </c>
      <c r="G170" s="9">
        <f t="shared" si="0"/>
        <v>1.0736279906262025E-2</v>
      </c>
    </row>
    <row r="171" spans="1:7">
      <c r="A171" s="5">
        <v>366.49</v>
      </c>
      <c r="B171" s="5">
        <v>368.95</v>
      </c>
      <c r="C171" s="5">
        <v>363.91</v>
      </c>
      <c r="D171" s="5">
        <v>366.99</v>
      </c>
      <c r="E171" s="5">
        <v>1223267</v>
      </c>
      <c r="F171" s="5" t="s">
        <v>1116</v>
      </c>
      <c r="G171" s="9">
        <f t="shared" si="0"/>
        <v>-1.3624349437314498E-3</v>
      </c>
    </row>
    <row r="172" spans="1:7">
      <c r="A172" s="5">
        <v>365.06</v>
      </c>
      <c r="B172" s="5">
        <v>366.23500000000001</v>
      </c>
      <c r="C172" s="5">
        <v>359.38010000000003</v>
      </c>
      <c r="D172" s="5">
        <v>360.6</v>
      </c>
      <c r="E172" s="5">
        <v>1462537</v>
      </c>
      <c r="F172" s="5" t="s">
        <v>1115</v>
      </c>
      <c r="G172" s="9">
        <f t="shared" si="0"/>
        <v>1.2368275097060399E-2</v>
      </c>
    </row>
    <row r="173" spans="1:7">
      <c r="A173" s="5">
        <v>361.05</v>
      </c>
      <c r="B173" s="5">
        <v>361.33</v>
      </c>
      <c r="C173" s="5">
        <v>354.47</v>
      </c>
      <c r="D173" s="5">
        <v>358.65</v>
      </c>
      <c r="E173" s="5">
        <v>1349886</v>
      </c>
      <c r="F173" s="5" t="s">
        <v>1114</v>
      </c>
      <c r="G173" s="9">
        <f t="shared" si="0"/>
        <v>6.6917607695526904E-3</v>
      </c>
    </row>
    <row r="174" spans="1:7">
      <c r="A174" s="5">
        <v>357.11</v>
      </c>
      <c r="B174" s="5">
        <v>368.36500000000001</v>
      </c>
      <c r="C174" s="5">
        <v>355.1</v>
      </c>
      <c r="D174" s="5">
        <v>355.10500000000002</v>
      </c>
      <c r="E174" s="5">
        <v>1521371</v>
      </c>
      <c r="F174" s="5" t="s">
        <v>1113</v>
      </c>
      <c r="G174" s="9">
        <f t="shared" si="0"/>
        <v>5.6462173160050089E-3</v>
      </c>
    </row>
    <row r="175" spans="1:7">
      <c r="A175" s="5">
        <v>348.12</v>
      </c>
      <c r="B175" s="5">
        <v>349.45</v>
      </c>
      <c r="C175" s="5">
        <v>341.51</v>
      </c>
      <c r="D175" s="5">
        <v>342.12</v>
      </c>
      <c r="E175" s="5">
        <v>1506943</v>
      </c>
      <c r="F175" s="5" t="s">
        <v>1112</v>
      </c>
      <c r="G175" s="9">
        <f t="shared" si="0"/>
        <v>1.7537706068046388E-2</v>
      </c>
    </row>
    <row r="176" spans="1:7">
      <c r="A176" s="5">
        <v>339.59</v>
      </c>
      <c r="B176" s="5">
        <v>345.63499999999999</v>
      </c>
      <c r="C176" s="5">
        <v>335.12</v>
      </c>
      <c r="D176" s="5">
        <v>344.71</v>
      </c>
      <c r="E176" s="5">
        <v>1312542</v>
      </c>
      <c r="F176" s="5" t="s">
        <v>1111</v>
      </c>
      <c r="G176" s="9">
        <f t="shared" si="0"/>
        <v>-1.4853064895129275E-2</v>
      </c>
    </row>
    <row r="177" spans="1:8" ht="15" customHeight="1">
      <c r="A177" s="5">
        <v>346.5</v>
      </c>
      <c r="B177" s="5">
        <v>351.04</v>
      </c>
      <c r="C177" s="5">
        <v>343.19</v>
      </c>
      <c r="D177" s="5">
        <v>346.17</v>
      </c>
      <c r="E177" s="5">
        <v>1349941</v>
      </c>
      <c r="F177" s="5" t="s">
        <v>1110</v>
      </c>
      <c r="G177" s="9">
        <f t="shared" si="0"/>
        <v>9.5328884652046142E-4</v>
      </c>
    </row>
    <row r="178" spans="1:8">
      <c r="A178" s="5">
        <v>346.67</v>
      </c>
      <c r="B178" s="5">
        <v>352.58</v>
      </c>
      <c r="C178" s="5">
        <v>343.58</v>
      </c>
      <c r="D178" s="5">
        <v>348.24</v>
      </c>
      <c r="E178" s="5">
        <v>1302879</v>
      </c>
      <c r="F178" s="5" t="s">
        <v>1109</v>
      </c>
      <c r="G178" s="9">
        <f t="shared" si="0"/>
        <v>-4.5083850218240462E-3</v>
      </c>
    </row>
    <row r="179" spans="1:8">
      <c r="A179" s="5">
        <v>346.8</v>
      </c>
      <c r="B179" s="5">
        <v>355.39</v>
      </c>
      <c r="C179" s="5">
        <v>345.99</v>
      </c>
      <c r="D179" s="5">
        <v>354.85</v>
      </c>
      <c r="E179" s="5">
        <v>1670401</v>
      </c>
      <c r="F179" s="5" t="s">
        <v>1108</v>
      </c>
      <c r="G179" s="9">
        <f t="shared" si="0"/>
        <v>-2.2685641820487601E-2</v>
      </c>
    </row>
    <row r="180" spans="1:8">
      <c r="A180" s="5">
        <v>353.42</v>
      </c>
      <c r="B180" s="5">
        <v>358</v>
      </c>
      <c r="C180" s="5">
        <v>349.14</v>
      </c>
      <c r="D180" s="5">
        <v>354.75</v>
      </c>
      <c r="E180" s="5">
        <v>1317863</v>
      </c>
      <c r="F180" s="5" t="s">
        <v>1107</v>
      </c>
      <c r="G180" s="9">
        <f t="shared" si="0"/>
        <v>-3.7491190979562772E-3</v>
      </c>
    </row>
    <row r="181" spans="1:8">
      <c r="A181" s="5">
        <v>350.28</v>
      </c>
      <c r="B181" s="5">
        <v>353.1046</v>
      </c>
      <c r="C181" s="5">
        <v>341.74</v>
      </c>
      <c r="D181" s="5">
        <v>351.15</v>
      </c>
      <c r="E181" s="5">
        <v>1767163</v>
      </c>
      <c r="F181" s="5" t="s">
        <v>1106</v>
      </c>
      <c r="G181" s="9">
        <f t="shared" si="0"/>
        <v>-2.4775736864588449E-3</v>
      </c>
    </row>
    <row r="182" spans="1:8">
      <c r="A182" s="5">
        <v>348.39</v>
      </c>
      <c r="B182" s="5">
        <v>359.46</v>
      </c>
      <c r="C182" s="5">
        <v>337.45</v>
      </c>
      <c r="D182" s="5">
        <v>358.33</v>
      </c>
      <c r="E182" s="5">
        <v>2669001</v>
      </c>
      <c r="F182" s="5" t="s">
        <v>1105</v>
      </c>
      <c r="G182" s="9">
        <f t="shared" si="0"/>
        <v>-2.7739792928306306E-2</v>
      </c>
    </row>
    <row r="183" spans="1:8">
      <c r="A183" s="5">
        <v>362.97</v>
      </c>
      <c r="B183" s="5">
        <v>364.4</v>
      </c>
      <c r="C183" s="5">
        <v>330</v>
      </c>
      <c r="D183" s="5">
        <v>335</v>
      </c>
      <c r="E183" s="5">
        <v>3128870</v>
      </c>
      <c r="F183" s="5" t="s">
        <v>1104</v>
      </c>
      <c r="G183" s="9">
        <f t="shared" si="0"/>
        <v>8.349253731343298E-2</v>
      </c>
    </row>
    <row r="184" spans="1:8">
      <c r="A184" s="5">
        <v>337.37</v>
      </c>
      <c r="B184" s="5">
        <v>357.47</v>
      </c>
      <c r="C184" s="5">
        <v>332.32</v>
      </c>
      <c r="D184" s="5">
        <v>355.46499999999997</v>
      </c>
      <c r="E184" s="5">
        <v>2052994</v>
      </c>
      <c r="F184" s="5" t="s">
        <v>1103</v>
      </c>
      <c r="G184" s="9">
        <f t="shared" si="0"/>
        <v>-5.0905152406003351E-2</v>
      </c>
    </row>
    <row r="185" spans="1:8">
      <c r="A185" s="5">
        <v>345.34</v>
      </c>
      <c r="B185" s="5">
        <v>357.59</v>
      </c>
      <c r="C185" s="5">
        <v>329.16079999999999</v>
      </c>
      <c r="D185" s="5">
        <v>335.25</v>
      </c>
      <c r="E185" s="5">
        <v>4198899</v>
      </c>
      <c r="F185" s="5" t="s">
        <v>1102</v>
      </c>
      <c r="G185" s="9">
        <f t="shared" si="0"/>
        <v>3.0096942580164043E-2</v>
      </c>
    </row>
    <row r="186" spans="1:8">
      <c r="A186" s="5">
        <v>345.8</v>
      </c>
      <c r="B186" s="5">
        <v>362.07</v>
      </c>
      <c r="C186" s="5">
        <v>344.81</v>
      </c>
      <c r="D186" s="5">
        <v>361.07499999999999</v>
      </c>
      <c r="E186" s="5">
        <v>3956780</v>
      </c>
      <c r="F186" s="5" t="s">
        <v>1101</v>
      </c>
      <c r="G186" s="9">
        <f t="shared" si="0"/>
        <v>-4.2304230423042211E-2</v>
      </c>
    </row>
    <row r="187" spans="1:8" ht="15">
      <c r="A187" s="5">
        <v>368.15</v>
      </c>
      <c r="B187" s="5">
        <v>374.56</v>
      </c>
      <c r="C187" s="5">
        <v>361.59</v>
      </c>
      <c r="D187" s="5">
        <v>367.97</v>
      </c>
      <c r="E187" s="5">
        <v>3306171</v>
      </c>
      <c r="F187" s="5" t="s">
        <v>1100</v>
      </c>
      <c r="G187" s="9">
        <f t="shared" si="0"/>
        <v>4.8917031279716028E-4</v>
      </c>
      <c r="H187" s="1" t="s">
        <v>1128</v>
      </c>
    </row>
    <row r="188" spans="1:8">
      <c r="A188" s="5">
        <v>377.46</v>
      </c>
      <c r="B188" s="5">
        <v>378.35</v>
      </c>
      <c r="C188" s="5">
        <v>366.69</v>
      </c>
      <c r="D188" s="5">
        <v>369.57</v>
      </c>
      <c r="E188" s="5">
        <v>1801895</v>
      </c>
      <c r="F188" s="5" t="s">
        <v>1099</v>
      </c>
      <c r="G188" s="9">
        <f t="shared" si="0"/>
        <v>2.1349135481776083E-2</v>
      </c>
    </row>
    <row r="189" spans="1:8">
      <c r="A189" s="5">
        <v>373.3</v>
      </c>
      <c r="B189" s="5">
        <v>374.04</v>
      </c>
      <c r="C189" s="5">
        <v>366.61</v>
      </c>
      <c r="D189" s="5">
        <v>369.29</v>
      </c>
      <c r="E189" s="5">
        <v>1180876</v>
      </c>
      <c r="F189" s="5" t="s">
        <v>1098</v>
      </c>
      <c r="G189" s="9">
        <f t="shared" si="0"/>
        <v>1.0858674754258058E-2</v>
      </c>
    </row>
    <row r="190" spans="1:8">
      <c r="A190" s="5">
        <v>372.25</v>
      </c>
      <c r="B190" s="5">
        <v>374.2</v>
      </c>
      <c r="C190" s="5">
        <v>361.02499999999998</v>
      </c>
      <c r="D190" s="5">
        <v>361.53</v>
      </c>
      <c r="E190" s="5">
        <v>1924305</v>
      </c>
      <c r="F190" s="5" t="s">
        <v>1097</v>
      </c>
      <c r="G190" s="9">
        <f t="shared" si="0"/>
        <v>2.9651757807097612E-2</v>
      </c>
    </row>
    <row r="191" spans="1:8">
      <c r="A191" s="5">
        <v>363.66</v>
      </c>
      <c r="B191" s="5">
        <v>367.66079999999999</v>
      </c>
      <c r="C191" s="5">
        <v>362.43779999999998</v>
      </c>
      <c r="D191" s="5">
        <v>364.66770000000002</v>
      </c>
      <c r="E191" s="5">
        <v>1274328</v>
      </c>
      <c r="F191" s="5" t="s">
        <v>1096</v>
      </c>
      <c r="G191" s="9">
        <f t="shared" si="0"/>
        <v>-2.7633376907250096E-3</v>
      </c>
    </row>
    <row r="192" spans="1:8">
      <c r="A192" s="5">
        <v>366.69299999999998</v>
      </c>
      <c r="B192" s="5">
        <v>369.14729999999997</v>
      </c>
      <c r="C192" s="5">
        <v>364.64769999999999</v>
      </c>
      <c r="D192" s="5">
        <v>366.76280000000003</v>
      </c>
      <c r="E192" s="5">
        <v>1138814</v>
      </c>
      <c r="F192" s="5" t="s">
        <v>1095</v>
      </c>
      <c r="G192" s="9">
        <f t="shared" si="0"/>
        <v>-1.9031373956146513E-4</v>
      </c>
    </row>
    <row r="193" spans="1:34">
      <c r="A193" s="5">
        <v>366.92250000000001</v>
      </c>
      <c r="B193" s="5">
        <v>371.75130000000001</v>
      </c>
      <c r="C193" s="5">
        <v>359.16039999999998</v>
      </c>
      <c r="D193" s="5">
        <v>370.57400000000001</v>
      </c>
      <c r="E193" s="5">
        <v>1657559</v>
      </c>
      <c r="F193" s="5" t="s">
        <v>1094</v>
      </c>
      <c r="G193" s="9">
        <f t="shared" si="0"/>
        <v>-9.8536324728664137E-3</v>
      </c>
    </row>
    <row r="194" spans="1:34">
      <c r="A194" s="5">
        <v>372.01069999999999</v>
      </c>
      <c r="B194" s="5">
        <v>378.16649999999998</v>
      </c>
      <c r="C194" s="5">
        <v>369.36680000000001</v>
      </c>
      <c r="D194" s="5">
        <v>374.8741</v>
      </c>
      <c r="E194" s="5">
        <v>865039</v>
      </c>
      <c r="F194" s="5" t="s">
        <v>1093</v>
      </c>
      <c r="G194" s="9">
        <f t="shared" si="0"/>
        <v>-7.638297764502866E-3</v>
      </c>
    </row>
    <row r="195" spans="1:34">
      <c r="A195" s="5">
        <v>373.40750000000003</v>
      </c>
      <c r="B195" s="5">
        <v>376.36070000000001</v>
      </c>
      <c r="C195" s="5">
        <v>371.80930000000001</v>
      </c>
      <c r="D195" s="5">
        <v>372.66919999999999</v>
      </c>
      <c r="E195" s="5">
        <v>1124286</v>
      </c>
      <c r="F195" s="5" t="s">
        <v>1092</v>
      </c>
      <c r="G195" s="9">
        <f t="shared" si="0"/>
        <v>1.9811135452032502E-3</v>
      </c>
    </row>
    <row r="196" spans="1:34">
      <c r="A196" s="5">
        <v>370.25479999999999</v>
      </c>
      <c r="B196" s="5">
        <v>373.92630000000003</v>
      </c>
      <c r="C196" s="5">
        <v>365.6454</v>
      </c>
      <c r="D196" s="5">
        <v>370.47430000000003</v>
      </c>
      <c r="E196" s="5">
        <v>2372481</v>
      </c>
      <c r="F196" s="5" t="s">
        <v>1091</v>
      </c>
      <c r="G196" s="9">
        <f t="shared" si="0"/>
        <v>-5.9248374313691787E-4</v>
      </c>
    </row>
    <row r="197" spans="1:34">
      <c r="A197" s="5">
        <v>373.35759999999999</v>
      </c>
      <c r="B197" s="5">
        <v>377.392</v>
      </c>
      <c r="C197" s="5">
        <v>372.45839999999998</v>
      </c>
      <c r="D197" s="5">
        <v>376.63</v>
      </c>
      <c r="E197" s="5">
        <v>1509074</v>
      </c>
      <c r="F197" s="5" t="s">
        <v>1090</v>
      </c>
      <c r="G197" s="9">
        <f t="shared" si="0"/>
        <v>-8.6886334067918236E-3</v>
      </c>
    </row>
    <row r="198" spans="1:34">
      <c r="A198" s="5">
        <v>377.17880000000002</v>
      </c>
      <c r="B198" s="5">
        <v>380.01220000000001</v>
      </c>
      <c r="C198" s="5">
        <v>373.74669999999998</v>
      </c>
      <c r="D198" s="5">
        <v>376.01150000000001</v>
      </c>
      <c r="E198" s="5">
        <v>1554972</v>
      </c>
      <c r="F198" s="5" t="s">
        <v>1089</v>
      </c>
      <c r="G198" s="9">
        <f t="shared" si="0"/>
        <v>3.1044263273862782E-3</v>
      </c>
    </row>
    <row r="199" spans="1:34">
      <c r="A199" s="5">
        <v>375.0437</v>
      </c>
      <c r="B199" s="5">
        <v>375.85180000000003</v>
      </c>
      <c r="C199" s="5">
        <v>371.91090000000003</v>
      </c>
      <c r="D199" s="5">
        <v>373.13810000000001</v>
      </c>
      <c r="E199" s="5">
        <v>1774944</v>
      </c>
      <c r="F199" s="5" t="s">
        <v>1088</v>
      </c>
      <c r="G199" s="9">
        <f t="shared" si="0"/>
        <v>5.1069563788848082E-3</v>
      </c>
      <c r="AH199" s="2" t="s">
        <v>1509</v>
      </c>
    </row>
    <row r="200" spans="1:34">
      <c r="A200" s="5">
        <v>372.6293</v>
      </c>
      <c r="B200" s="5">
        <v>375.82190000000003</v>
      </c>
      <c r="C200" s="5">
        <v>367.15190000000001</v>
      </c>
      <c r="D200" s="5">
        <v>367.24169999999998</v>
      </c>
      <c r="E200" s="5">
        <v>1236099</v>
      </c>
      <c r="F200" s="5" t="s">
        <v>1087</v>
      </c>
      <c r="G200" s="9">
        <f t="shared" si="0"/>
        <v>1.4670447283083643E-2</v>
      </c>
    </row>
    <row r="201" spans="1:34">
      <c r="A201" s="5">
        <v>368.67840000000001</v>
      </c>
      <c r="B201" s="5">
        <v>370.9033</v>
      </c>
      <c r="C201" s="5">
        <v>361.77440000000001</v>
      </c>
      <c r="D201" s="5">
        <v>363.7398</v>
      </c>
      <c r="E201" s="5">
        <v>1798176</v>
      </c>
      <c r="F201" s="5" t="s">
        <v>1086</v>
      </c>
      <c r="G201" s="9">
        <f t="shared" si="0"/>
        <v>1.3577287940445437E-2</v>
      </c>
    </row>
    <row r="202" spans="1:34">
      <c r="A202" s="5">
        <v>362.82190000000003</v>
      </c>
      <c r="B202" s="5">
        <v>366.43360000000001</v>
      </c>
      <c r="C202" s="5">
        <v>360.19799999999998</v>
      </c>
      <c r="D202" s="5">
        <v>364.29849999999999</v>
      </c>
      <c r="E202" s="5">
        <v>1965867</v>
      </c>
      <c r="F202" s="5" t="s">
        <v>1085</v>
      </c>
      <c r="G202" s="9">
        <f t="shared" si="0"/>
        <v>-4.0532695028938637E-3</v>
      </c>
    </row>
    <row r="203" spans="1:34" ht="15" customHeight="1">
      <c r="A203" s="5">
        <v>363.00150000000002</v>
      </c>
      <c r="B203" s="5">
        <v>370.25479999999999</v>
      </c>
      <c r="C203" s="5">
        <v>360.50229999999999</v>
      </c>
      <c r="D203" s="5">
        <v>367.50110000000001</v>
      </c>
      <c r="E203" s="5">
        <v>1559213</v>
      </c>
      <c r="F203" s="5" t="s">
        <v>1084</v>
      </c>
      <c r="G203" s="9">
        <f t="shared" si="0"/>
        <v>-1.2243772875781822E-2</v>
      </c>
    </row>
    <row r="204" spans="1:34">
      <c r="A204" s="5">
        <v>364.44819999999999</v>
      </c>
      <c r="B204" s="5">
        <v>368.66840000000002</v>
      </c>
      <c r="C204" s="5">
        <v>362.26319999999998</v>
      </c>
      <c r="D204" s="5">
        <v>368.66840000000002</v>
      </c>
      <c r="E204" s="5">
        <v>1638849</v>
      </c>
      <c r="F204" s="5" t="s">
        <v>1083</v>
      </c>
      <c r="G204" s="9">
        <f t="shared" si="0"/>
        <v>-1.1447143286487327E-2</v>
      </c>
    </row>
    <row r="205" spans="1:34">
      <c r="A205" s="5">
        <v>369.267</v>
      </c>
      <c r="B205" s="5">
        <v>376.221</v>
      </c>
      <c r="C205" s="5">
        <v>366.4436</v>
      </c>
      <c r="D205" s="5">
        <v>374.58479999999997</v>
      </c>
      <c r="E205" s="5">
        <v>2162585</v>
      </c>
      <c r="F205" s="5" t="s">
        <v>1082</v>
      </c>
      <c r="G205" s="9">
        <f t="shared" si="0"/>
        <v>-1.419651838515601E-2</v>
      </c>
    </row>
    <row r="206" spans="1:34">
      <c r="A206" s="5">
        <v>378.42590000000001</v>
      </c>
      <c r="B206" s="5">
        <v>380.12200000000001</v>
      </c>
      <c r="C206" s="5">
        <v>366.60320000000002</v>
      </c>
      <c r="D206" s="5">
        <v>379.06439999999998</v>
      </c>
      <c r="E206" s="5">
        <v>1961830</v>
      </c>
      <c r="F206" s="5" t="s">
        <v>1081</v>
      </c>
      <c r="G206" s="9">
        <f t="shared" si="0"/>
        <v>-1.6844103534913168E-3</v>
      </c>
    </row>
    <row r="207" spans="1:34">
      <c r="A207" s="5">
        <v>381.42899999999997</v>
      </c>
      <c r="B207" s="5">
        <v>392.56319999999999</v>
      </c>
      <c r="C207" s="5">
        <v>379.12279999999998</v>
      </c>
      <c r="D207" s="5">
        <v>391.13650000000001</v>
      </c>
      <c r="E207" s="5">
        <v>1263833</v>
      </c>
      <c r="F207" s="5" t="s">
        <v>1080</v>
      </c>
      <c r="G207" s="9">
        <f t="shared" si="0"/>
        <v>-2.4818701399639376E-2</v>
      </c>
    </row>
    <row r="208" spans="1:34">
      <c r="A208" s="5">
        <v>394.77809999999999</v>
      </c>
      <c r="B208" s="5">
        <v>397.08280000000002</v>
      </c>
      <c r="C208" s="5">
        <v>386.11810000000003</v>
      </c>
      <c r="D208" s="5">
        <v>386.85640000000001</v>
      </c>
      <c r="E208" s="5">
        <v>1105201</v>
      </c>
      <c r="F208" s="5" t="s">
        <v>1079</v>
      </c>
      <c r="G208" s="9">
        <f t="shared" si="0"/>
        <v>2.0477107267709682E-2</v>
      </c>
    </row>
    <row r="209" spans="1:34">
      <c r="A209" s="5">
        <v>389.02140000000003</v>
      </c>
      <c r="B209" s="5">
        <v>395.52640000000002</v>
      </c>
      <c r="C209" s="5">
        <v>387.8741</v>
      </c>
      <c r="D209" s="5">
        <v>394.15960000000001</v>
      </c>
      <c r="E209" s="5">
        <v>1687281</v>
      </c>
      <c r="F209" s="5" t="s">
        <v>1078</v>
      </c>
      <c r="G209" s="9">
        <f t="shared" si="0"/>
        <v>-1.3035836245013366E-2</v>
      </c>
    </row>
    <row r="210" spans="1:34">
      <c r="A210" s="5">
        <v>393.97</v>
      </c>
      <c r="B210" s="5">
        <v>396.40440000000001</v>
      </c>
      <c r="C210" s="5">
        <v>387.45499999999998</v>
      </c>
      <c r="D210" s="5">
        <v>389.50029999999998</v>
      </c>
      <c r="E210" s="5">
        <v>1237657</v>
      </c>
      <c r="F210" s="5" t="s">
        <v>1077</v>
      </c>
      <c r="G210" s="9">
        <f t="shared" si="0"/>
        <v>1.1475472547774812E-2</v>
      </c>
    </row>
    <row r="211" spans="1:34">
      <c r="A211" s="5">
        <v>385.3</v>
      </c>
      <c r="B211" s="5">
        <v>392.91239999999999</v>
      </c>
      <c r="C211" s="5">
        <v>378.73520000000002</v>
      </c>
      <c r="D211" s="5">
        <v>390.14879999999999</v>
      </c>
      <c r="E211" s="5">
        <v>2855622</v>
      </c>
      <c r="F211" s="5" t="s">
        <v>1076</v>
      </c>
      <c r="G211" s="9">
        <f t="shared" si="0"/>
        <v>-1.242807872278473E-2</v>
      </c>
    </row>
    <row r="212" spans="1:34">
      <c r="A212" s="5">
        <v>388.00380000000001</v>
      </c>
      <c r="B212" s="5">
        <v>392.93239999999997</v>
      </c>
      <c r="C212" s="5">
        <v>387.61419999999998</v>
      </c>
      <c r="D212" s="5">
        <v>389.50029999999998</v>
      </c>
      <c r="E212" s="5">
        <v>997257</v>
      </c>
      <c r="F212" s="5" t="s">
        <v>1075</v>
      </c>
      <c r="G212" s="9">
        <f t="shared" si="0"/>
        <v>-3.8421023039005853E-3</v>
      </c>
    </row>
    <row r="213" spans="1:34">
      <c r="A213" s="5">
        <v>390.8372</v>
      </c>
      <c r="B213" s="5">
        <v>395.7559</v>
      </c>
      <c r="C213" s="5">
        <v>388.43779999999998</v>
      </c>
      <c r="D213" s="5">
        <v>390.64769999999999</v>
      </c>
      <c r="E213" s="5">
        <v>867818</v>
      </c>
      <c r="F213" s="5" t="s">
        <v>1074</v>
      </c>
      <c r="G213" s="9">
        <f t="shared" si="0"/>
        <v>4.8509181034472881E-4</v>
      </c>
    </row>
    <row r="214" spans="1:34">
      <c r="A214" s="5">
        <v>389.40050000000002</v>
      </c>
      <c r="B214" s="5">
        <v>390.46809999999999</v>
      </c>
      <c r="C214" s="5">
        <v>384.18259999999998</v>
      </c>
      <c r="D214" s="5">
        <v>387.3553</v>
      </c>
      <c r="E214" s="5">
        <v>1665069</v>
      </c>
      <c r="F214" s="5" t="s">
        <v>1073</v>
      </c>
      <c r="G214" s="9">
        <f t="shared" si="0"/>
        <v>5.2799071033751144E-3</v>
      </c>
    </row>
    <row r="215" spans="1:34">
      <c r="A215" s="5">
        <v>387.02600000000001</v>
      </c>
      <c r="B215" s="5">
        <v>389.38060000000002</v>
      </c>
      <c r="C215" s="5">
        <v>379.63310000000001</v>
      </c>
      <c r="D215" s="5">
        <v>381.08969999999999</v>
      </c>
      <c r="E215" s="5">
        <v>1317444</v>
      </c>
      <c r="F215" s="5" t="s">
        <v>1072</v>
      </c>
      <c r="G215" s="9">
        <f t="shared" si="0"/>
        <v>1.5577172513452808E-2</v>
      </c>
    </row>
    <row r="216" spans="1:34">
      <c r="A216" s="5">
        <v>381.89789999999999</v>
      </c>
      <c r="B216" s="5">
        <v>386.62689999999998</v>
      </c>
      <c r="C216" s="5">
        <v>379.22399999999999</v>
      </c>
      <c r="D216" s="5">
        <v>381.98770000000002</v>
      </c>
      <c r="E216" s="5">
        <v>1268475</v>
      </c>
      <c r="F216" s="5" t="s">
        <v>1071</v>
      </c>
      <c r="G216" s="9">
        <f t="shared" si="0"/>
        <v>-2.3508610355782444E-4</v>
      </c>
    </row>
    <row r="217" spans="1:34">
      <c r="A217" s="5">
        <v>385.51949999999999</v>
      </c>
      <c r="B217" s="5">
        <v>387.10430000000002</v>
      </c>
      <c r="C217" s="5">
        <v>382.41669999999999</v>
      </c>
      <c r="D217" s="5">
        <v>386.77659999999997</v>
      </c>
      <c r="E217" s="5">
        <v>930275</v>
      </c>
      <c r="F217" s="5" t="s">
        <v>1070</v>
      </c>
      <c r="G217" s="9">
        <f t="shared" si="0"/>
        <v>-3.2501966251318182E-3</v>
      </c>
      <c r="I217" s="2" t="s">
        <v>1150</v>
      </c>
    </row>
    <row r="218" spans="1:34">
      <c r="A218" s="5">
        <v>387.62459999999999</v>
      </c>
      <c r="B218" s="5">
        <v>387.73439999999999</v>
      </c>
      <c r="C218" s="5">
        <v>383.37450000000001</v>
      </c>
      <c r="D218" s="5">
        <v>383.69369999999998</v>
      </c>
      <c r="E218" s="5">
        <v>827136</v>
      </c>
      <c r="F218" s="5" t="s">
        <v>1069</v>
      </c>
      <c r="G218" s="9">
        <f t="shared" si="0"/>
        <v>1.024489065105838E-2</v>
      </c>
      <c r="I218" s="2" t="s">
        <v>1132</v>
      </c>
    </row>
    <row r="219" spans="1:34">
      <c r="A219" s="5">
        <v>384.72140000000002</v>
      </c>
      <c r="B219" s="5">
        <v>384.8211</v>
      </c>
      <c r="C219" s="5">
        <v>378.48579999999998</v>
      </c>
      <c r="D219" s="5">
        <v>382.11739999999998</v>
      </c>
      <c r="E219" s="5">
        <v>1338410</v>
      </c>
      <c r="F219" s="5" t="s">
        <v>1068</v>
      </c>
      <c r="G219" s="9">
        <f t="shared" si="0"/>
        <v>6.814659578443738E-3</v>
      </c>
    </row>
    <row r="220" spans="1:34">
      <c r="A220" s="5">
        <v>384.29230000000001</v>
      </c>
      <c r="B220" s="5">
        <v>390.58280000000002</v>
      </c>
      <c r="C220" s="5">
        <v>383.6139</v>
      </c>
      <c r="D220" s="5">
        <v>389.13119999999998</v>
      </c>
      <c r="E220" s="5">
        <v>1267884</v>
      </c>
      <c r="F220" s="5" t="s">
        <v>1067</v>
      </c>
      <c r="G220" s="9">
        <f t="shared" si="0"/>
        <v>-1.243513755771819E-2</v>
      </c>
    </row>
    <row r="221" spans="1:34">
      <c r="A221" s="5">
        <v>387.47500000000002</v>
      </c>
      <c r="B221" s="5">
        <v>387.904</v>
      </c>
      <c r="C221" s="5">
        <v>382.5564</v>
      </c>
      <c r="D221" s="5">
        <v>385.34989999999999</v>
      </c>
      <c r="E221" s="5">
        <v>916676</v>
      </c>
      <c r="F221" s="5" t="s">
        <v>1066</v>
      </c>
      <c r="G221" s="9">
        <f t="shared" si="0"/>
        <v>5.5147283027712213E-3</v>
      </c>
    </row>
    <row r="222" spans="1:34" ht="15">
      <c r="A222" s="5">
        <v>384.74130000000002</v>
      </c>
      <c r="B222" s="5">
        <v>388.83190000000002</v>
      </c>
      <c r="C222" s="5">
        <v>381.15960000000001</v>
      </c>
      <c r="D222" s="5">
        <v>385.89859999999999</v>
      </c>
      <c r="E222" s="5">
        <v>1161419</v>
      </c>
      <c r="F222" s="5" t="s">
        <v>1065</v>
      </c>
      <c r="G222" s="9">
        <f t="shared" si="0"/>
        <v>-2.9989743419643888E-3</v>
      </c>
      <c r="AH222" s="1" t="s">
        <v>1256</v>
      </c>
    </row>
    <row r="223" spans="1:34">
      <c r="A223" s="5">
        <v>389.58010000000002</v>
      </c>
      <c r="B223" s="5">
        <v>392.53829999999999</v>
      </c>
      <c r="C223" s="5">
        <v>388.1035</v>
      </c>
      <c r="D223" s="5">
        <v>389.81959999999998</v>
      </c>
      <c r="E223" s="5">
        <v>881874</v>
      </c>
      <c r="F223" s="5" t="s">
        <v>1064</v>
      </c>
      <c r="G223" s="9">
        <f t="shared" si="0"/>
        <v>-6.1438675736147363E-4</v>
      </c>
    </row>
    <row r="224" spans="1:34">
      <c r="A224" s="5">
        <v>391.6952</v>
      </c>
      <c r="B224" s="5">
        <v>393.0521</v>
      </c>
      <c r="C224" s="5">
        <v>389.47039999999998</v>
      </c>
      <c r="D224" s="5">
        <v>391.88479999999998</v>
      </c>
      <c r="E224" s="5">
        <v>1334553</v>
      </c>
      <c r="F224" s="5" t="s">
        <v>1063</v>
      </c>
      <c r="G224" s="9">
        <f t="shared" si="0"/>
        <v>-4.8381565194666187E-4</v>
      </c>
      <c r="I224" s="10"/>
      <c r="J224" s="10" t="s">
        <v>1130</v>
      </c>
      <c r="K224" s="11">
        <f>MIN(G167:G1192)</f>
        <v>-5.5999092292851715E-2</v>
      </c>
    </row>
    <row r="225" spans="1:17" ht="15" customHeight="1">
      <c r="A225" s="5">
        <v>390.49799999999999</v>
      </c>
      <c r="B225" s="5">
        <v>396.31209999999999</v>
      </c>
      <c r="C225" s="5">
        <v>389.70979999999997</v>
      </c>
      <c r="D225" s="5">
        <v>395.12729999999999</v>
      </c>
      <c r="E225" s="5">
        <v>1025808</v>
      </c>
      <c r="F225" s="5" t="s">
        <v>1062</v>
      </c>
      <c r="G225" s="9">
        <f t="shared" si="0"/>
        <v>-1.1715971030095917E-2</v>
      </c>
      <c r="I225" s="10"/>
      <c r="J225" s="10" t="s">
        <v>1131</v>
      </c>
      <c r="K225" s="11">
        <f>MAX(G167:G1192)</f>
        <v>8.349253731343298E-2</v>
      </c>
    </row>
    <row r="226" spans="1:17">
      <c r="A226" s="5">
        <v>395.15719999999999</v>
      </c>
      <c r="B226" s="5">
        <v>399.32760000000002</v>
      </c>
      <c r="C226" s="5">
        <v>394.99759999999998</v>
      </c>
      <c r="D226" s="5">
        <v>397.4819</v>
      </c>
      <c r="E226" s="5">
        <v>1124078</v>
      </c>
      <c r="F226" s="5" t="s">
        <v>1061</v>
      </c>
      <c r="G226" s="9">
        <f t="shared" si="0"/>
        <v>-5.848568198954518E-3</v>
      </c>
      <c r="I226" s="10"/>
      <c r="J226" s="10" t="s">
        <v>1133</v>
      </c>
      <c r="K226" s="11">
        <f>AVERAGE(G167:G1192)</f>
        <v>2.8840192365155138E-4</v>
      </c>
    </row>
    <row r="227" spans="1:17">
      <c r="A227" s="5">
        <v>398.1703</v>
      </c>
      <c r="B227" s="5">
        <v>398.92840000000001</v>
      </c>
      <c r="C227" s="5">
        <v>392.50839999999999</v>
      </c>
      <c r="D227" s="5">
        <v>393.98</v>
      </c>
      <c r="E227" s="5">
        <v>1011830</v>
      </c>
      <c r="F227" s="5" t="s">
        <v>1060</v>
      </c>
      <c r="G227" s="9">
        <f t="shared" si="0"/>
        <v>1.0635819077110531E-2</v>
      </c>
      <c r="I227" s="10"/>
      <c r="J227" s="10" t="s">
        <v>1134</v>
      </c>
      <c r="K227" s="11">
        <f>MEDIAN(G167:G1192)</f>
        <v>3.4810405770502317E-4</v>
      </c>
    </row>
    <row r="228" spans="1:17" ht="15">
      <c r="A228" s="5">
        <v>391.48570000000001</v>
      </c>
      <c r="B228" s="5">
        <v>392.16419999999999</v>
      </c>
      <c r="C228" s="5">
        <v>387.34530000000001</v>
      </c>
      <c r="D228" s="5">
        <v>388.43279999999999</v>
      </c>
      <c r="E228" s="5">
        <v>1121598</v>
      </c>
      <c r="F228" s="5" t="s">
        <v>1059</v>
      </c>
      <c r="G228" s="9">
        <f t="shared" si="0"/>
        <v>7.8595319447791745E-3</v>
      </c>
      <c r="I228" s="10"/>
      <c r="J228" s="10" t="s">
        <v>1135</v>
      </c>
      <c r="K228" s="11">
        <f>_xlfn.STDEV.P(G167:G1192)</f>
        <v>1.330634927391715E-2</v>
      </c>
      <c r="M228" s="1"/>
    </row>
    <row r="229" spans="1:17" ht="15">
      <c r="A229" s="5">
        <v>390.23860000000002</v>
      </c>
      <c r="B229" s="5">
        <v>393.2217</v>
      </c>
      <c r="C229" s="5">
        <v>386.10809999999998</v>
      </c>
      <c r="D229" s="5">
        <v>388.54250000000002</v>
      </c>
      <c r="E229" s="5">
        <v>999024</v>
      </c>
      <c r="F229" s="5" t="s">
        <v>1058</v>
      </c>
      <c r="G229" s="9">
        <f t="shared" si="0"/>
        <v>4.3652882245828195E-3</v>
      </c>
      <c r="I229" s="10"/>
      <c r="J229" s="12" t="s">
        <v>1136</v>
      </c>
      <c r="K229" s="11">
        <f>3*K228</f>
        <v>3.9919047821751451E-2</v>
      </c>
      <c r="L229" s="10"/>
      <c r="M229" s="1" t="s">
        <v>1566</v>
      </c>
    </row>
    <row r="230" spans="1:17" ht="15">
      <c r="A230" s="5">
        <v>390.38830000000002</v>
      </c>
      <c r="B230" s="5">
        <v>396.6438</v>
      </c>
      <c r="C230" s="5">
        <v>389.10120000000001</v>
      </c>
      <c r="D230" s="5">
        <v>390.24860000000001</v>
      </c>
      <c r="E230" s="5">
        <v>1549213</v>
      </c>
      <c r="F230" s="5" t="s">
        <v>1057</v>
      </c>
      <c r="G230" s="9">
        <f t="shared" si="0"/>
        <v>3.5797694085260012E-4</v>
      </c>
      <c r="I230" s="10"/>
      <c r="J230" s="12" t="s">
        <v>1137</v>
      </c>
      <c r="K230" s="10">
        <v>0.94</v>
      </c>
      <c r="L230" s="10"/>
      <c r="M230" s="1" t="s">
        <v>1138</v>
      </c>
    </row>
    <row r="231" spans="1:17">
      <c r="A231" s="5">
        <v>389.53019999999998</v>
      </c>
      <c r="B231" s="5">
        <v>399.63189999999997</v>
      </c>
      <c r="C231" s="5">
        <v>388.40280000000001</v>
      </c>
      <c r="D231" s="5">
        <v>393.24169999999998</v>
      </c>
      <c r="E231" s="5">
        <v>1683562</v>
      </c>
      <c r="F231" s="5" t="s">
        <v>1056</v>
      </c>
      <c r="G231" s="9">
        <f t="shared" ref="G231:G294" si="1">A231/D231-1</f>
        <v>-9.4382157334789163E-3</v>
      </c>
    </row>
    <row r="232" spans="1:17">
      <c r="A232" s="5">
        <v>390.16879999999998</v>
      </c>
      <c r="B232" s="5">
        <v>395.79579999999999</v>
      </c>
      <c r="C232" s="5">
        <v>385.87869999999998</v>
      </c>
      <c r="D232" s="5">
        <v>394.08969999999999</v>
      </c>
      <c r="E232" s="5">
        <v>3322052</v>
      </c>
      <c r="F232" s="5" t="s">
        <v>1055</v>
      </c>
      <c r="G232" s="9">
        <f t="shared" si="1"/>
        <v>-9.9492577451275599E-3</v>
      </c>
    </row>
    <row r="233" spans="1:17">
      <c r="A233" s="5">
        <v>394.23939999999999</v>
      </c>
      <c r="B233" s="5">
        <v>405.25389999999999</v>
      </c>
      <c r="C233" s="5">
        <v>393.6807</v>
      </c>
      <c r="D233" s="5">
        <v>399.68680000000001</v>
      </c>
      <c r="E233" s="5">
        <v>1993675</v>
      </c>
      <c r="F233" s="5" t="s">
        <v>1054</v>
      </c>
      <c r="G233" s="9">
        <f t="shared" si="1"/>
        <v>-1.362917164139521E-2</v>
      </c>
      <c r="I233" s="21" t="s">
        <v>1149</v>
      </c>
      <c r="J233" s="22">
        <v>1014</v>
      </c>
    </row>
    <row r="234" spans="1:17" ht="15" thickBot="1">
      <c r="A234" s="5">
        <v>398.97840000000002</v>
      </c>
      <c r="B234" s="5">
        <v>399.41739999999999</v>
      </c>
      <c r="C234" s="5">
        <v>393.63080000000002</v>
      </c>
      <c r="D234" s="5">
        <v>395.0874</v>
      </c>
      <c r="E234" s="5">
        <v>1582562</v>
      </c>
      <c r="F234" s="5" t="s">
        <v>1053</v>
      </c>
      <c r="G234" s="9">
        <f t="shared" si="1"/>
        <v>9.8484537851624143E-3</v>
      </c>
      <c r="I234" s="2" t="s">
        <v>1155</v>
      </c>
      <c r="L234" s="2" t="s">
        <v>1156</v>
      </c>
      <c r="P234" s="2" t="s">
        <v>1157</v>
      </c>
    </row>
    <row r="235" spans="1:17" ht="15" customHeight="1">
      <c r="A235" s="5">
        <v>393.40129999999999</v>
      </c>
      <c r="B235" s="5">
        <v>393.7704</v>
      </c>
      <c r="C235" s="5">
        <v>388.91669999999999</v>
      </c>
      <c r="D235" s="5">
        <v>389.15109999999999</v>
      </c>
      <c r="E235" s="5">
        <v>1331817</v>
      </c>
      <c r="F235" s="5" t="s">
        <v>1052</v>
      </c>
      <c r="G235" s="9">
        <f t="shared" si="1"/>
        <v>1.0921721665440476E-2</v>
      </c>
      <c r="I235" s="15" t="s">
        <v>1139</v>
      </c>
      <c r="J235" s="15" t="s">
        <v>1141</v>
      </c>
      <c r="L235" s="23" t="s">
        <v>1151</v>
      </c>
      <c r="M235" s="24" t="s">
        <v>1152</v>
      </c>
      <c r="P235" s="23" t="s">
        <v>1153</v>
      </c>
      <c r="Q235" s="24" t="s">
        <v>1154</v>
      </c>
    </row>
    <row r="236" spans="1:17" ht="15">
      <c r="A236" s="5">
        <v>392.59320000000002</v>
      </c>
      <c r="B236" s="5">
        <v>393.6807</v>
      </c>
      <c r="C236" s="5">
        <v>388.55250000000001</v>
      </c>
      <c r="D236" s="5">
        <v>390.21870000000001</v>
      </c>
      <c r="E236" s="5">
        <v>1389832</v>
      </c>
      <c r="F236" s="5" t="s">
        <v>1051</v>
      </c>
      <c r="G236" s="9">
        <f t="shared" si="1"/>
        <v>6.0850492300856818E-3</v>
      </c>
      <c r="I236" s="13">
        <v>-0.04</v>
      </c>
      <c r="J236">
        <v>1</v>
      </c>
      <c r="L236" s="13">
        <v>-4.1000000000000002E-2</v>
      </c>
      <c r="M236" s="2">
        <f t="shared" ref="M236:M267" si="2">_xlfn.NORM.DIST(L236,$K$226,$K$228,FALSE)</f>
        <v>0.24330261971412301</v>
      </c>
      <c r="O236" s="2" t="s">
        <v>1142</v>
      </c>
      <c r="P236" s="16">
        <f>K226</f>
        <v>2.8840192365155138E-4</v>
      </c>
      <c r="Q236" s="2">
        <v>0</v>
      </c>
    </row>
    <row r="237" spans="1:17" ht="15">
      <c r="A237" s="5">
        <v>389.59010000000001</v>
      </c>
      <c r="B237" s="5">
        <v>394.08960000000002</v>
      </c>
      <c r="C237" s="5">
        <v>387.99380000000002</v>
      </c>
      <c r="D237" s="5">
        <v>393.2516</v>
      </c>
      <c r="E237" s="5">
        <v>1996570</v>
      </c>
      <c r="F237" s="5" t="s">
        <v>1050</v>
      </c>
      <c r="G237" s="9">
        <f t="shared" si="1"/>
        <v>-9.3108330646334281E-3</v>
      </c>
      <c r="I237" s="13">
        <v>-3.9E-2</v>
      </c>
      <c r="J237">
        <v>1</v>
      </c>
      <c r="L237" s="13">
        <v>-0.04</v>
      </c>
      <c r="M237" s="2">
        <f t="shared" si="2"/>
        <v>0.30633285338385041</v>
      </c>
      <c r="P237" s="16">
        <f>K227</f>
        <v>3.4810405770502317E-4</v>
      </c>
      <c r="Q237" s="2">
        <v>32</v>
      </c>
    </row>
    <row r="238" spans="1:17" ht="15">
      <c r="A238" s="5">
        <v>394.93779999999998</v>
      </c>
      <c r="B238" s="5">
        <v>395.29689999999999</v>
      </c>
      <c r="C238" s="5">
        <v>387.0061</v>
      </c>
      <c r="D238" s="5">
        <v>388.7371</v>
      </c>
      <c r="E238" s="5">
        <v>2102209</v>
      </c>
      <c r="F238" s="5" t="s">
        <v>1049</v>
      </c>
      <c r="G238" s="9">
        <f t="shared" si="1"/>
        <v>1.5950883000361848E-2</v>
      </c>
      <c r="I238" s="13">
        <v>-3.7999999999999999E-2</v>
      </c>
      <c r="J238">
        <v>0</v>
      </c>
      <c r="L238" s="13">
        <v>-3.9E-2</v>
      </c>
      <c r="M238" s="2">
        <f t="shared" si="2"/>
        <v>0.38351958154803484</v>
      </c>
      <c r="O238" s="17" t="s">
        <v>1143</v>
      </c>
      <c r="P238" s="16">
        <f>$K$226+($K$228*-3)</f>
        <v>-3.9630645898099899E-2</v>
      </c>
      <c r="Q238" s="2">
        <v>0</v>
      </c>
    </row>
    <row r="239" spans="1:17" ht="15">
      <c r="A239" s="5">
        <v>382.53640000000001</v>
      </c>
      <c r="B239" s="5">
        <v>384.93090000000001</v>
      </c>
      <c r="C239" s="5">
        <v>378.1266</v>
      </c>
      <c r="D239" s="5">
        <v>384.11279999999999</v>
      </c>
      <c r="E239" s="5">
        <v>1727128</v>
      </c>
      <c r="F239" s="5" t="s">
        <v>1048</v>
      </c>
      <c r="G239" s="9">
        <f t="shared" si="1"/>
        <v>-4.1040027825158809E-3</v>
      </c>
      <c r="I239" s="13">
        <v>-3.6999999999999998E-2</v>
      </c>
      <c r="J239">
        <v>0</v>
      </c>
      <c r="L239" s="13">
        <v>-3.7999999999999999E-2</v>
      </c>
      <c r="M239" s="2">
        <f t="shared" si="2"/>
        <v>0.47745086551047328</v>
      </c>
      <c r="O239" s="18"/>
      <c r="P239" s="16">
        <f>$K$226+($K$228*-3)</f>
        <v>-3.9630645898099899E-2</v>
      </c>
      <c r="Q239" s="2">
        <v>3</v>
      </c>
    </row>
    <row r="240" spans="1:17" ht="15">
      <c r="A240" s="5">
        <v>380.91019999999997</v>
      </c>
      <c r="B240" s="5">
        <v>380.94009999999997</v>
      </c>
      <c r="C240" s="5">
        <v>371.21260000000001</v>
      </c>
      <c r="D240" s="5">
        <v>371.21260000000001</v>
      </c>
      <c r="E240" s="5">
        <v>1515283</v>
      </c>
      <c r="F240" s="5" t="s">
        <v>1047</v>
      </c>
      <c r="G240" s="9">
        <f t="shared" si="1"/>
        <v>2.6124113244000879E-2</v>
      </c>
      <c r="I240" s="13">
        <v>-3.5999999999999997E-2</v>
      </c>
      <c r="J240">
        <v>1</v>
      </c>
      <c r="L240" s="13">
        <v>-3.6999999999999998E-2</v>
      </c>
      <c r="M240" s="2">
        <f t="shared" si="2"/>
        <v>0.59104017531798669</v>
      </c>
      <c r="O240" s="17" t="s">
        <v>1144</v>
      </c>
      <c r="P240" s="16">
        <f>$K$226+($K$228*-2)</f>
        <v>-2.6324296624182748E-2</v>
      </c>
      <c r="Q240" s="2">
        <v>0</v>
      </c>
    </row>
    <row r="241" spans="1:36" ht="15">
      <c r="A241" s="5">
        <v>367.76049999999998</v>
      </c>
      <c r="B241" s="5">
        <v>369.19720000000001</v>
      </c>
      <c r="C241" s="5">
        <v>362.82190000000003</v>
      </c>
      <c r="D241" s="5">
        <v>363.68990000000002</v>
      </c>
      <c r="E241" s="5">
        <v>1529224</v>
      </c>
      <c r="F241" s="5" t="s">
        <v>1046</v>
      </c>
      <c r="G241" s="9">
        <f t="shared" si="1"/>
        <v>1.1192502183865916E-2</v>
      </c>
      <c r="I241" s="13">
        <v>-3.4999999999999996E-2</v>
      </c>
      <c r="J241">
        <v>4</v>
      </c>
      <c r="L241" s="13">
        <v>-3.5999999999999997E-2</v>
      </c>
      <c r="M241" s="2">
        <f t="shared" si="2"/>
        <v>0.72753266253923077</v>
      </c>
      <c r="O241" s="18"/>
      <c r="P241" s="16">
        <f>$K$226+($K$228*-2)</f>
        <v>-2.6324296624182748E-2</v>
      </c>
      <c r="Q241" s="2">
        <v>7</v>
      </c>
    </row>
    <row r="242" spans="1:36" ht="15">
      <c r="A242" s="5">
        <v>361.96390000000002</v>
      </c>
      <c r="B242" s="5">
        <v>362.77210000000002</v>
      </c>
      <c r="C242" s="5">
        <v>358.49189999999999</v>
      </c>
      <c r="D242" s="5">
        <v>361.99380000000002</v>
      </c>
      <c r="E242" s="5">
        <v>1175858</v>
      </c>
      <c r="F242" s="5" t="s">
        <v>1045</v>
      </c>
      <c r="G242" s="9">
        <f t="shared" si="1"/>
        <v>-8.2598099746422626E-5</v>
      </c>
      <c r="I242" s="13">
        <v>-3.3999999999999996E-2</v>
      </c>
      <c r="J242">
        <v>2</v>
      </c>
      <c r="L242" s="13">
        <v>-3.4999999999999996E-2</v>
      </c>
      <c r="M242" s="2">
        <f t="shared" si="2"/>
        <v>0.89050254374147597</v>
      </c>
      <c r="O242" s="19" t="s">
        <v>1145</v>
      </c>
      <c r="P242" s="16">
        <f>$K$226+($K$228*-1)</f>
        <v>-1.3017947350265598E-2</v>
      </c>
      <c r="Q242" s="2">
        <v>0</v>
      </c>
    </row>
    <row r="243" spans="1:36" ht="15">
      <c r="A243" s="5">
        <v>360.1481</v>
      </c>
      <c r="B243" s="5">
        <v>367.00229999999999</v>
      </c>
      <c r="C243" s="5">
        <v>359.92860000000002</v>
      </c>
      <c r="D243" s="5">
        <v>362.81200000000001</v>
      </c>
      <c r="E243" s="5">
        <v>1400835</v>
      </c>
      <c r="F243" s="5" t="s">
        <v>1044</v>
      </c>
      <c r="G243" s="9">
        <f t="shared" si="1"/>
        <v>-7.3423701531372121E-3</v>
      </c>
      <c r="I243" s="13">
        <v>-3.2999999999999995E-2</v>
      </c>
      <c r="J243">
        <v>1</v>
      </c>
      <c r="L243" s="13">
        <v>-3.3999999999999996E-2</v>
      </c>
      <c r="M243" s="2">
        <f t="shared" si="2"/>
        <v>1.0838395846539897</v>
      </c>
      <c r="P243" s="16">
        <f>$K$226+($K$228*-1)</f>
        <v>-1.3017947350265598E-2</v>
      </c>
      <c r="Q243" s="2">
        <v>25</v>
      </c>
    </row>
    <row r="244" spans="1:36" ht="15">
      <c r="A244" s="5">
        <v>364.81729999999999</v>
      </c>
      <c r="B244" s="5">
        <v>367.97</v>
      </c>
      <c r="C244" s="5">
        <v>360.32769999999999</v>
      </c>
      <c r="D244" s="5">
        <v>360.78660000000002</v>
      </c>
      <c r="E244" s="5">
        <v>1313873</v>
      </c>
      <c r="F244" s="5" t="s">
        <v>1043</v>
      </c>
      <c r="G244" s="9">
        <f t="shared" si="1"/>
        <v>1.1171978116703896E-2</v>
      </c>
      <c r="I244" s="13">
        <v>-3.1999999999999994E-2</v>
      </c>
      <c r="J244">
        <v>1</v>
      </c>
      <c r="L244" s="13">
        <v>-3.2999999999999995E-2</v>
      </c>
      <c r="M244" s="2">
        <f t="shared" si="2"/>
        <v>1.3117226816436751</v>
      </c>
      <c r="O244" s="2" t="s">
        <v>1146</v>
      </c>
      <c r="P244" s="16">
        <f>$K$226+($K$228*1)</f>
        <v>1.3594751197568701E-2</v>
      </c>
      <c r="Q244" s="2">
        <v>0</v>
      </c>
    </row>
    <row r="245" spans="1:36" ht="15">
      <c r="A245" s="5">
        <v>363.26089999999999</v>
      </c>
      <c r="B245" s="5">
        <v>364.10899999999998</v>
      </c>
      <c r="C245" s="5">
        <v>353.90820000000002</v>
      </c>
      <c r="D245" s="5">
        <v>360.47239999999999</v>
      </c>
      <c r="E245" s="5">
        <v>1534717</v>
      </c>
      <c r="F245" s="5" t="s">
        <v>1042</v>
      </c>
      <c r="G245" s="9">
        <f t="shared" si="1"/>
        <v>7.7356823989853662E-3</v>
      </c>
      <c r="I245" s="13">
        <v>-3.0999999999999993E-2</v>
      </c>
      <c r="J245">
        <v>3</v>
      </c>
      <c r="L245" s="13">
        <v>-3.1999999999999994E-2</v>
      </c>
      <c r="M245" s="2">
        <f t="shared" si="2"/>
        <v>1.578578645060458</v>
      </c>
      <c r="P245" s="16">
        <f>$K$226+($K$228*1)</f>
        <v>1.3594751197568701E-2</v>
      </c>
      <c r="Q245" s="2">
        <v>25</v>
      </c>
    </row>
    <row r="246" spans="1:36" ht="15">
      <c r="A246" s="5">
        <v>354.36149999999998</v>
      </c>
      <c r="B246" s="5">
        <v>361.63470000000001</v>
      </c>
      <c r="C246" s="5">
        <v>351.03919999999999</v>
      </c>
      <c r="D246" s="5">
        <v>361.33539999999999</v>
      </c>
      <c r="E246" s="5">
        <v>1931593</v>
      </c>
      <c r="F246" s="5" t="s">
        <v>1041</v>
      </c>
      <c r="G246" s="9">
        <f t="shared" si="1"/>
        <v>-1.9300350865151916E-2</v>
      </c>
      <c r="I246" s="13">
        <v>-2.9999999999999992E-2</v>
      </c>
      <c r="J246">
        <v>1</v>
      </c>
      <c r="L246" s="13">
        <v>-3.0999999999999993E-2</v>
      </c>
      <c r="M246" s="2">
        <f t="shared" si="2"/>
        <v>1.8890245151375733</v>
      </c>
      <c r="O246" s="20" t="s">
        <v>1147</v>
      </c>
      <c r="P246" s="16">
        <f>$K$226+($K$228*2)</f>
        <v>2.6901100471485851E-2</v>
      </c>
      <c r="Q246" s="2">
        <v>0</v>
      </c>
      <c r="AH246" s="2" t="s">
        <v>1578</v>
      </c>
    </row>
    <row r="247" spans="1:36" ht="15">
      <c r="A247" s="5">
        <v>360.52719999999999</v>
      </c>
      <c r="B247" s="5">
        <v>361.60469999999998</v>
      </c>
      <c r="C247" s="5">
        <v>357.19490000000002</v>
      </c>
      <c r="D247" s="5">
        <v>360.12819999999999</v>
      </c>
      <c r="E247" s="5">
        <v>1269910</v>
      </c>
      <c r="F247" s="5" t="s">
        <v>1040</v>
      </c>
      <c r="G247" s="9">
        <f t="shared" si="1"/>
        <v>1.1079387840218224E-3</v>
      </c>
      <c r="I247" s="13">
        <v>-2.8999999999999991E-2</v>
      </c>
      <c r="J247">
        <v>4</v>
      </c>
      <c r="L247" s="13">
        <v>-2.9999999999999992E-2</v>
      </c>
      <c r="M247" s="2">
        <f t="shared" si="2"/>
        <v>2.2477920988013178</v>
      </c>
      <c r="P247" s="16">
        <f>$K$226+($K$228*2)</f>
        <v>2.6901100471485851E-2</v>
      </c>
      <c r="Q247" s="2">
        <v>7</v>
      </c>
      <c r="AI247" s="2" t="s">
        <v>1579</v>
      </c>
    </row>
    <row r="248" spans="1:36" ht="15">
      <c r="A248" s="5">
        <v>360.68689999999998</v>
      </c>
      <c r="B248" s="5">
        <v>361.16180000000003</v>
      </c>
      <c r="C248" s="5">
        <v>357.47430000000003</v>
      </c>
      <c r="D248" s="5">
        <v>360.13810000000001</v>
      </c>
      <c r="E248" s="5">
        <v>805544</v>
      </c>
      <c r="F248" s="5" t="s">
        <v>1039</v>
      </c>
      <c r="G248" s="9">
        <f t="shared" si="1"/>
        <v>1.523859874864586E-3</v>
      </c>
      <c r="I248" s="13">
        <v>-2.799999999999999E-2</v>
      </c>
      <c r="J248">
        <v>1</v>
      </c>
      <c r="L248" s="13">
        <v>-2.8999999999999991E-2</v>
      </c>
      <c r="M248" s="2">
        <f t="shared" si="2"/>
        <v>2.6596339130588227</v>
      </c>
      <c r="O248" s="20" t="s">
        <v>1148</v>
      </c>
      <c r="P248" s="16">
        <f>$K$226+($K$228*3)</f>
        <v>4.0207449745403002E-2</v>
      </c>
      <c r="Q248" s="2">
        <v>0</v>
      </c>
      <c r="AI248" s="2" t="s">
        <v>1580</v>
      </c>
    </row>
    <row r="249" spans="1:36" ht="15">
      <c r="A249" s="5">
        <v>357.89330000000001</v>
      </c>
      <c r="B249" s="5">
        <v>361.6447</v>
      </c>
      <c r="C249" s="5">
        <v>355.99779999999998</v>
      </c>
      <c r="D249" s="5">
        <v>361.6447</v>
      </c>
      <c r="E249" s="5">
        <v>858269</v>
      </c>
      <c r="F249" s="5" t="s">
        <v>1038</v>
      </c>
      <c r="G249" s="9">
        <f t="shared" si="1"/>
        <v>-1.0373164600504303E-2</v>
      </c>
      <c r="I249" s="13">
        <v>-2.6999999999999989E-2</v>
      </c>
      <c r="J249">
        <v>4</v>
      </c>
      <c r="L249" s="13">
        <v>-2.799999999999999E-2</v>
      </c>
      <c r="M249" s="2">
        <f t="shared" si="2"/>
        <v>3.1292103587889639</v>
      </c>
      <c r="O249" s="20"/>
      <c r="P249" s="16">
        <f>$K$226+($K$228*3)</f>
        <v>4.0207449745403002E-2</v>
      </c>
      <c r="Q249" s="2">
        <v>3</v>
      </c>
      <c r="AJ249" s="2" t="s">
        <v>1581</v>
      </c>
    </row>
    <row r="250" spans="1:36" ht="15">
      <c r="A250" s="5">
        <v>359.22030000000001</v>
      </c>
      <c r="B250" s="5">
        <v>363.7398</v>
      </c>
      <c r="C250" s="5">
        <v>357.4144</v>
      </c>
      <c r="D250" s="5">
        <v>361.06599999999997</v>
      </c>
      <c r="E250" s="5">
        <v>821834</v>
      </c>
      <c r="F250" s="5" t="s">
        <v>1037</v>
      </c>
      <c r="G250" s="9">
        <f t="shared" si="1"/>
        <v>-5.1118078135298228E-3</v>
      </c>
      <c r="I250" s="13">
        <v>-2.5999999999999988E-2</v>
      </c>
      <c r="J250">
        <v>1</v>
      </c>
      <c r="L250" s="13">
        <v>-2.6999999999999989E-2</v>
      </c>
      <c r="M250" s="2">
        <f t="shared" si="2"/>
        <v>3.6609587205509038</v>
      </c>
      <c r="AJ250" s="2" t="s">
        <v>1582</v>
      </c>
    </row>
    <row r="251" spans="1:36" ht="15">
      <c r="A251" s="5">
        <v>360.58710000000002</v>
      </c>
      <c r="B251" s="5">
        <v>362.42360000000002</v>
      </c>
      <c r="C251" s="5">
        <v>357.01369999999997</v>
      </c>
      <c r="D251" s="5">
        <v>361.22410000000002</v>
      </c>
      <c r="E251" s="5">
        <v>814082</v>
      </c>
      <c r="F251" s="5" t="s">
        <v>1036</v>
      </c>
      <c r="G251" s="9">
        <f t="shared" si="1"/>
        <v>-1.7634482306135846E-3</v>
      </c>
      <c r="I251" s="13">
        <v>-2.4999999999999988E-2</v>
      </c>
      <c r="J251">
        <v>5</v>
      </c>
      <c r="L251" s="13">
        <v>-2.5999999999999988E-2</v>
      </c>
      <c r="M251" s="2">
        <f t="shared" si="2"/>
        <v>4.258945476645092</v>
      </c>
    </row>
    <row r="252" spans="1:36" ht="15">
      <c r="A252" s="5">
        <v>365.41469999999998</v>
      </c>
      <c r="B252" s="5">
        <v>367.96289999999999</v>
      </c>
      <c r="C252" s="5">
        <v>363.10539999999997</v>
      </c>
      <c r="D252" s="5">
        <v>365.53410000000002</v>
      </c>
      <c r="E252" s="5">
        <v>705491</v>
      </c>
      <c r="F252" s="5" t="s">
        <v>1035</v>
      </c>
      <c r="G252" s="9">
        <f t="shared" si="1"/>
        <v>-3.2664531161397115E-4</v>
      </c>
      <c r="I252" s="13">
        <v>-2.3999999999999987E-2</v>
      </c>
      <c r="J252">
        <v>1</v>
      </c>
      <c r="L252" s="13">
        <v>-2.4999999999999988E-2</v>
      </c>
      <c r="M252" s="2">
        <f t="shared" si="2"/>
        <v>4.9267043820016658</v>
      </c>
    </row>
    <row r="253" spans="1:36" ht="15">
      <c r="A253" s="5">
        <v>367.714</v>
      </c>
      <c r="B253" s="5">
        <v>368.9384</v>
      </c>
      <c r="C253" s="5">
        <v>365.78300000000002</v>
      </c>
      <c r="D253" s="5">
        <v>366.53949999999998</v>
      </c>
      <c r="E253" s="5">
        <v>840826</v>
      </c>
      <c r="F253" s="5" t="s">
        <v>1034</v>
      </c>
      <c r="G253" s="9">
        <f t="shared" si="1"/>
        <v>3.2042931252975748E-3</v>
      </c>
      <c r="I253" s="13">
        <v>-2.2999999999999986E-2</v>
      </c>
      <c r="J253">
        <v>2</v>
      </c>
      <c r="L253" s="13">
        <v>-2.3999999999999987E-2</v>
      </c>
      <c r="M253" s="2">
        <f t="shared" si="2"/>
        <v>5.6670638170172571</v>
      </c>
    </row>
    <row r="254" spans="1:36" ht="15">
      <c r="A254" s="5">
        <v>369.06779999999998</v>
      </c>
      <c r="B254" s="5">
        <v>369.11750000000001</v>
      </c>
      <c r="C254" s="5">
        <v>364.86689999999999</v>
      </c>
      <c r="D254" s="5">
        <v>366.57929999999999</v>
      </c>
      <c r="E254" s="5">
        <v>431006</v>
      </c>
      <c r="F254" s="5" t="s">
        <v>1033</v>
      </c>
      <c r="G254" s="9">
        <f t="shared" si="1"/>
        <v>6.7884356809018165E-3</v>
      </c>
      <c r="I254" s="13">
        <v>-2.1999999999999985E-2</v>
      </c>
      <c r="J254">
        <v>2</v>
      </c>
      <c r="L254" s="13">
        <v>-2.2999999999999986E-2</v>
      </c>
      <c r="M254" s="2">
        <f t="shared" si="2"/>
        <v>6.4819679309391072</v>
      </c>
    </row>
    <row r="255" spans="1:36" ht="15">
      <c r="A255" s="5">
        <v>364.79759999999999</v>
      </c>
      <c r="B255" s="5">
        <v>365.56400000000002</v>
      </c>
      <c r="C255" s="5">
        <v>360.7663</v>
      </c>
      <c r="D255" s="5">
        <v>363.10539999999997</v>
      </c>
      <c r="E255" s="5">
        <v>1461406</v>
      </c>
      <c r="F255" s="5" t="s">
        <v>1032</v>
      </c>
      <c r="G255" s="9">
        <f t="shared" si="1"/>
        <v>4.6603548170862652E-3</v>
      </c>
      <c r="I255" s="13">
        <v>-2.0999999999999984E-2</v>
      </c>
      <c r="J255">
        <v>3</v>
      </c>
      <c r="L255" s="13">
        <v>-2.1999999999999985E-2</v>
      </c>
      <c r="M255" s="2">
        <f t="shared" si="2"/>
        <v>7.3722970932413006</v>
      </c>
    </row>
    <row r="256" spans="1:36" ht="15">
      <c r="A256" s="5">
        <v>362.91629999999998</v>
      </c>
      <c r="B256" s="5">
        <v>363.12029999999999</v>
      </c>
      <c r="C256" s="5">
        <v>354.35599999999999</v>
      </c>
      <c r="D256" s="5">
        <v>354.5849</v>
      </c>
      <c r="E256" s="5">
        <v>3146693</v>
      </c>
      <c r="F256" s="5" t="s">
        <v>1031</v>
      </c>
      <c r="G256" s="9">
        <f t="shared" si="1"/>
        <v>2.3496206409240772E-2</v>
      </c>
      <c r="I256" s="13">
        <v>-1.9999999999999983E-2</v>
      </c>
      <c r="J256">
        <v>5</v>
      </c>
      <c r="L256" s="13">
        <v>-2.0999999999999984E-2</v>
      </c>
      <c r="M256" s="2">
        <f t="shared" si="2"/>
        <v>8.3376940391129448</v>
      </c>
    </row>
    <row r="257" spans="1:13" ht="15">
      <c r="A257" s="5">
        <v>355.4907</v>
      </c>
      <c r="B257" s="5">
        <v>361.38339999999999</v>
      </c>
      <c r="C257" s="5">
        <v>354.65460000000002</v>
      </c>
      <c r="D257" s="5">
        <v>357.65069999999997</v>
      </c>
      <c r="E257" s="5">
        <v>1713558</v>
      </c>
      <c r="F257" s="5" t="s">
        <v>1030</v>
      </c>
      <c r="G257" s="9">
        <f t="shared" si="1"/>
        <v>-6.0394121974316484E-3</v>
      </c>
      <c r="I257" s="13">
        <v>-1.8999999999999982E-2</v>
      </c>
      <c r="J257">
        <v>9</v>
      </c>
      <c r="L257" s="13">
        <v>-1.9999999999999983E-2</v>
      </c>
      <c r="M257" s="2">
        <f t="shared" si="2"/>
        <v>9.3764027912942609</v>
      </c>
    </row>
    <row r="258" spans="1:13" ht="15">
      <c r="A258" s="5">
        <v>357.51139999999998</v>
      </c>
      <c r="B258" s="5">
        <v>370.20249999999999</v>
      </c>
      <c r="C258" s="5">
        <v>356.83449999999999</v>
      </c>
      <c r="D258" s="5">
        <v>369.2867</v>
      </c>
      <c r="E258" s="5">
        <v>1618165</v>
      </c>
      <c r="F258" s="5" t="s">
        <v>1029</v>
      </c>
      <c r="G258" s="9">
        <f t="shared" si="1"/>
        <v>-3.1886607343291851E-2</v>
      </c>
      <c r="I258" s="13">
        <v>-1.7999999999999981E-2</v>
      </c>
      <c r="J258">
        <v>6</v>
      </c>
      <c r="L258" s="13">
        <v>-1.8999999999999982E-2</v>
      </c>
      <c r="M258" s="2">
        <f t="shared" si="2"/>
        <v>10.485127896633797</v>
      </c>
    </row>
    <row r="259" spans="1:13" ht="15">
      <c r="A259" s="5">
        <v>369.0976</v>
      </c>
      <c r="B259" s="5">
        <v>372.84030000000001</v>
      </c>
      <c r="C259" s="5">
        <v>366.35039999999998</v>
      </c>
      <c r="D259" s="5">
        <v>369.86410000000001</v>
      </c>
      <c r="E259" s="5">
        <v>1540369</v>
      </c>
      <c r="F259" s="5" t="s">
        <v>1028</v>
      </c>
      <c r="G259" s="9">
        <f t="shared" si="1"/>
        <v>-2.0723828022238822E-3</v>
      </c>
      <c r="I259" s="13">
        <v>-1.699999999999998E-2</v>
      </c>
      <c r="J259">
        <v>10</v>
      </c>
      <c r="L259" s="13">
        <v>-1.7999999999999981E-2</v>
      </c>
      <c r="M259" s="2">
        <f t="shared" si="2"/>
        <v>11.658921673763489</v>
      </c>
    </row>
    <row r="260" spans="1:13" ht="15">
      <c r="A260" s="5">
        <v>370.97890000000001</v>
      </c>
      <c r="B260" s="5">
        <v>374.5025</v>
      </c>
      <c r="C260" s="5">
        <v>370.7251</v>
      </c>
      <c r="D260" s="5">
        <v>373.26830000000001</v>
      </c>
      <c r="E260" s="5">
        <v>1155610</v>
      </c>
      <c r="F260" s="5" t="s">
        <v>1027</v>
      </c>
      <c r="G260" s="9">
        <f t="shared" si="1"/>
        <v>-6.1333898431771283E-3</v>
      </c>
      <c r="I260" s="13">
        <v>-1.599999999999998E-2</v>
      </c>
      <c r="J260">
        <v>13</v>
      </c>
      <c r="L260" s="13">
        <v>-1.699999999999998E-2</v>
      </c>
      <c r="M260" s="2">
        <f t="shared" si="2"/>
        <v>12.891106979905215</v>
      </c>
    </row>
    <row r="261" spans="1:13" ht="15">
      <c r="A261" s="5">
        <v>372.87009999999998</v>
      </c>
      <c r="B261" s="5">
        <v>374.74639999999999</v>
      </c>
      <c r="C261" s="5">
        <v>371.42680000000001</v>
      </c>
      <c r="D261" s="5">
        <v>373.8854</v>
      </c>
      <c r="E261" s="5">
        <v>755824</v>
      </c>
      <c r="F261" s="5" t="s">
        <v>1026</v>
      </c>
      <c r="G261" s="9">
        <f t="shared" si="1"/>
        <v>-2.7155379696559567E-3</v>
      </c>
      <c r="I261" s="13">
        <v>-1.4999999999999979E-2</v>
      </c>
      <c r="J261">
        <v>11</v>
      </c>
      <c r="L261" s="13">
        <v>-1.599999999999998E-2</v>
      </c>
      <c r="M261" s="2">
        <f t="shared" si="2"/>
        <v>14.173242436056498</v>
      </c>
    </row>
    <row r="262" spans="1:13" ht="15">
      <c r="A262" s="5">
        <v>373.32799999999997</v>
      </c>
      <c r="B262" s="5">
        <v>376.34399999999999</v>
      </c>
      <c r="C262" s="5">
        <v>372.89</v>
      </c>
      <c r="D262" s="5">
        <v>375.25900000000001</v>
      </c>
      <c r="E262" s="5">
        <v>846127</v>
      </c>
      <c r="F262" s="5" t="s">
        <v>1025</v>
      </c>
      <c r="G262" s="9">
        <f t="shared" si="1"/>
        <v>-5.1457793150865294E-3</v>
      </c>
      <c r="I262" s="13">
        <v>-1.3999999999999978E-2</v>
      </c>
      <c r="J262">
        <v>24</v>
      </c>
      <c r="L262" s="13">
        <v>-1.4999999999999979E-2</v>
      </c>
      <c r="M262" s="2">
        <f t="shared" si="2"/>
        <v>15.495136085031207</v>
      </c>
    </row>
    <row r="263" spans="1:13" ht="15">
      <c r="A263" s="5">
        <v>374.42290000000003</v>
      </c>
      <c r="B263" s="5">
        <v>384.84460000000001</v>
      </c>
      <c r="C263" s="5">
        <v>373.52710000000002</v>
      </c>
      <c r="D263" s="5">
        <v>381.25119999999998</v>
      </c>
      <c r="E263" s="5">
        <v>1214105</v>
      </c>
      <c r="F263" s="5" t="s">
        <v>1024</v>
      </c>
      <c r="G263" s="9">
        <f t="shared" si="1"/>
        <v>-1.7910238708756743E-2</v>
      </c>
      <c r="I263" s="13">
        <v>-1.2999999999999977E-2</v>
      </c>
      <c r="J263">
        <v>18</v>
      </c>
      <c r="L263" s="13">
        <v>-1.3999999999999978E-2</v>
      </c>
      <c r="M263" s="2">
        <f t="shared" si="2"/>
        <v>16.844912102018611</v>
      </c>
    </row>
    <row r="264" spans="1:13" ht="15">
      <c r="A264" s="5">
        <v>380.9128</v>
      </c>
      <c r="B264" s="5">
        <v>383.77949999999998</v>
      </c>
      <c r="C264" s="5">
        <v>379.33010000000002</v>
      </c>
      <c r="D264" s="5">
        <v>382.34609999999998</v>
      </c>
      <c r="E264" s="5">
        <v>1281748</v>
      </c>
      <c r="F264" s="5" t="s">
        <v>1023</v>
      </c>
      <c r="G264" s="9">
        <f t="shared" si="1"/>
        <v>-3.7486978420859796E-3</v>
      </c>
      <c r="I264" s="13">
        <v>-1.1999999999999976E-2</v>
      </c>
      <c r="J264">
        <v>27</v>
      </c>
      <c r="L264" s="13">
        <v>-1.2999999999999977E-2</v>
      </c>
      <c r="M264" s="2">
        <f t="shared" si="2"/>
        <v>18.209133462105321</v>
      </c>
    </row>
    <row r="265" spans="1:13" ht="15">
      <c r="A265" s="5">
        <v>379.35</v>
      </c>
      <c r="B265" s="5">
        <v>383.36869999999999</v>
      </c>
      <c r="C265" s="5">
        <v>377.0009</v>
      </c>
      <c r="D265" s="5">
        <v>383.02300000000002</v>
      </c>
      <c r="E265" s="5">
        <v>924899</v>
      </c>
      <c r="F265" s="5" t="s">
        <v>1022</v>
      </c>
      <c r="G265" s="9">
        <f t="shared" si="1"/>
        <v>-9.5895024580768817E-3</v>
      </c>
      <c r="I265" s="13">
        <v>-1.0999999999999975E-2</v>
      </c>
      <c r="J265">
        <v>18</v>
      </c>
      <c r="L265" s="13">
        <v>-1.1999999999999976E-2</v>
      </c>
      <c r="M265" s="2">
        <f t="shared" si="2"/>
        <v>19.572981447529923</v>
      </c>
    </row>
    <row r="266" spans="1:13" ht="15">
      <c r="A266" s="5">
        <v>383.24200000000002</v>
      </c>
      <c r="B266" s="5">
        <v>388.18900000000002</v>
      </c>
      <c r="C266" s="5">
        <v>381.32089999999999</v>
      </c>
      <c r="D266" s="5">
        <v>381.32089999999999</v>
      </c>
      <c r="E266" s="5">
        <v>1049412</v>
      </c>
      <c r="F266" s="5" t="s">
        <v>1021</v>
      </c>
      <c r="G266" s="9">
        <f t="shared" si="1"/>
        <v>5.0380139142649494E-3</v>
      </c>
      <c r="I266" s="13">
        <v>-9.9999999999999742E-3</v>
      </c>
      <c r="J266">
        <v>19</v>
      </c>
      <c r="L266" s="13">
        <v>-1.0999999999999975E-2</v>
      </c>
      <c r="M266" s="2">
        <f t="shared" si="2"/>
        <v>20.920490626570793</v>
      </c>
    </row>
    <row r="267" spans="1:13" ht="15">
      <c r="A267" s="5">
        <v>380.68389999999999</v>
      </c>
      <c r="B267" s="5">
        <v>386.91890000000001</v>
      </c>
      <c r="C267" s="5">
        <v>378.06599999999997</v>
      </c>
      <c r="D267" s="5">
        <v>385.392</v>
      </c>
      <c r="E267" s="5">
        <v>1319513</v>
      </c>
      <c r="F267" s="5" t="s">
        <v>1020</v>
      </c>
      <c r="G267" s="9">
        <f t="shared" si="1"/>
        <v>-1.2216392659941011E-2</v>
      </c>
      <c r="I267" s="13">
        <v>-8.9999999999999733E-3</v>
      </c>
      <c r="J267">
        <v>24</v>
      </c>
      <c r="L267" s="13">
        <v>-9.9999999999999742E-3</v>
      </c>
      <c r="M267" s="2">
        <f t="shared" si="2"/>
        <v>22.234835553740457</v>
      </c>
    </row>
    <row r="268" spans="1:13" ht="15">
      <c r="A268" s="5">
        <v>387.96010000000001</v>
      </c>
      <c r="B268" s="5">
        <v>390.39879999999999</v>
      </c>
      <c r="C268" s="5">
        <v>386.16840000000002</v>
      </c>
      <c r="D268" s="5">
        <v>388.94549999999998</v>
      </c>
      <c r="E268" s="5">
        <v>707714</v>
      </c>
      <c r="F268" s="5" t="s">
        <v>1019</v>
      </c>
      <c r="G268" s="9">
        <f t="shared" si="1"/>
        <v>-2.5335169066101892E-3</v>
      </c>
      <c r="I268" s="13">
        <v>-7.9999999999999724E-3</v>
      </c>
      <c r="J268">
        <v>16</v>
      </c>
      <c r="L268" s="13">
        <v>-8.9999999999999733E-3</v>
      </c>
      <c r="M268" s="2">
        <f t="shared" ref="M268:M299" si="3">_xlfn.NORM.DIST(L268,$K$226,$K$228,FALSE)</f>
        <v>23.49866304135163</v>
      </c>
    </row>
    <row r="269" spans="1:13" ht="15">
      <c r="A269" s="5">
        <v>389.16449999999998</v>
      </c>
      <c r="B269" s="5">
        <v>390.09019999999998</v>
      </c>
      <c r="C269" s="5">
        <v>384.67529999999999</v>
      </c>
      <c r="D269" s="5">
        <v>387.69139999999999</v>
      </c>
      <c r="E269" s="5">
        <v>923883</v>
      </c>
      <c r="F269" s="5" t="s">
        <v>1018</v>
      </c>
      <c r="G269" s="9">
        <f t="shared" si="1"/>
        <v>3.7996715944692561E-3</v>
      </c>
      <c r="I269" s="13">
        <v>-6.9999999999999724E-3</v>
      </c>
      <c r="J269">
        <v>26</v>
      </c>
      <c r="L269" s="13">
        <v>-7.9999999999999724E-3</v>
      </c>
      <c r="M269" s="2">
        <f t="shared" si="3"/>
        <v>24.694461559704717</v>
      </c>
    </row>
    <row r="270" spans="1:13" ht="15">
      <c r="A270" s="5">
        <v>387.83069999999998</v>
      </c>
      <c r="B270" s="5">
        <v>392.31990000000002</v>
      </c>
      <c r="C270" s="5">
        <v>386.87509999999997</v>
      </c>
      <c r="D270" s="5">
        <v>391.43400000000003</v>
      </c>
      <c r="E270" s="5">
        <v>1216547</v>
      </c>
      <c r="F270" s="5" t="s">
        <v>1017</v>
      </c>
      <c r="G270" s="9">
        <f t="shared" si="1"/>
        <v>-9.2053832830056859E-3</v>
      </c>
      <c r="I270" s="13">
        <v>-5.9999999999999724E-3</v>
      </c>
      <c r="J270">
        <v>29</v>
      </c>
      <c r="L270" s="13">
        <v>-6.9999999999999724E-3</v>
      </c>
      <c r="M270" s="2">
        <f t="shared" si="3"/>
        <v>25.804957264360048</v>
      </c>
    </row>
    <row r="271" spans="1:13" ht="15">
      <c r="A271" s="5">
        <v>390.33909999999997</v>
      </c>
      <c r="B271" s="5">
        <v>391.48379999999997</v>
      </c>
      <c r="C271" s="5">
        <v>384.67529999999999</v>
      </c>
      <c r="D271" s="5">
        <v>385.24270000000001</v>
      </c>
      <c r="E271" s="5">
        <v>711206</v>
      </c>
      <c r="F271" s="5" t="s">
        <v>1016</v>
      </c>
      <c r="G271" s="9">
        <f t="shared" si="1"/>
        <v>1.322906313344796E-2</v>
      </c>
      <c r="I271" s="13">
        <v>-4.9999999999999723E-3</v>
      </c>
      <c r="J271">
        <v>17</v>
      </c>
      <c r="L271" s="13">
        <v>-5.9999999999999724E-3</v>
      </c>
      <c r="M271" s="2">
        <f t="shared" si="3"/>
        <v>26.81352444662306</v>
      </c>
    </row>
    <row r="272" spans="1:13" ht="15">
      <c r="A272" s="5">
        <v>386.3476</v>
      </c>
      <c r="B272" s="5">
        <v>389.59249999999997</v>
      </c>
      <c r="C272" s="5">
        <v>386.02910000000003</v>
      </c>
      <c r="D272" s="5">
        <v>387.36290000000002</v>
      </c>
      <c r="E272" s="5">
        <v>1018008</v>
      </c>
      <c r="F272" s="5" t="s">
        <v>1015</v>
      </c>
      <c r="G272" s="9">
        <f t="shared" si="1"/>
        <v>-2.6210563789150765E-3</v>
      </c>
      <c r="I272" s="13">
        <v>-3.9999999999999723E-3</v>
      </c>
      <c r="J272">
        <v>23</v>
      </c>
      <c r="L272" s="13">
        <v>-4.9999999999999723E-3</v>
      </c>
      <c r="M272" s="2">
        <f t="shared" si="3"/>
        <v>27.704596967012165</v>
      </c>
    </row>
    <row r="273" spans="1:13" ht="15">
      <c r="A273" s="5">
        <v>387.91030000000001</v>
      </c>
      <c r="B273" s="5">
        <v>388.14920000000001</v>
      </c>
      <c r="C273" s="5">
        <v>383.12869999999998</v>
      </c>
      <c r="D273" s="5">
        <v>386.20819999999998</v>
      </c>
      <c r="E273" s="5">
        <v>1014597</v>
      </c>
      <c r="F273" s="5" t="s">
        <v>1014</v>
      </c>
      <c r="G273" s="9">
        <f t="shared" si="1"/>
        <v>4.4072083399575579E-3</v>
      </c>
      <c r="I273" s="13">
        <v>-2.9999999999999723E-3</v>
      </c>
      <c r="J273">
        <v>37</v>
      </c>
      <c r="L273" s="13">
        <v>-3.9999999999999723E-3</v>
      </c>
      <c r="M273" s="2">
        <f t="shared" si="3"/>
        <v>28.464066550027482</v>
      </c>
    </row>
    <row r="274" spans="1:13" ht="15">
      <c r="A274" s="5">
        <v>383.13249999999999</v>
      </c>
      <c r="B274" s="5">
        <v>386.63389999999998</v>
      </c>
      <c r="C274" s="5">
        <v>377.7475</v>
      </c>
      <c r="D274" s="5">
        <v>384.5061</v>
      </c>
      <c r="E274" s="5">
        <v>2102840</v>
      </c>
      <c r="F274" s="5" t="s">
        <v>1013</v>
      </c>
      <c r="G274" s="9">
        <f t="shared" si="1"/>
        <v>-3.5723750546480249E-3</v>
      </c>
      <c r="I274" s="13">
        <v>-1.9999999999999723E-3</v>
      </c>
      <c r="J274">
        <v>41</v>
      </c>
      <c r="L274" s="13">
        <v>-2.9999999999999723E-3</v>
      </c>
      <c r="M274" s="2">
        <f t="shared" si="3"/>
        <v>29.079653753616999</v>
      </c>
    </row>
    <row r="275" spans="1:13" ht="15">
      <c r="A275" s="5">
        <v>383.07279999999997</v>
      </c>
      <c r="B275" s="5">
        <v>389.26409999999998</v>
      </c>
      <c r="C275" s="5">
        <v>379.7183</v>
      </c>
      <c r="D275" s="5">
        <v>388.6071</v>
      </c>
      <c r="E275" s="5">
        <v>1069692</v>
      </c>
      <c r="F275" s="5" t="s">
        <v>1012</v>
      </c>
      <c r="G275" s="9">
        <f t="shared" si="1"/>
        <v>-1.4241376444228737E-2</v>
      </c>
      <c r="I275" s="13">
        <v>-9.9999999999997227E-4</v>
      </c>
      <c r="J275">
        <v>35</v>
      </c>
      <c r="L275" s="13">
        <v>-1.9999999999999723E-3</v>
      </c>
      <c r="M275" s="2">
        <f t="shared" si="3"/>
        <v>29.541238007479279</v>
      </c>
    </row>
    <row r="276" spans="1:13" ht="15">
      <c r="A276" s="5">
        <v>388.3383</v>
      </c>
      <c r="B276" s="5">
        <v>388.56229999999999</v>
      </c>
      <c r="C276" s="5">
        <v>382.79410000000001</v>
      </c>
      <c r="D276" s="5">
        <v>385.40199999999999</v>
      </c>
      <c r="E276" s="5">
        <v>1136399</v>
      </c>
      <c r="F276" s="5" t="s">
        <v>1011</v>
      </c>
      <c r="G276" s="9">
        <f t="shared" si="1"/>
        <v>7.6187980342603545E-3</v>
      </c>
      <c r="I276" s="13">
        <v>2.7755575615628914E-17</v>
      </c>
      <c r="J276">
        <v>45</v>
      </c>
      <c r="L276" s="13">
        <v>-9.9999999999997227E-4</v>
      </c>
      <c r="M276" s="2">
        <f t="shared" si="3"/>
        <v>29.84113433421124</v>
      </c>
    </row>
    <row r="277" spans="1:13" ht="15">
      <c r="A277" s="5">
        <v>383.89890000000003</v>
      </c>
      <c r="B277" s="5">
        <v>388.19900000000001</v>
      </c>
      <c r="C277" s="5">
        <v>380.48480000000001</v>
      </c>
      <c r="D277" s="5">
        <v>388.04969999999997</v>
      </c>
      <c r="E277" s="5">
        <v>1098082</v>
      </c>
      <c r="F277" s="5" t="s">
        <v>1010</v>
      </c>
      <c r="G277" s="9">
        <f t="shared" si="1"/>
        <v>-1.0696567991161809E-2</v>
      </c>
      <c r="I277" s="13">
        <v>1.0000000000000278E-3</v>
      </c>
      <c r="J277">
        <v>53</v>
      </c>
      <c r="L277" s="13">
        <v>2.7755575615628914E-17</v>
      </c>
      <c r="M277" s="2">
        <f t="shared" si="3"/>
        <v>29.974306183221255</v>
      </c>
    </row>
    <row r="278" spans="1:13" ht="15">
      <c r="A278" s="5">
        <v>386.88510000000002</v>
      </c>
      <c r="B278" s="5">
        <v>390.49340000000001</v>
      </c>
      <c r="C278" s="5">
        <v>384.108</v>
      </c>
      <c r="D278" s="5">
        <v>385.14319999999998</v>
      </c>
      <c r="E278" s="5">
        <v>1524168</v>
      </c>
      <c r="F278" s="5" t="s">
        <v>1009</v>
      </c>
      <c r="G278" s="9">
        <f t="shared" si="1"/>
        <v>4.5227333625519339E-3</v>
      </c>
      <c r="I278" s="13">
        <v>2.0000000000000278E-3</v>
      </c>
      <c r="J278">
        <v>37</v>
      </c>
      <c r="L278" s="13">
        <v>1.0000000000000278E-3</v>
      </c>
      <c r="M278" s="2">
        <f t="shared" si="3"/>
        <v>29.938506141234956</v>
      </c>
    </row>
    <row r="279" spans="1:13" ht="15">
      <c r="A279" s="5">
        <v>387.60180000000003</v>
      </c>
      <c r="B279" s="5">
        <v>396.36110000000002</v>
      </c>
      <c r="C279" s="5">
        <v>387.23349999999999</v>
      </c>
      <c r="D279" s="5">
        <v>391.15530000000001</v>
      </c>
      <c r="E279" s="5">
        <v>2054699</v>
      </c>
      <c r="F279" s="5" t="s">
        <v>1008</v>
      </c>
      <c r="G279" s="9">
        <f t="shared" si="1"/>
        <v>-9.084627001091361E-3</v>
      </c>
      <c r="I279" s="13">
        <v>3.0000000000000278E-3</v>
      </c>
      <c r="J279">
        <v>26</v>
      </c>
      <c r="L279" s="13">
        <v>2.0000000000000278E-3</v>
      </c>
      <c r="M279" s="2">
        <f t="shared" si="3"/>
        <v>29.734339026119326</v>
      </c>
    </row>
    <row r="280" spans="1:13" ht="15">
      <c r="A280" s="5">
        <v>388.27859999999998</v>
      </c>
      <c r="B280" s="5">
        <v>390.19970000000001</v>
      </c>
      <c r="C280" s="5">
        <v>378.45420000000001</v>
      </c>
      <c r="D280" s="5">
        <v>380.226</v>
      </c>
      <c r="E280" s="5">
        <v>2874077</v>
      </c>
      <c r="F280" s="5" t="s">
        <v>1007</v>
      </c>
      <c r="G280" s="9">
        <f t="shared" si="1"/>
        <v>2.1178457022928532E-2</v>
      </c>
      <c r="I280" s="13">
        <v>4.0000000000000278E-3</v>
      </c>
      <c r="J280">
        <v>39</v>
      </c>
      <c r="L280" s="13">
        <v>3.0000000000000278E-3</v>
      </c>
      <c r="M280" s="2">
        <f t="shared" si="3"/>
        <v>29.365244888858772</v>
      </c>
    </row>
    <row r="281" spans="1:13" ht="15">
      <c r="A281" s="5">
        <v>381.51</v>
      </c>
      <c r="B281" s="5">
        <v>390.88650000000001</v>
      </c>
      <c r="C281" s="5">
        <v>380.63409999999999</v>
      </c>
      <c r="D281" s="5">
        <v>387.74110000000002</v>
      </c>
      <c r="E281" s="5">
        <v>1811783</v>
      </c>
      <c r="F281" s="5" t="s">
        <v>1006</v>
      </c>
      <c r="G281" s="9">
        <f t="shared" si="1"/>
        <v>-1.6070259252888186E-2</v>
      </c>
      <c r="I281" s="13">
        <v>5.0000000000000279E-3</v>
      </c>
      <c r="J281">
        <v>33</v>
      </c>
      <c r="L281" s="13">
        <v>4.0000000000000278E-3</v>
      </c>
      <c r="M281" s="2">
        <f t="shared" si="3"/>
        <v>28.837402591235453</v>
      </c>
    </row>
    <row r="282" spans="1:13" ht="15">
      <c r="A282" s="5">
        <v>386.54669999999999</v>
      </c>
      <c r="B282" s="5">
        <v>388.78629999999998</v>
      </c>
      <c r="C282" s="5">
        <v>383.56049999999999</v>
      </c>
      <c r="D282" s="5">
        <v>384.88440000000003</v>
      </c>
      <c r="E282" s="5">
        <v>1685887</v>
      </c>
      <c r="F282" s="5" t="s">
        <v>1005</v>
      </c>
      <c r="G282" s="9">
        <f t="shared" si="1"/>
        <v>4.3189591472139188E-3</v>
      </c>
      <c r="I282" s="13">
        <v>6.0000000000000279E-3</v>
      </c>
      <c r="J282">
        <v>29</v>
      </c>
      <c r="L282" s="13">
        <v>5.0000000000000279E-3</v>
      </c>
      <c r="M282" s="2">
        <f t="shared" si="3"/>
        <v>28.159557735840721</v>
      </c>
    </row>
    <row r="283" spans="1:13" ht="15">
      <c r="A283" s="5">
        <v>385.32229999999998</v>
      </c>
      <c r="B283" s="5">
        <v>386.32769999999999</v>
      </c>
      <c r="C283" s="5">
        <v>378.80259999999998</v>
      </c>
      <c r="D283" s="5">
        <v>379.65859999999998</v>
      </c>
      <c r="E283" s="5">
        <v>1634143</v>
      </c>
      <c r="F283" s="5" t="s">
        <v>1004</v>
      </c>
      <c r="G283" s="9">
        <f t="shared" si="1"/>
        <v>1.4917876218265569E-2</v>
      </c>
      <c r="I283" s="13">
        <v>7.0000000000000279E-3</v>
      </c>
      <c r="J283">
        <v>26</v>
      </c>
      <c r="L283" s="13">
        <v>6.0000000000000279E-3</v>
      </c>
      <c r="M283" s="2">
        <f t="shared" si="3"/>
        <v>27.342781644290781</v>
      </c>
    </row>
    <row r="284" spans="1:13" ht="15">
      <c r="A284" s="5">
        <v>377.11040000000003</v>
      </c>
      <c r="B284" s="5">
        <v>379.77809999999999</v>
      </c>
      <c r="C284" s="5">
        <v>374.40300000000002</v>
      </c>
      <c r="D284" s="5">
        <v>375.7269</v>
      </c>
      <c r="E284" s="5">
        <v>966242</v>
      </c>
      <c r="F284" s="5" t="s">
        <v>1003</v>
      </c>
      <c r="G284" s="9">
        <f t="shared" si="1"/>
        <v>3.682195765062346E-3</v>
      </c>
      <c r="I284" s="13">
        <v>8.0000000000000279E-3</v>
      </c>
      <c r="J284">
        <v>22</v>
      </c>
      <c r="L284" s="13">
        <v>7.0000000000000279E-3</v>
      </c>
      <c r="M284" s="2">
        <f t="shared" si="3"/>
        <v>26.400170664392089</v>
      </c>
    </row>
    <row r="285" spans="1:13" ht="15">
      <c r="A285" s="5">
        <v>374.22379999999998</v>
      </c>
      <c r="B285" s="5">
        <v>376.08519999999999</v>
      </c>
      <c r="C285" s="5">
        <v>369.11750000000001</v>
      </c>
      <c r="D285" s="5">
        <v>369.39620000000002</v>
      </c>
      <c r="E285" s="5">
        <v>1009226</v>
      </c>
      <c r="F285" s="5" t="s">
        <v>1002</v>
      </c>
      <c r="G285" s="9">
        <f t="shared" si="1"/>
        <v>1.3068894590686053E-2</v>
      </c>
      <c r="I285" s="13">
        <v>9.0000000000000288E-3</v>
      </c>
      <c r="J285">
        <v>24</v>
      </c>
      <c r="L285" s="13">
        <v>8.0000000000000279E-3</v>
      </c>
      <c r="M285" s="2">
        <f t="shared" si="3"/>
        <v>25.346497213325758</v>
      </c>
    </row>
    <row r="286" spans="1:13" ht="15">
      <c r="A286" s="5">
        <v>368.12209999999999</v>
      </c>
      <c r="B286" s="5">
        <v>368.62979999999999</v>
      </c>
      <c r="C286" s="5">
        <v>364.42930000000001</v>
      </c>
      <c r="D286" s="5">
        <v>368.62979999999999</v>
      </c>
      <c r="E286" s="5">
        <v>867013</v>
      </c>
      <c r="F286" s="5" t="s">
        <v>1001</v>
      </c>
      <c r="G286" s="9">
        <f t="shared" si="1"/>
        <v>-1.3772625002101968E-3</v>
      </c>
      <c r="I286" s="13">
        <v>1.000000000000003E-2</v>
      </c>
      <c r="J286">
        <v>30</v>
      </c>
      <c r="L286" s="13">
        <v>9.0000000000000288E-3</v>
      </c>
      <c r="M286" s="2">
        <f t="shared" si="3"/>
        <v>24.197825535155634</v>
      </c>
    </row>
    <row r="287" spans="1:13" ht="15">
      <c r="A287" s="5">
        <v>367.3159</v>
      </c>
      <c r="B287" s="5">
        <v>374.30349999999999</v>
      </c>
      <c r="C287" s="5">
        <v>362.93119999999999</v>
      </c>
      <c r="D287" s="5">
        <v>372.27289999999999</v>
      </c>
      <c r="E287" s="5">
        <v>1366185</v>
      </c>
      <c r="F287" s="5" t="s">
        <v>1000</v>
      </c>
      <c r="G287" s="9">
        <f t="shared" si="1"/>
        <v>-1.3315500537374625E-2</v>
      </c>
      <c r="I287" s="13">
        <v>1.1000000000000031E-2</v>
      </c>
      <c r="J287">
        <v>29</v>
      </c>
      <c r="L287" s="13">
        <v>1.000000000000003E-2</v>
      </c>
      <c r="M287" s="2">
        <f t="shared" si="3"/>
        <v>22.971106103509396</v>
      </c>
    </row>
    <row r="288" spans="1:13" ht="15">
      <c r="A288" s="5">
        <v>368.15199999999999</v>
      </c>
      <c r="B288" s="5">
        <v>368.57900000000001</v>
      </c>
      <c r="C288" s="5">
        <v>361.3734</v>
      </c>
      <c r="D288" s="5">
        <v>364.5487</v>
      </c>
      <c r="E288" s="5">
        <v>1346698</v>
      </c>
      <c r="F288" s="5" t="s">
        <v>999</v>
      </c>
      <c r="G288" s="9">
        <f t="shared" si="1"/>
        <v>9.8842760926043383E-3</v>
      </c>
      <c r="I288" s="13">
        <v>1.2000000000000031E-2</v>
      </c>
      <c r="J288">
        <v>21</v>
      </c>
      <c r="L288" s="13">
        <v>1.1000000000000031E-2</v>
      </c>
      <c r="M288" s="2">
        <f t="shared" si="3"/>
        <v>21.683762906467617</v>
      </c>
    </row>
    <row r="289" spans="1:13" ht="15">
      <c r="A289" s="5">
        <v>365.20569999999998</v>
      </c>
      <c r="B289" s="5">
        <v>367.9828</v>
      </c>
      <c r="C289" s="5">
        <v>362.44349999999997</v>
      </c>
      <c r="D289" s="5">
        <v>366.30059999999997</v>
      </c>
      <c r="E289" s="5">
        <v>730068</v>
      </c>
      <c r="F289" s="5" t="s">
        <v>998</v>
      </c>
      <c r="G289" s="9">
        <f t="shared" si="1"/>
        <v>-2.9890750929700838E-3</v>
      </c>
      <c r="I289" s="13">
        <v>1.3000000000000032E-2</v>
      </c>
      <c r="J289">
        <v>19</v>
      </c>
      <c r="L289" s="13">
        <v>1.2000000000000031E-2</v>
      </c>
      <c r="M289" s="2">
        <f t="shared" si="3"/>
        <v>20.353287519327644</v>
      </c>
    </row>
    <row r="290" spans="1:13" ht="15">
      <c r="A290" s="5">
        <v>365.4545</v>
      </c>
      <c r="B290" s="5">
        <v>366.06169999999997</v>
      </c>
      <c r="C290" s="5">
        <v>356.12779999999998</v>
      </c>
      <c r="D290" s="5">
        <v>356.50599999999997</v>
      </c>
      <c r="E290" s="5">
        <v>1860484</v>
      </c>
      <c r="F290" s="5" t="s">
        <v>997</v>
      </c>
      <c r="G290" s="9">
        <f t="shared" si="1"/>
        <v>2.510055931737476E-2</v>
      </c>
      <c r="I290" s="13">
        <v>1.4000000000000033E-2</v>
      </c>
      <c r="J290">
        <v>20</v>
      </c>
      <c r="L290" s="13">
        <v>1.3000000000000032E-2</v>
      </c>
      <c r="M290" s="2">
        <f t="shared" si="3"/>
        <v>18.996852945382901</v>
      </c>
    </row>
    <row r="291" spans="1:13" ht="15">
      <c r="A291" s="5">
        <v>354.63470000000001</v>
      </c>
      <c r="B291" s="5">
        <v>362.32900000000001</v>
      </c>
      <c r="C291" s="5">
        <v>353.91800000000001</v>
      </c>
      <c r="D291" s="5">
        <v>359.06420000000003</v>
      </c>
      <c r="E291" s="5">
        <v>1383928</v>
      </c>
      <c r="F291" s="5" t="s">
        <v>996</v>
      </c>
      <c r="G291" s="9">
        <f t="shared" si="1"/>
        <v>-1.2336234021659731E-2</v>
      </c>
      <c r="I291" s="13">
        <v>1.5000000000000034E-2</v>
      </c>
      <c r="J291">
        <v>11</v>
      </c>
      <c r="L291" s="13">
        <v>1.4000000000000033E-2</v>
      </c>
      <c r="M291" s="2">
        <f t="shared" si="3"/>
        <v>17.630958759087321</v>
      </c>
    </row>
    <row r="292" spans="1:13" ht="15">
      <c r="A292" s="5">
        <v>361.75170000000003</v>
      </c>
      <c r="B292" s="5">
        <v>372.00409999999999</v>
      </c>
      <c r="C292" s="5">
        <v>356.24720000000002</v>
      </c>
      <c r="D292" s="5">
        <v>363.99630000000002</v>
      </c>
      <c r="E292" s="5">
        <v>2242813</v>
      </c>
      <c r="F292" s="5" t="s">
        <v>995</v>
      </c>
      <c r="G292" s="9">
        <f t="shared" si="1"/>
        <v>-6.166546198409173E-3</v>
      </c>
      <c r="I292" s="13">
        <v>1.6000000000000035E-2</v>
      </c>
      <c r="J292">
        <v>11</v>
      </c>
      <c r="L292" s="13">
        <v>1.5000000000000034E-2</v>
      </c>
      <c r="M292" s="2">
        <f t="shared" si="3"/>
        <v>16.271117218493135</v>
      </c>
    </row>
    <row r="293" spans="1:13" ht="15">
      <c r="A293" s="5">
        <v>357.35210000000001</v>
      </c>
      <c r="B293" s="5">
        <v>360.6866</v>
      </c>
      <c r="C293" s="5">
        <v>351.81779999999998</v>
      </c>
      <c r="D293" s="5">
        <v>352.36520000000002</v>
      </c>
      <c r="E293" s="5">
        <v>2173842</v>
      </c>
      <c r="F293" s="5" t="s">
        <v>994</v>
      </c>
      <c r="G293" s="9">
        <f t="shared" si="1"/>
        <v>1.4152646175047856E-2</v>
      </c>
      <c r="I293" s="13">
        <v>1.7000000000000036E-2</v>
      </c>
      <c r="J293">
        <v>7</v>
      </c>
      <c r="L293" s="13">
        <v>1.6000000000000035E-2</v>
      </c>
      <c r="M293" s="2">
        <f t="shared" si="3"/>
        <v>14.931587840618413</v>
      </c>
    </row>
    <row r="294" spans="1:13" ht="15">
      <c r="A294" s="5">
        <v>354.36599999999999</v>
      </c>
      <c r="B294" s="5">
        <v>354.87360000000001</v>
      </c>
      <c r="C294" s="5">
        <v>352.5145</v>
      </c>
      <c r="D294" s="5">
        <v>354.22660000000002</v>
      </c>
      <c r="E294" s="5">
        <v>967742</v>
      </c>
      <c r="F294" s="5" t="s">
        <v>993</v>
      </c>
      <c r="G294" s="9">
        <f t="shared" si="1"/>
        <v>3.9353340488812449E-4</v>
      </c>
      <c r="I294" s="13">
        <v>1.8000000000000037E-2</v>
      </c>
      <c r="J294">
        <v>12</v>
      </c>
      <c r="L294" s="13">
        <v>1.7000000000000036E-2</v>
      </c>
      <c r="M294" s="2">
        <f t="shared" si="3"/>
        <v>13.625165579865037</v>
      </c>
    </row>
    <row r="295" spans="1:13" ht="15">
      <c r="A295" s="5">
        <v>351.19069999999999</v>
      </c>
      <c r="B295" s="5">
        <v>359.93009999999998</v>
      </c>
      <c r="C295" s="5">
        <v>349.6635</v>
      </c>
      <c r="D295" s="5">
        <v>356.83449999999999</v>
      </c>
      <c r="E295" s="5">
        <v>1244464</v>
      </c>
      <c r="F295" s="5" t="s">
        <v>992</v>
      </c>
      <c r="G295" s="9">
        <f t="shared" ref="G295:G358" si="4">A295/D295-1</f>
        <v>-1.581629578978494E-2</v>
      </c>
      <c r="I295" s="13">
        <v>1.9000000000000038E-2</v>
      </c>
      <c r="J295">
        <v>7</v>
      </c>
      <c r="L295" s="13">
        <v>1.8000000000000037E-2</v>
      </c>
      <c r="M295" s="2">
        <f t="shared" si="3"/>
        <v>12.363025342638814</v>
      </c>
    </row>
    <row r="296" spans="1:13" ht="15">
      <c r="A296" s="5">
        <v>358.238</v>
      </c>
      <c r="B296" s="5">
        <v>364.54629999999997</v>
      </c>
      <c r="C296" s="5">
        <v>358.22800000000001</v>
      </c>
      <c r="D296" s="5">
        <v>362.8168</v>
      </c>
      <c r="E296" s="5">
        <v>708143</v>
      </c>
      <c r="F296" s="5" t="s">
        <v>991</v>
      </c>
      <c r="G296" s="9">
        <f t="shared" si="4"/>
        <v>-1.2620143278922025E-2</v>
      </c>
      <c r="I296" s="13">
        <v>2.0000000000000039E-2</v>
      </c>
      <c r="J296">
        <v>5</v>
      </c>
      <c r="L296" s="13">
        <v>1.9000000000000038E-2</v>
      </c>
      <c r="M296" s="2">
        <f t="shared" si="3"/>
        <v>11.154623231589555</v>
      </c>
    </row>
    <row r="297" spans="1:13" ht="15">
      <c r="A297" s="5">
        <v>361.56259999999997</v>
      </c>
      <c r="B297" s="5">
        <v>365.27530000000002</v>
      </c>
      <c r="C297" s="5">
        <v>359.16370000000001</v>
      </c>
      <c r="D297" s="5">
        <v>363.03570000000002</v>
      </c>
      <c r="E297" s="5">
        <v>1313379</v>
      </c>
      <c r="F297" s="5" t="s">
        <v>990</v>
      </c>
      <c r="G297" s="9">
        <f t="shared" si="4"/>
        <v>-4.0577276559854436E-3</v>
      </c>
      <c r="I297" s="13">
        <v>2.1000000000000039E-2</v>
      </c>
      <c r="J297">
        <v>7</v>
      </c>
      <c r="L297" s="13">
        <v>2.0000000000000039E-2</v>
      </c>
      <c r="M297" s="2">
        <f t="shared" si="3"/>
        <v>10.007652748181465</v>
      </c>
    </row>
    <row r="298" spans="1:13" ht="15">
      <c r="A298" s="5">
        <v>364.3297</v>
      </c>
      <c r="B298" s="5">
        <v>365.62369999999999</v>
      </c>
      <c r="C298" s="5">
        <v>361.4083</v>
      </c>
      <c r="D298" s="5">
        <v>364.68810000000002</v>
      </c>
      <c r="E298" s="5">
        <v>893466</v>
      </c>
      <c r="F298" s="5" t="s">
        <v>989</v>
      </c>
      <c r="G298" s="9">
        <f t="shared" si="4"/>
        <v>-9.8275759477761682E-4</v>
      </c>
      <c r="I298" s="13">
        <v>2.200000000000004E-2</v>
      </c>
      <c r="J298">
        <v>14</v>
      </c>
      <c r="L298" s="13">
        <v>2.1000000000000039E-2</v>
      </c>
      <c r="M298" s="2">
        <f t="shared" si="3"/>
        <v>8.9280522821969779</v>
      </c>
    </row>
    <row r="299" spans="1:13" ht="15">
      <c r="A299" s="5">
        <v>365.55410000000001</v>
      </c>
      <c r="B299" s="5">
        <v>369.25689999999997</v>
      </c>
      <c r="C299" s="5">
        <v>364.51889999999997</v>
      </c>
      <c r="D299" s="5">
        <v>365.75310000000002</v>
      </c>
      <c r="E299" s="5">
        <v>906575</v>
      </c>
      <c r="F299" s="5" t="s">
        <v>988</v>
      </c>
      <c r="G299" s="9">
        <f t="shared" si="4"/>
        <v>-5.440828799537778E-4</v>
      </c>
      <c r="I299" s="13">
        <v>2.3000000000000041E-2</v>
      </c>
      <c r="J299">
        <v>3</v>
      </c>
      <c r="L299" s="13">
        <v>2.200000000000004E-2</v>
      </c>
      <c r="M299" s="2">
        <f t="shared" si="3"/>
        <v>7.9200586489003983</v>
      </c>
    </row>
    <row r="300" spans="1:13" ht="15">
      <c r="A300" s="5">
        <v>367.85340000000002</v>
      </c>
      <c r="B300" s="5">
        <v>369.45600000000002</v>
      </c>
      <c r="C300" s="5">
        <v>358.55149999999998</v>
      </c>
      <c r="D300" s="5">
        <v>359.48219999999998</v>
      </c>
      <c r="E300" s="5">
        <v>1589555</v>
      </c>
      <c r="F300" s="5" t="s">
        <v>987</v>
      </c>
      <c r="G300" s="9">
        <f t="shared" si="4"/>
        <v>2.3286827553631539E-2</v>
      </c>
      <c r="I300" s="13">
        <v>2.4000000000000042E-2</v>
      </c>
      <c r="J300">
        <v>7</v>
      </c>
      <c r="L300" s="13">
        <v>2.3000000000000041E-2</v>
      </c>
      <c r="M300" s="2">
        <f t="shared" ref="M300:M318" si="5">_xlfn.NORM.DIST(L300,$K$226,$K$228,FALSE)</f>
        <v>6.9863002426241483</v>
      </c>
    </row>
    <row r="301" spans="1:13" ht="15">
      <c r="A301" s="5">
        <v>358.06880000000001</v>
      </c>
      <c r="B301" s="5">
        <v>362.84660000000002</v>
      </c>
      <c r="C301" s="5">
        <v>357.38200000000001</v>
      </c>
      <c r="D301" s="5">
        <v>360.93549999999999</v>
      </c>
      <c r="E301" s="5">
        <v>820712</v>
      </c>
      <c r="F301" s="5" t="s">
        <v>986</v>
      </c>
      <c r="G301" s="9">
        <f t="shared" si="4"/>
        <v>-7.9424163042980389E-3</v>
      </c>
      <c r="I301" s="13">
        <v>2.5000000000000043E-2</v>
      </c>
      <c r="J301">
        <v>7</v>
      </c>
      <c r="L301" s="13">
        <v>2.4000000000000042E-2</v>
      </c>
      <c r="M301" s="2">
        <f t="shared" si="5"/>
        <v>6.1279225789406535</v>
      </c>
    </row>
    <row r="302" spans="1:13" ht="15">
      <c r="A302" s="5">
        <v>359.64150000000001</v>
      </c>
      <c r="B302" s="5">
        <v>360.67669999999998</v>
      </c>
      <c r="C302" s="5">
        <v>354.49540000000002</v>
      </c>
      <c r="D302" s="5">
        <v>356.73500000000001</v>
      </c>
      <c r="E302" s="5">
        <v>795954</v>
      </c>
      <c r="F302" s="5" t="s">
        <v>985</v>
      </c>
      <c r="G302" s="9">
        <f t="shared" si="4"/>
        <v>8.1475044500820548E-3</v>
      </c>
      <c r="I302" s="13">
        <v>2.6000000000000044E-2</v>
      </c>
      <c r="J302">
        <v>8</v>
      </c>
      <c r="L302" s="13">
        <v>2.5000000000000043E-2</v>
      </c>
      <c r="M302" s="2">
        <f t="shared" si="5"/>
        <v>5.3447385928472428</v>
      </c>
    </row>
    <row r="303" spans="1:13" ht="15">
      <c r="A303" s="5">
        <v>357.32220000000001</v>
      </c>
      <c r="B303" s="5">
        <v>363.33440000000002</v>
      </c>
      <c r="C303" s="5">
        <v>355.44099999999997</v>
      </c>
      <c r="D303" s="5">
        <v>357.3621</v>
      </c>
      <c r="E303" s="5">
        <v>975965</v>
      </c>
      <c r="F303" s="5" t="s">
        <v>984</v>
      </c>
      <c r="G303" s="9">
        <f t="shared" si="4"/>
        <v>-1.1165145940206234E-4</v>
      </c>
      <c r="I303" s="13">
        <v>2.7000000000000045E-2</v>
      </c>
      <c r="J303">
        <v>2</v>
      </c>
      <c r="L303" s="13">
        <v>2.6000000000000044E-2</v>
      </c>
      <c r="M303" s="2">
        <f t="shared" si="5"/>
        <v>4.6353960236808662</v>
      </c>
    </row>
    <row r="304" spans="1:13" ht="15">
      <c r="A304" s="5">
        <v>358.0489</v>
      </c>
      <c r="B304" s="5">
        <v>359.24329999999998</v>
      </c>
      <c r="C304" s="5">
        <v>353.24119999999999</v>
      </c>
      <c r="D304" s="5">
        <v>354.90350000000001</v>
      </c>
      <c r="E304" s="5">
        <v>698625</v>
      </c>
      <c r="F304" s="5" t="s">
        <v>983</v>
      </c>
      <c r="G304" s="9">
        <f t="shared" si="4"/>
        <v>8.8626908441309382E-3</v>
      </c>
      <c r="I304" s="13">
        <v>2.8000000000000046E-2</v>
      </c>
      <c r="J304">
        <v>0</v>
      </c>
      <c r="L304" s="13">
        <v>2.7000000000000045E-2</v>
      </c>
      <c r="M304" s="2">
        <f t="shared" si="5"/>
        <v>3.9975545082321977</v>
      </c>
    </row>
    <row r="305" spans="1:13" ht="15">
      <c r="A305" s="5">
        <v>353.9579</v>
      </c>
      <c r="B305" s="5">
        <v>357.21280000000002</v>
      </c>
      <c r="C305" s="5">
        <v>351.30020000000002</v>
      </c>
      <c r="D305" s="5">
        <v>353.36059999999998</v>
      </c>
      <c r="E305" s="5">
        <v>787931</v>
      </c>
      <c r="F305" s="5" t="s">
        <v>982</v>
      </c>
      <c r="G305" s="9">
        <f t="shared" si="4"/>
        <v>1.6903412547975005E-3</v>
      </c>
      <c r="I305" s="13">
        <v>2.9000000000000047E-2</v>
      </c>
      <c r="J305">
        <v>4</v>
      </c>
      <c r="L305" s="13">
        <v>2.8000000000000046E-2</v>
      </c>
      <c r="M305" s="2">
        <f t="shared" si="5"/>
        <v>3.4280655687282566</v>
      </c>
    </row>
    <row r="306" spans="1:13" ht="15">
      <c r="A306" s="5">
        <v>351.73820000000001</v>
      </c>
      <c r="B306" s="5">
        <v>354.35599999999999</v>
      </c>
      <c r="C306" s="5">
        <v>350.16539999999998</v>
      </c>
      <c r="D306" s="5">
        <v>353.36059999999998</v>
      </c>
      <c r="E306" s="5">
        <v>740946</v>
      </c>
      <c r="F306" s="5" t="s">
        <v>981</v>
      </c>
      <c r="G306" s="9">
        <f t="shared" si="4"/>
        <v>-4.5913438000727558E-3</v>
      </c>
      <c r="I306" s="13">
        <v>3.0000000000000047E-2</v>
      </c>
      <c r="J306">
        <v>1</v>
      </c>
      <c r="L306" s="13">
        <v>2.9000000000000047E-2</v>
      </c>
      <c r="M306" s="2">
        <f t="shared" si="5"/>
        <v>2.9231494610784972</v>
      </c>
    </row>
    <row r="307" spans="1:13" ht="15">
      <c r="A307" s="5">
        <v>352.3254</v>
      </c>
      <c r="B307" s="5">
        <v>352.85300000000001</v>
      </c>
      <c r="C307" s="5">
        <v>347.43810000000002</v>
      </c>
      <c r="D307" s="5">
        <v>349.05059999999997</v>
      </c>
      <c r="E307" s="5">
        <v>861434</v>
      </c>
      <c r="F307" s="5" t="s">
        <v>980</v>
      </c>
      <c r="G307" s="9">
        <f t="shared" si="4"/>
        <v>9.3820208302177743E-3</v>
      </c>
      <c r="I307" s="13">
        <v>3.1000000000000048E-2</v>
      </c>
      <c r="J307">
        <v>2</v>
      </c>
      <c r="L307" s="13">
        <v>3.0000000000000047E-2</v>
      </c>
      <c r="M307" s="2">
        <f t="shared" si="5"/>
        <v>2.4785637766983237</v>
      </c>
    </row>
    <row r="308" spans="1:13" ht="15">
      <c r="A308" s="5">
        <v>349.17009999999999</v>
      </c>
      <c r="B308" s="5">
        <v>350.0908</v>
      </c>
      <c r="C308" s="5">
        <v>344.95960000000002</v>
      </c>
      <c r="D308" s="5">
        <v>346.2337</v>
      </c>
      <c r="E308" s="5">
        <v>923168</v>
      </c>
      <c r="F308" s="5" t="s">
        <v>979</v>
      </c>
      <c r="G308" s="9">
        <f t="shared" si="4"/>
        <v>8.4809768662033047E-3</v>
      </c>
      <c r="I308" s="13">
        <v>3.2000000000000049E-2</v>
      </c>
      <c r="J308">
        <v>2</v>
      </c>
      <c r="L308" s="13">
        <v>3.1000000000000048E-2</v>
      </c>
      <c r="M308" s="2">
        <f t="shared" si="5"/>
        <v>2.089759704725016</v>
      </c>
    </row>
    <row r="309" spans="1:13" ht="15">
      <c r="A309" s="5">
        <v>343.5462</v>
      </c>
      <c r="B309" s="5">
        <v>348.29410000000001</v>
      </c>
      <c r="C309" s="5">
        <v>342.36169999999998</v>
      </c>
      <c r="D309" s="5">
        <v>348.29410000000001</v>
      </c>
      <c r="E309" s="5">
        <v>1096180</v>
      </c>
      <c r="F309" s="5" t="s">
        <v>978</v>
      </c>
      <c r="G309" s="9">
        <f t="shared" si="4"/>
        <v>-1.3631870307306393E-2</v>
      </c>
      <c r="I309" s="13">
        <v>3.300000000000005E-2</v>
      </c>
      <c r="J309">
        <v>0</v>
      </c>
      <c r="L309" s="13">
        <v>3.2000000000000049E-2</v>
      </c>
      <c r="M309" s="2">
        <f t="shared" si="5"/>
        <v>1.7520229011767259</v>
      </c>
    </row>
    <row r="310" spans="1:13" ht="15">
      <c r="A310" s="5">
        <v>349.59809999999999</v>
      </c>
      <c r="B310" s="5">
        <v>352.79329999999999</v>
      </c>
      <c r="C310" s="5">
        <v>346.2038</v>
      </c>
      <c r="D310" s="5">
        <v>350.7627</v>
      </c>
      <c r="E310" s="5">
        <v>676931</v>
      </c>
      <c r="F310" s="5" t="s">
        <v>977</v>
      </c>
      <c r="G310" s="9">
        <f t="shared" si="4"/>
        <v>-3.3201933957059948E-3</v>
      </c>
      <c r="I310" s="13">
        <v>3.4000000000000051E-2</v>
      </c>
      <c r="J310">
        <v>2</v>
      </c>
      <c r="L310" s="13">
        <v>3.300000000000005E-2</v>
      </c>
      <c r="M310" s="2">
        <f t="shared" si="5"/>
        <v>1.4605969252869571</v>
      </c>
    </row>
    <row r="311" spans="1:13" ht="15">
      <c r="A311" s="5">
        <v>349.98630000000003</v>
      </c>
      <c r="B311" s="5">
        <v>353.64929999999998</v>
      </c>
      <c r="C311" s="5">
        <v>349.10039999999998</v>
      </c>
      <c r="D311" s="5">
        <v>353.29090000000002</v>
      </c>
      <c r="E311" s="5">
        <v>850802</v>
      </c>
      <c r="F311" s="5" t="s">
        <v>976</v>
      </c>
      <c r="G311" s="9">
        <f t="shared" si="4"/>
        <v>-9.3537648436458065E-3</v>
      </c>
      <c r="I311" s="13">
        <v>3.5000000000000052E-2</v>
      </c>
      <c r="J311">
        <v>2</v>
      </c>
      <c r="L311" s="13">
        <v>3.4000000000000051E-2</v>
      </c>
      <c r="M311" s="2">
        <f t="shared" si="5"/>
        <v>1.210788147600123</v>
      </c>
    </row>
    <row r="312" spans="1:13" ht="15">
      <c r="A312" s="5">
        <v>353.4701</v>
      </c>
      <c r="B312" s="5">
        <v>355.29169999999999</v>
      </c>
      <c r="C312" s="5">
        <v>349.67770000000002</v>
      </c>
      <c r="D312" s="5">
        <v>353.32080000000002</v>
      </c>
      <c r="E312" s="5">
        <v>830118</v>
      </c>
      <c r="F312" s="5" t="s">
        <v>975</v>
      </c>
      <c r="G312" s="9">
        <f t="shared" si="4"/>
        <v>4.2256215880853709E-4</v>
      </c>
      <c r="I312" s="13">
        <v>3.6000000000000053E-2</v>
      </c>
      <c r="J312">
        <v>0</v>
      </c>
      <c r="L312" s="13">
        <v>3.5000000000000052E-2</v>
      </c>
      <c r="M312" s="2">
        <f t="shared" si="5"/>
        <v>0.99805187629411873</v>
      </c>
    </row>
    <row r="313" spans="1:13" ht="15">
      <c r="A313" s="5">
        <v>355.62009999999998</v>
      </c>
      <c r="B313" s="5">
        <v>360.32830000000001</v>
      </c>
      <c r="C313" s="5">
        <v>353.71899999999999</v>
      </c>
      <c r="D313" s="5">
        <v>360.0197</v>
      </c>
      <c r="E313" s="5">
        <v>738856</v>
      </c>
      <c r="F313" s="5" t="s">
        <v>974</v>
      </c>
      <c r="G313" s="9">
        <f t="shared" si="4"/>
        <v>-1.2220442381347563E-2</v>
      </c>
      <c r="I313" s="13">
        <v>3.7000000000000054E-2</v>
      </c>
      <c r="J313">
        <v>0</v>
      </c>
      <c r="L313" s="13">
        <v>3.6000000000000053E-2</v>
      </c>
      <c r="M313" s="2">
        <f t="shared" si="5"/>
        <v>0.81806016490533739</v>
      </c>
    </row>
    <row r="314" spans="1:13" ht="15">
      <c r="A314" s="5">
        <v>359.5917</v>
      </c>
      <c r="B314" s="5">
        <v>359.88040000000001</v>
      </c>
      <c r="C314" s="5">
        <v>355.19209999999998</v>
      </c>
      <c r="D314" s="5">
        <v>357.07339999999999</v>
      </c>
      <c r="E314" s="5">
        <v>790673</v>
      </c>
      <c r="F314" s="5" t="s">
        <v>973</v>
      </c>
      <c r="G314" s="9">
        <f t="shared" si="4"/>
        <v>7.0526115919025134E-3</v>
      </c>
      <c r="I314" s="13">
        <v>3.8000000000000055E-2</v>
      </c>
      <c r="J314">
        <v>0</v>
      </c>
      <c r="L314" s="13">
        <v>3.7000000000000054E-2</v>
      </c>
      <c r="M314" s="2">
        <f t="shared" si="5"/>
        <v>0.66675234354585899</v>
      </c>
    </row>
    <row r="315" spans="1:13" ht="15">
      <c r="A315" s="5">
        <v>357.81</v>
      </c>
      <c r="B315" s="5">
        <v>361.64359999999999</v>
      </c>
      <c r="C315" s="5">
        <v>357.3134</v>
      </c>
      <c r="D315" s="5">
        <v>360.51139999999998</v>
      </c>
      <c r="E315" s="5">
        <v>814377</v>
      </c>
      <c r="F315" s="5" t="s">
        <v>972</v>
      </c>
      <c r="G315" s="9">
        <f t="shared" si="4"/>
        <v>-7.4932443190423026E-3</v>
      </c>
      <c r="I315" s="13">
        <v>3.9000000000000055E-2</v>
      </c>
      <c r="J315">
        <v>0</v>
      </c>
      <c r="L315" s="13">
        <v>3.8000000000000055E-2</v>
      </c>
      <c r="M315" s="2">
        <f t="shared" si="5"/>
        <v>0.54036975333680215</v>
      </c>
    </row>
    <row r="316" spans="1:13" ht="15">
      <c r="A316" s="5">
        <v>358.88260000000002</v>
      </c>
      <c r="B316" s="5">
        <v>361.0179</v>
      </c>
      <c r="C316" s="5">
        <v>355.86349999999999</v>
      </c>
      <c r="D316" s="5">
        <v>359.52820000000003</v>
      </c>
      <c r="E316" s="5">
        <v>1431782</v>
      </c>
      <c r="F316" s="5" t="s">
        <v>971</v>
      </c>
      <c r="G316" s="9">
        <f t="shared" si="4"/>
        <v>-1.7956866804884619E-3</v>
      </c>
      <c r="I316" s="13">
        <v>4.0000000000000056E-2</v>
      </c>
      <c r="J316">
        <v>1</v>
      </c>
      <c r="L316" s="13">
        <v>3.9000000000000055E-2</v>
      </c>
      <c r="M316" s="2">
        <f t="shared" si="5"/>
        <v>0.43547646445183286</v>
      </c>
    </row>
    <row r="317" spans="1:13" ht="15.75" thickBot="1">
      <c r="A317" s="5">
        <v>357.04520000000002</v>
      </c>
      <c r="B317" s="5">
        <v>361.32580000000002</v>
      </c>
      <c r="C317" s="5">
        <v>356.30040000000002</v>
      </c>
      <c r="D317" s="5">
        <v>360.77960000000002</v>
      </c>
      <c r="E317" s="5">
        <v>854946</v>
      </c>
      <c r="F317" s="5" t="s">
        <v>970</v>
      </c>
      <c r="G317" s="9">
        <f t="shared" si="4"/>
        <v>-1.0350917845687535E-2</v>
      </c>
      <c r="I317" s="14" t="s">
        <v>1140</v>
      </c>
      <c r="J317" s="14">
        <v>6</v>
      </c>
      <c r="L317" s="13">
        <v>4.0000000000000056E-2</v>
      </c>
      <c r="M317" s="2">
        <f t="shared" si="5"/>
        <v>0.34896793239983337</v>
      </c>
    </row>
    <row r="318" spans="1:13" ht="15">
      <c r="A318" s="5">
        <v>358.53500000000003</v>
      </c>
      <c r="B318" s="5">
        <v>363.07380000000001</v>
      </c>
      <c r="C318" s="5">
        <v>356.91120000000001</v>
      </c>
      <c r="D318" s="5">
        <v>363.07380000000001</v>
      </c>
      <c r="E318" s="5">
        <v>1273676</v>
      </c>
      <c r="F318" s="5" t="s">
        <v>969</v>
      </c>
      <c r="G318" s="9">
        <f t="shared" si="4"/>
        <v>-1.2501039733519681E-2</v>
      </c>
      <c r="L318" s="13">
        <v>4.1000000000000002E-2</v>
      </c>
      <c r="M318" s="2">
        <f t="shared" si="5"/>
        <v>0.27806961002886771</v>
      </c>
    </row>
    <row r="319" spans="1:13">
      <c r="A319" s="5">
        <v>364.02719999999999</v>
      </c>
      <c r="B319" s="5">
        <v>366.22199999999998</v>
      </c>
      <c r="C319" s="5">
        <v>363.06389999999999</v>
      </c>
      <c r="D319" s="5">
        <v>364.10669999999999</v>
      </c>
      <c r="E319" s="5">
        <v>723072</v>
      </c>
      <c r="F319" s="5" t="s">
        <v>968</v>
      </c>
      <c r="G319" s="9">
        <f t="shared" si="4"/>
        <v>-2.1834259023523206E-4</v>
      </c>
    </row>
    <row r="320" spans="1:13">
      <c r="A320" s="5">
        <v>362.31900000000002</v>
      </c>
      <c r="B320" s="5">
        <v>364.08679999999998</v>
      </c>
      <c r="C320" s="5">
        <v>360.1241</v>
      </c>
      <c r="D320" s="5">
        <v>362.32889999999998</v>
      </c>
      <c r="E320" s="5">
        <v>1751588</v>
      </c>
      <c r="F320" s="5" t="s">
        <v>967</v>
      </c>
      <c r="G320" s="9">
        <f t="shared" si="4"/>
        <v>-2.7323241397425591E-5</v>
      </c>
    </row>
    <row r="321" spans="1:7">
      <c r="A321" s="5">
        <v>362.5573</v>
      </c>
      <c r="B321" s="5">
        <v>364.1961</v>
      </c>
      <c r="C321" s="5">
        <v>360.14389999999997</v>
      </c>
      <c r="D321" s="5">
        <v>363.14330000000001</v>
      </c>
      <c r="E321" s="5">
        <v>993995</v>
      </c>
      <c r="F321" s="5" t="s">
        <v>966</v>
      </c>
      <c r="G321" s="9">
        <f t="shared" si="4"/>
        <v>-1.6136880399556519E-3</v>
      </c>
    </row>
    <row r="322" spans="1:7">
      <c r="A322" s="5">
        <v>358.89249999999998</v>
      </c>
      <c r="B322" s="5">
        <v>363.34190000000001</v>
      </c>
      <c r="C322" s="5">
        <v>357.20409999999998</v>
      </c>
      <c r="D322" s="5">
        <v>360.6703</v>
      </c>
      <c r="E322" s="5">
        <v>938932</v>
      </c>
      <c r="F322" s="5" t="s">
        <v>965</v>
      </c>
      <c r="G322" s="9">
        <f t="shared" si="4"/>
        <v>-4.9291555195978276E-3</v>
      </c>
    </row>
    <row r="323" spans="1:7">
      <c r="A323" s="5">
        <v>361.4649</v>
      </c>
      <c r="B323" s="5">
        <v>370.9298</v>
      </c>
      <c r="C323" s="5">
        <v>358.36619999999999</v>
      </c>
      <c r="D323" s="5">
        <v>368.65539999999999</v>
      </c>
      <c r="E323" s="5">
        <v>1399115</v>
      </c>
      <c r="F323" s="5" t="s">
        <v>964</v>
      </c>
      <c r="G323" s="9">
        <f t="shared" si="4"/>
        <v>-1.9504664789936621E-2</v>
      </c>
    </row>
    <row r="324" spans="1:7">
      <c r="A324" s="5">
        <v>369.42020000000002</v>
      </c>
      <c r="B324" s="5">
        <v>372.07190000000003</v>
      </c>
      <c r="C324" s="5">
        <v>367.48349999999999</v>
      </c>
      <c r="D324" s="5">
        <v>370.45310000000001</v>
      </c>
      <c r="E324" s="5">
        <v>910077</v>
      </c>
      <c r="F324" s="5" t="s">
        <v>963</v>
      </c>
      <c r="G324" s="9">
        <f t="shared" si="4"/>
        <v>-2.788207198158088E-3</v>
      </c>
    </row>
    <row r="325" spans="1:7">
      <c r="A325" s="5">
        <v>367.72179999999997</v>
      </c>
      <c r="B325" s="5">
        <v>371.68459999999999</v>
      </c>
      <c r="C325" s="5">
        <v>364.42450000000002</v>
      </c>
      <c r="D325" s="5">
        <v>364.42450000000002</v>
      </c>
      <c r="E325" s="5">
        <v>1114053</v>
      </c>
      <c r="F325" s="5" t="s">
        <v>962</v>
      </c>
      <c r="G325" s="9">
        <f t="shared" si="4"/>
        <v>9.0479646675785119E-3</v>
      </c>
    </row>
    <row r="326" spans="1:7">
      <c r="A326" s="5">
        <v>365.27859999999998</v>
      </c>
      <c r="B326" s="5">
        <v>366.36930000000001</v>
      </c>
      <c r="C326" s="5">
        <v>362.21469999999999</v>
      </c>
      <c r="D326" s="5">
        <v>363.6995</v>
      </c>
      <c r="E326" s="5">
        <v>1487355</v>
      </c>
      <c r="F326" s="5" t="s">
        <v>961</v>
      </c>
      <c r="G326" s="9">
        <f t="shared" si="4"/>
        <v>4.3417711599822439E-3</v>
      </c>
    </row>
    <row r="327" spans="1:7">
      <c r="A327" s="5">
        <v>363.8485</v>
      </c>
      <c r="B327" s="5">
        <v>364.18610000000001</v>
      </c>
      <c r="C327" s="5">
        <v>356.01240000000001</v>
      </c>
      <c r="D327" s="5">
        <v>361.92169999999999</v>
      </c>
      <c r="E327" s="5">
        <v>1143885</v>
      </c>
      <c r="F327" s="5" t="s">
        <v>960</v>
      </c>
      <c r="G327" s="9">
        <f t="shared" si="4"/>
        <v>5.3238034635669784E-3</v>
      </c>
    </row>
    <row r="328" spans="1:7">
      <c r="A328" s="5">
        <v>362.5573</v>
      </c>
      <c r="B328" s="5">
        <v>363.46109999999999</v>
      </c>
      <c r="C328" s="5">
        <v>360.30279999999999</v>
      </c>
      <c r="D328" s="5">
        <v>362.46800000000002</v>
      </c>
      <c r="E328" s="5">
        <v>921021</v>
      </c>
      <c r="F328" s="5" t="s">
        <v>959</v>
      </c>
      <c r="G328" s="9">
        <f t="shared" si="4"/>
        <v>2.4636657580812127E-4</v>
      </c>
    </row>
    <row r="329" spans="1:7">
      <c r="A329" s="5">
        <v>360.30279999999999</v>
      </c>
      <c r="B329" s="5">
        <v>363.11340000000001</v>
      </c>
      <c r="C329" s="5">
        <v>358.39600000000002</v>
      </c>
      <c r="D329" s="5">
        <v>358.75349999999997</v>
      </c>
      <c r="E329" s="5">
        <v>1439231</v>
      </c>
      <c r="F329" s="5" t="s">
        <v>958</v>
      </c>
      <c r="G329" s="9">
        <f t="shared" si="4"/>
        <v>4.3185641394440921E-3</v>
      </c>
    </row>
    <row r="330" spans="1:7">
      <c r="A330" s="5">
        <v>356.4692</v>
      </c>
      <c r="B330" s="5">
        <v>358.59460000000001</v>
      </c>
      <c r="C330" s="5">
        <v>353.29109999999997</v>
      </c>
      <c r="D330" s="5">
        <v>356.22089999999997</v>
      </c>
      <c r="E330" s="5">
        <v>1001435</v>
      </c>
      <c r="F330" s="5" t="s">
        <v>957</v>
      </c>
      <c r="G330" s="9">
        <f t="shared" si="4"/>
        <v>6.9703939325305164E-4</v>
      </c>
    </row>
    <row r="331" spans="1:7">
      <c r="A331" s="5">
        <v>355.55549999999999</v>
      </c>
      <c r="B331" s="5">
        <v>357.83980000000003</v>
      </c>
      <c r="C331" s="5">
        <v>351.76159999999999</v>
      </c>
      <c r="D331" s="5">
        <v>356.78699999999998</v>
      </c>
      <c r="E331" s="5">
        <v>1213820</v>
      </c>
      <c r="F331" s="5" t="s">
        <v>956</v>
      </c>
      <c r="G331" s="9">
        <f t="shared" si="4"/>
        <v>-3.451639213312041E-3</v>
      </c>
    </row>
    <row r="332" spans="1:7">
      <c r="A332" s="5">
        <v>357.83980000000003</v>
      </c>
      <c r="B332" s="5">
        <v>361.87209999999999</v>
      </c>
      <c r="C332" s="5">
        <v>354.35379999999998</v>
      </c>
      <c r="D332" s="5">
        <v>357.65109999999999</v>
      </c>
      <c r="E332" s="5">
        <v>806252</v>
      </c>
      <c r="F332" s="5" t="s">
        <v>955</v>
      </c>
      <c r="G332" s="9">
        <f t="shared" si="4"/>
        <v>5.276091699426555E-4</v>
      </c>
    </row>
    <row r="333" spans="1:7">
      <c r="A333" s="5">
        <v>357.1644</v>
      </c>
      <c r="B333" s="5">
        <v>359.7765</v>
      </c>
      <c r="C333" s="5">
        <v>355.34690000000001</v>
      </c>
      <c r="D333" s="5">
        <v>357.58159999999998</v>
      </c>
      <c r="E333" s="5">
        <v>860630</v>
      </c>
      <c r="F333" s="5" t="s">
        <v>954</v>
      </c>
      <c r="G333" s="9">
        <f t="shared" si="4"/>
        <v>-1.1667266995840642E-3</v>
      </c>
    </row>
    <row r="334" spans="1:7">
      <c r="A334" s="5">
        <v>357.959</v>
      </c>
      <c r="B334" s="5">
        <v>358.3562</v>
      </c>
      <c r="C334" s="5">
        <v>353.56909999999999</v>
      </c>
      <c r="D334" s="5">
        <v>356.70760000000001</v>
      </c>
      <c r="E334" s="5">
        <v>1307583</v>
      </c>
      <c r="F334" s="5" t="s">
        <v>953</v>
      </c>
      <c r="G334" s="9">
        <f t="shared" si="4"/>
        <v>3.5081955080296101E-3</v>
      </c>
    </row>
    <row r="335" spans="1:7">
      <c r="A335" s="5">
        <v>355.48599999999999</v>
      </c>
      <c r="B335" s="5">
        <v>356.8168</v>
      </c>
      <c r="C335" s="5">
        <v>353.46980000000002</v>
      </c>
      <c r="D335" s="5">
        <v>355.84350000000001</v>
      </c>
      <c r="E335" s="5">
        <v>1107810</v>
      </c>
      <c r="F335" s="5" t="s">
        <v>952</v>
      </c>
      <c r="G335" s="9">
        <f t="shared" si="4"/>
        <v>-1.0046551363169787E-3</v>
      </c>
    </row>
    <row r="336" spans="1:7">
      <c r="A336" s="5">
        <v>353.71809999999999</v>
      </c>
      <c r="B336" s="5">
        <v>356.64609999999999</v>
      </c>
      <c r="C336" s="5">
        <v>351.18549999999999</v>
      </c>
      <c r="D336" s="5">
        <v>356.62810000000002</v>
      </c>
      <c r="E336" s="5">
        <v>1504890</v>
      </c>
      <c r="F336" s="5" t="s">
        <v>951</v>
      </c>
      <c r="G336" s="9">
        <f t="shared" si="4"/>
        <v>-8.1597608264745158E-3</v>
      </c>
    </row>
    <row r="337" spans="1:7">
      <c r="A337" s="5">
        <v>356.06200000000001</v>
      </c>
      <c r="B337" s="5">
        <v>356.67779999999999</v>
      </c>
      <c r="C337" s="5">
        <v>351.851</v>
      </c>
      <c r="D337" s="5">
        <v>352.37729999999999</v>
      </c>
      <c r="E337" s="5">
        <v>1131383</v>
      </c>
      <c r="F337" s="5" t="s">
        <v>950</v>
      </c>
      <c r="G337" s="9">
        <f t="shared" si="4"/>
        <v>1.0456689463254287E-2</v>
      </c>
    </row>
    <row r="338" spans="1:7">
      <c r="A338" s="5">
        <v>351.88069999999999</v>
      </c>
      <c r="B338" s="5">
        <v>353.43009999999998</v>
      </c>
      <c r="C338" s="5">
        <v>350.51510000000002</v>
      </c>
      <c r="D338" s="5">
        <v>351.1259</v>
      </c>
      <c r="E338" s="5">
        <v>884876</v>
      </c>
      <c r="F338" s="5" t="s">
        <v>949</v>
      </c>
      <c r="G338" s="9">
        <f t="shared" si="4"/>
        <v>2.1496562913758677E-3</v>
      </c>
    </row>
    <row r="339" spans="1:7">
      <c r="A339" s="5">
        <v>350.87759999999997</v>
      </c>
      <c r="B339" s="5">
        <v>351.58280000000002</v>
      </c>
      <c r="C339" s="5">
        <v>347.74919999999997</v>
      </c>
      <c r="D339" s="5">
        <v>349.05020000000002</v>
      </c>
      <c r="E339" s="5">
        <v>966116</v>
      </c>
      <c r="F339" s="5" t="s">
        <v>948</v>
      </c>
      <c r="G339" s="9">
        <f t="shared" si="4"/>
        <v>5.2353501015038884E-3</v>
      </c>
    </row>
    <row r="340" spans="1:7">
      <c r="A340" s="5">
        <v>348.3252</v>
      </c>
      <c r="B340" s="5">
        <v>348.53379999999999</v>
      </c>
      <c r="C340" s="5">
        <v>343.19049999999999</v>
      </c>
      <c r="D340" s="5">
        <v>346.28919999999999</v>
      </c>
      <c r="E340" s="5">
        <v>1143502</v>
      </c>
      <c r="F340" s="5" t="s">
        <v>947</v>
      </c>
      <c r="G340" s="9">
        <f t="shared" si="4"/>
        <v>5.8794787709233187E-3</v>
      </c>
    </row>
    <row r="341" spans="1:7">
      <c r="A341" s="5">
        <v>342.96210000000002</v>
      </c>
      <c r="B341" s="5">
        <v>343.08120000000002</v>
      </c>
      <c r="C341" s="5">
        <v>340.20100000000002</v>
      </c>
      <c r="D341" s="5">
        <v>341.64109999999999</v>
      </c>
      <c r="E341" s="5">
        <v>666809</v>
      </c>
      <c r="F341" s="5" t="s">
        <v>946</v>
      </c>
      <c r="G341" s="9">
        <f t="shared" si="4"/>
        <v>3.8666308005683714E-3</v>
      </c>
    </row>
    <row r="342" spans="1:7">
      <c r="A342" s="5">
        <v>340.58839999999998</v>
      </c>
      <c r="B342" s="5">
        <v>341.67090000000002</v>
      </c>
      <c r="C342" s="5">
        <v>338.63470000000001</v>
      </c>
      <c r="D342" s="5">
        <v>340.22089999999997</v>
      </c>
      <c r="E342" s="5">
        <v>772068</v>
      </c>
      <c r="F342" s="5" t="s">
        <v>945</v>
      </c>
      <c r="G342" s="9">
        <f t="shared" si="4"/>
        <v>1.0801805532816289E-3</v>
      </c>
    </row>
    <row r="343" spans="1:7">
      <c r="A343" s="5">
        <v>338.7312</v>
      </c>
      <c r="B343" s="5">
        <v>339.64490000000001</v>
      </c>
      <c r="C343" s="5">
        <v>334.62939999999998</v>
      </c>
      <c r="D343" s="5">
        <v>334.62939999999998</v>
      </c>
      <c r="E343" s="5">
        <v>1062158</v>
      </c>
      <c r="F343" s="5" t="s">
        <v>944</v>
      </c>
      <c r="G343" s="9">
        <f t="shared" si="4"/>
        <v>1.2257739457441685E-2</v>
      </c>
    </row>
    <row r="344" spans="1:7">
      <c r="A344" s="5">
        <v>335.58280000000002</v>
      </c>
      <c r="B344" s="5">
        <v>336.01479999999998</v>
      </c>
      <c r="C344" s="5">
        <v>330.9794</v>
      </c>
      <c r="D344" s="5">
        <v>331.96769999999998</v>
      </c>
      <c r="E344" s="5">
        <v>838749</v>
      </c>
      <c r="F344" s="5" t="s">
        <v>943</v>
      </c>
      <c r="G344" s="9">
        <f t="shared" si="4"/>
        <v>1.0889914892322494E-2</v>
      </c>
    </row>
    <row r="345" spans="1:7">
      <c r="A345" s="5">
        <v>331.88819999999998</v>
      </c>
      <c r="B345" s="5">
        <v>335.14580000000001</v>
      </c>
      <c r="C345" s="5">
        <v>330.7063</v>
      </c>
      <c r="D345" s="5">
        <v>331.99740000000003</v>
      </c>
      <c r="E345" s="5">
        <v>1257823</v>
      </c>
      <c r="F345" s="5" t="s">
        <v>942</v>
      </c>
      <c r="G345" s="9">
        <f t="shared" si="4"/>
        <v>-3.289182385164402E-4</v>
      </c>
    </row>
    <row r="346" spans="1:7">
      <c r="A346" s="5">
        <v>330.40839999999997</v>
      </c>
      <c r="B346" s="5">
        <v>330.64670000000001</v>
      </c>
      <c r="C346" s="5">
        <v>325.99869999999999</v>
      </c>
      <c r="D346" s="5">
        <v>326.9323</v>
      </c>
      <c r="E346" s="5">
        <v>909806</v>
      </c>
      <c r="F346" s="5" t="s">
        <v>941</v>
      </c>
      <c r="G346" s="9">
        <f t="shared" si="4"/>
        <v>1.0632476509662592E-2</v>
      </c>
    </row>
    <row r="347" spans="1:7">
      <c r="A347" s="5">
        <v>326.74360000000001</v>
      </c>
      <c r="B347" s="5">
        <v>327.846</v>
      </c>
      <c r="C347" s="5">
        <v>323.14830000000001</v>
      </c>
      <c r="D347" s="5">
        <v>323.68459999999999</v>
      </c>
      <c r="E347" s="5">
        <v>913934</v>
      </c>
      <c r="F347" s="5" t="s">
        <v>940</v>
      </c>
      <c r="G347" s="9">
        <f t="shared" si="4"/>
        <v>9.4505577342882674E-3</v>
      </c>
    </row>
    <row r="348" spans="1:7">
      <c r="A348" s="5">
        <v>322.9794</v>
      </c>
      <c r="B348" s="5">
        <v>325.33330000000001</v>
      </c>
      <c r="C348" s="5">
        <v>321.5145</v>
      </c>
      <c r="D348" s="5">
        <v>324.8913</v>
      </c>
      <c r="E348" s="5">
        <v>774070</v>
      </c>
      <c r="F348" s="5" t="s">
        <v>939</v>
      </c>
      <c r="G348" s="9">
        <f t="shared" si="4"/>
        <v>-5.8847374491098892E-3</v>
      </c>
    </row>
    <row r="349" spans="1:7">
      <c r="A349" s="5">
        <v>325.5915</v>
      </c>
      <c r="B349" s="5">
        <v>326.24700000000001</v>
      </c>
      <c r="C349" s="5">
        <v>319.83109999999999</v>
      </c>
      <c r="D349" s="5">
        <v>323.15820000000002</v>
      </c>
      <c r="E349" s="5">
        <v>793813</v>
      </c>
      <c r="F349" s="5" t="s">
        <v>938</v>
      </c>
      <c r="G349" s="9">
        <f t="shared" si="4"/>
        <v>7.5297485875338577E-3</v>
      </c>
    </row>
    <row r="350" spans="1:7">
      <c r="A350" s="5">
        <v>323.76409999999998</v>
      </c>
      <c r="B350" s="5">
        <v>325.06509999999997</v>
      </c>
      <c r="C350" s="5">
        <v>318.58960000000002</v>
      </c>
      <c r="D350" s="5">
        <v>318.74849999999998</v>
      </c>
      <c r="E350" s="5">
        <v>1019290</v>
      </c>
      <c r="F350" s="5" t="s">
        <v>937</v>
      </c>
      <c r="G350" s="9">
        <f t="shared" si="4"/>
        <v>1.5735289734696734E-2</v>
      </c>
    </row>
    <row r="351" spans="1:7">
      <c r="A351" s="5">
        <v>317.41770000000002</v>
      </c>
      <c r="B351" s="5">
        <v>322.21969999999999</v>
      </c>
      <c r="C351" s="5">
        <v>316.8913</v>
      </c>
      <c r="D351" s="5">
        <v>321.3109</v>
      </c>
      <c r="E351" s="5">
        <v>1350572</v>
      </c>
      <c r="F351" s="5" t="s">
        <v>936</v>
      </c>
      <c r="G351" s="9">
        <f t="shared" si="4"/>
        <v>-1.2116613535363974E-2</v>
      </c>
    </row>
    <row r="352" spans="1:7">
      <c r="A352" s="5">
        <v>320.4667</v>
      </c>
      <c r="B352" s="5">
        <v>324.08190000000002</v>
      </c>
      <c r="C352" s="5">
        <v>313.85219999999998</v>
      </c>
      <c r="D352" s="5">
        <v>315.63990000000001</v>
      </c>
      <c r="E352" s="5">
        <v>2477818</v>
      </c>
      <c r="F352" s="5" t="s">
        <v>935</v>
      </c>
      <c r="G352" s="9">
        <f t="shared" si="4"/>
        <v>1.5292109774461382E-2</v>
      </c>
    </row>
    <row r="353" spans="1:7">
      <c r="A353" s="5">
        <v>313.78269999999998</v>
      </c>
      <c r="B353" s="5">
        <v>328.4717</v>
      </c>
      <c r="C353" s="5">
        <v>312.77960000000002</v>
      </c>
      <c r="D353" s="5">
        <v>328.4717</v>
      </c>
      <c r="E353" s="5">
        <v>2403422</v>
      </c>
      <c r="F353" s="5" t="s">
        <v>934</v>
      </c>
      <c r="G353" s="9">
        <f t="shared" si="4"/>
        <v>-4.4719225430988496E-2</v>
      </c>
    </row>
    <row r="354" spans="1:7">
      <c r="A354" s="5">
        <v>329.29599999999999</v>
      </c>
      <c r="B354" s="5">
        <v>331.30220000000003</v>
      </c>
      <c r="C354" s="5">
        <v>321.79759999999999</v>
      </c>
      <c r="D354" s="5">
        <v>330.72620000000001</v>
      </c>
      <c r="E354" s="5">
        <v>1738648</v>
      </c>
      <c r="F354" s="5" t="s">
        <v>933</v>
      </c>
      <c r="G354" s="9">
        <f t="shared" si="4"/>
        <v>-4.3244230423837848E-3</v>
      </c>
    </row>
    <row r="355" spans="1:7">
      <c r="A355" s="5">
        <v>330.89499999999998</v>
      </c>
      <c r="B355" s="5">
        <v>333.60640000000001</v>
      </c>
      <c r="C355" s="5">
        <v>321.87700000000001</v>
      </c>
      <c r="D355" s="5">
        <v>327.88569999999999</v>
      </c>
      <c r="E355" s="5">
        <v>1630542</v>
      </c>
      <c r="F355" s="5" t="s">
        <v>932</v>
      </c>
      <c r="G355" s="9">
        <f t="shared" si="4"/>
        <v>9.1778933939479224E-3</v>
      </c>
    </row>
    <row r="356" spans="1:7">
      <c r="A356" s="5">
        <v>325.21409999999997</v>
      </c>
      <c r="B356" s="5">
        <v>332.13650000000001</v>
      </c>
      <c r="C356" s="5">
        <v>317.815</v>
      </c>
      <c r="D356" s="5">
        <v>328.24329999999998</v>
      </c>
      <c r="E356" s="5">
        <v>3543201</v>
      </c>
      <c r="F356" s="5" t="s">
        <v>931</v>
      </c>
      <c r="G356" s="9">
        <f t="shared" si="4"/>
        <v>-9.2285204298153678E-3</v>
      </c>
    </row>
    <row r="357" spans="1:7">
      <c r="A357" s="5">
        <v>327.96519999999998</v>
      </c>
      <c r="B357" s="5">
        <v>333.78519999999997</v>
      </c>
      <c r="C357" s="5">
        <v>326.2371</v>
      </c>
      <c r="D357" s="5">
        <v>330.51760000000002</v>
      </c>
      <c r="E357" s="5">
        <v>2427267</v>
      </c>
      <c r="F357" s="5" t="s">
        <v>930</v>
      </c>
      <c r="G357" s="9">
        <f t="shared" si="4"/>
        <v>-7.7224329354927956E-3</v>
      </c>
    </row>
    <row r="358" spans="1:7">
      <c r="A358" s="5">
        <v>331.0043</v>
      </c>
      <c r="B358" s="5">
        <v>336.20850000000002</v>
      </c>
      <c r="C358" s="5">
        <v>327.8261</v>
      </c>
      <c r="D358" s="5">
        <v>329.99119999999999</v>
      </c>
      <c r="E358" s="5">
        <v>1719243</v>
      </c>
      <c r="F358" s="5" t="s">
        <v>929</v>
      </c>
      <c r="G358" s="9">
        <f t="shared" si="4"/>
        <v>3.0700818688498277E-3</v>
      </c>
    </row>
    <row r="359" spans="1:7">
      <c r="A359" s="5">
        <v>329.40530000000001</v>
      </c>
      <c r="B359" s="5">
        <v>331.78890000000001</v>
      </c>
      <c r="C359" s="5">
        <v>323.11849999999998</v>
      </c>
      <c r="D359" s="5">
        <v>324.7672</v>
      </c>
      <c r="E359" s="5">
        <v>1679993</v>
      </c>
      <c r="F359" s="5" t="s">
        <v>928</v>
      </c>
      <c r="G359" s="9">
        <f t="shared" ref="G359:G422" si="6">A359/D359-1</f>
        <v>1.428130673294592E-2</v>
      </c>
    </row>
    <row r="360" spans="1:7">
      <c r="A360" s="5">
        <v>325.20420000000001</v>
      </c>
      <c r="B360" s="5">
        <v>341.7901</v>
      </c>
      <c r="C360" s="5">
        <v>324.63799999999998</v>
      </c>
      <c r="D360" s="5">
        <v>337.17189999999999</v>
      </c>
      <c r="E360" s="5">
        <v>1695437</v>
      </c>
      <c r="F360" s="5" t="s">
        <v>927</v>
      </c>
      <c r="G360" s="9">
        <f t="shared" si="6"/>
        <v>-3.5494357625887485E-2</v>
      </c>
    </row>
    <row r="361" spans="1:7">
      <c r="A361" s="5">
        <v>338.09550000000002</v>
      </c>
      <c r="B361" s="5">
        <v>340.31029999999998</v>
      </c>
      <c r="C361" s="5">
        <v>335.61259999999999</v>
      </c>
      <c r="D361" s="5">
        <v>339.79379999999998</v>
      </c>
      <c r="E361" s="5">
        <v>1481458</v>
      </c>
      <c r="F361" s="5" t="s">
        <v>926</v>
      </c>
      <c r="G361" s="9">
        <f t="shared" si="6"/>
        <v>-4.998031158896854E-3</v>
      </c>
    </row>
    <row r="362" spans="1:7">
      <c r="A362" s="5">
        <v>339.39659999999998</v>
      </c>
      <c r="B362" s="5">
        <v>343.70690000000002</v>
      </c>
      <c r="C362" s="5">
        <v>338.46300000000002</v>
      </c>
      <c r="D362" s="5">
        <v>340.48910000000001</v>
      </c>
      <c r="E362" s="5">
        <v>1245347</v>
      </c>
      <c r="F362" s="5" t="s">
        <v>925</v>
      </c>
      <c r="G362" s="9">
        <f t="shared" si="6"/>
        <v>-3.2086196004512679E-3</v>
      </c>
    </row>
    <row r="363" spans="1:7">
      <c r="A363" s="5">
        <v>340.0521</v>
      </c>
      <c r="B363" s="5">
        <v>341.83980000000003</v>
      </c>
      <c r="C363" s="5">
        <v>337.06259999999997</v>
      </c>
      <c r="D363" s="5">
        <v>339.78390000000002</v>
      </c>
      <c r="E363" s="5">
        <v>1136559</v>
      </c>
      <c r="F363" s="5" t="s">
        <v>924</v>
      </c>
      <c r="G363" s="9">
        <f t="shared" si="6"/>
        <v>7.8932521523222832E-4</v>
      </c>
    </row>
    <row r="364" spans="1:7">
      <c r="A364" s="5">
        <v>338.62189999999998</v>
      </c>
      <c r="B364" s="5">
        <v>339.05889999999999</v>
      </c>
      <c r="C364" s="5">
        <v>329.70319999999998</v>
      </c>
      <c r="D364" s="5">
        <v>331.09370000000001</v>
      </c>
      <c r="E364" s="5">
        <v>2421857</v>
      </c>
      <c r="F364" s="5" t="s">
        <v>923</v>
      </c>
      <c r="G364" s="9">
        <f t="shared" si="6"/>
        <v>2.2737370116072686E-2</v>
      </c>
    </row>
    <row r="365" spans="1:7">
      <c r="A365" s="5">
        <v>328.9683</v>
      </c>
      <c r="B365" s="5">
        <v>334.7783</v>
      </c>
      <c r="C365" s="5">
        <v>327.91550000000001</v>
      </c>
      <c r="D365" s="5">
        <v>328.68029999999999</v>
      </c>
      <c r="E365" s="5">
        <v>920353</v>
      </c>
      <c r="F365" s="5" t="s">
        <v>922</v>
      </c>
      <c r="G365" s="9">
        <f t="shared" si="6"/>
        <v>8.7623140176029679E-4</v>
      </c>
    </row>
    <row r="366" spans="1:7">
      <c r="A366" s="5">
        <v>332.35500000000002</v>
      </c>
      <c r="B366" s="5">
        <v>342.1377</v>
      </c>
      <c r="C366" s="5">
        <v>329.01299999999998</v>
      </c>
      <c r="D366" s="5">
        <v>330.53750000000002</v>
      </c>
      <c r="E366" s="5">
        <v>1246310</v>
      </c>
      <c r="F366" s="5" t="s">
        <v>921</v>
      </c>
      <c r="G366" s="9">
        <f t="shared" si="6"/>
        <v>5.4986196725030911E-3</v>
      </c>
    </row>
    <row r="367" spans="1:7">
      <c r="A367" s="5">
        <v>331.1533</v>
      </c>
      <c r="B367" s="5">
        <v>331.48099999999999</v>
      </c>
      <c r="C367" s="5">
        <v>325.77030000000002</v>
      </c>
      <c r="D367" s="5">
        <v>326.6542</v>
      </c>
      <c r="E367" s="5">
        <v>1336432</v>
      </c>
      <c r="F367" s="5" t="s">
        <v>920</v>
      </c>
      <c r="G367" s="9">
        <f t="shared" si="6"/>
        <v>1.3773280735407623E-2</v>
      </c>
    </row>
    <row r="368" spans="1:7">
      <c r="A368" s="5">
        <v>326.31650000000002</v>
      </c>
      <c r="B368" s="5">
        <v>336.2681</v>
      </c>
      <c r="C368" s="5">
        <v>325.58159999999998</v>
      </c>
      <c r="D368" s="5">
        <v>336.21839999999997</v>
      </c>
      <c r="E368" s="5">
        <v>1363394</v>
      </c>
      <c r="F368" s="5" t="s">
        <v>919</v>
      </c>
      <c r="G368" s="9">
        <f t="shared" si="6"/>
        <v>-2.9450797457842737E-2</v>
      </c>
    </row>
    <row r="369" spans="1:7">
      <c r="A369" s="5">
        <v>337.05270000000002</v>
      </c>
      <c r="B369" s="5">
        <v>338.66160000000002</v>
      </c>
      <c r="C369" s="5">
        <v>333.90429999999998</v>
      </c>
      <c r="D369" s="5">
        <v>335.76159999999999</v>
      </c>
      <c r="E369" s="5">
        <v>835719</v>
      </c>
      <c r="F369" s="5" t="s">
        <v>918</v>
      </c>
      <c r="G369" s="9">
        <f t="shared" si="6"/>
        <v>3.8452878470915941E-3</v>
      </c>
    </row>
    <row r="370" spans="1:7">
      <c r="A370" s="5">
        <v>335.78140000000002</v>
      </c>
      <c r="B370" s="5">
        <v>337.59890000000001</v>
      </c>
      <c r="C370" s="5">
        <v>334.26190000000003</v>
      </c>
      <c r="D370" s="5">
        <v>334.61939999999998</v>
      </c>
      <c r="E370" s="5">
        <v>852737</v>
      </c>
      <c r="F370" s="5" t="s">
        <v>917</v>
      </c>
      <c r="G370" s="9">
        <f t="shared" si="6"/>
        <v>3.4726020069368868E-3</v>
      </c>
    </row>
    <row r="371" spans="1:7">
      <c r="A371" s="5">
        <v>335.03660000000002</v>
      </c>
      <c r="B371" s="5">
        <v>335.08620000000002</v>
      </c>
      <c r="C371" s="5">
        <v>331.47109999999998</v>
      </c>
      <c r="D371" s="5">
        <v>333.90429999999998</v>
      </c>
      <c r="E371" s="5">
        <v>729566</v>
      </c>
      <c r="F371" s="5" t="s">
        <v>916</v>
      </c>
      <c r="G371" s="9">
        <f t="shared" si="6"/>
        <v>3.3910913995418568E-3</v>
      </c>
    </row>
    <row r="372" spans="1:7">
      <c r="A372" s="5">
        <v>333.27859999999998</v>
      </c>
      <c r="B372" s="5">
        <v>334.3612</v>
      </c>
      <c r="C372" s="5">
        <v>330.51760000000002</v>
      </c>
      <c r="D372" s="5">
        <v>332.99059999999997</v>
      </c>
      <c r="E372" s="5">
        <v>789570</v>
      </c>
      <c r="F372" s="5" t="s">
        <v>915</v>
      </c>
      <c r="G372" s="9">
        <f t="shared" si="6"/>
        <v>8.6488927915695513E-4</v>
      </c>
    </row>
    <row r="373" spans="1:7">
      <c r="A373" s="5">
        <v>331.82859999999999</v>
      </c>
      <c r="B373" s="5">
        <v>334.9074</v>
      </c>
      <c r="C373" s="5">
        <v>331.22280000000001</v>
      </c>
      <c r="D373" s="5">
        <v>333.97390000000001</v>
      </c>
      <c r="E373" s="5">
        <v>585985</v>
      </c>
      <c r="F373" s="5" t="s">
        <v>914</v>
      </c>
      <c r="G373" s="9">
        <f t="shared" si="6"/>
        <v>-6.4235558527179215E-3</v>
      </c>
    </row>
    <row r="374" spans="1:7">
      <c r="A374" s="5">
        <v>334.94720000000001</v>
      </c>
      <c r="B374" s="5">
        <v>335.03660000000002</v>
      </c>
      <c r="C374" s="5">
        <v>327.94529999999997</v>
      </c>
      <c r="D374" s="5">
        <v>331.94779999999997</v>
      </c>
      <c r="E374" s="5">
        <v>1007929</v>
      </c>
      <c r="F374" s="5" t="s">
        <v>913</v>
      </c>
      <c r="G374" s="9">
        <f t="shared" si="6"/>
        <v>9.035758031835206E-3</v>
      </c>
    </row>
    <row r="375" spans="1:7">
      <c r="A375" s="5">
        <v>329.75290000000001</v>
      </c>
      <c r="B375" s="5">
        <v>332.42450000000002</v>
      </c>
      <c r="C375" s="5">
        <v>329.49470000000002</v>
      </c>
      <c r="D375" s="5">
        <v>331.71940000000001</v>
      </c>
      <c r="E375" s="5">
        <v>522400</v>
      </c>
      <c r="F375" s="5" t="s">
        <v>912</v>
      </c>
      <c r="G375" s="9">
        <f t="shared" si="6"/>
        <v>-5.9282031741284547E-3</v>
      </c>
    </row>
    <row r="376" spans="1:7">
      <c r="A376" s="5">
        <v>332.01729999999998</v>
      </c>
      <c r="B376" s="5">
        <v>335.38420000000002</v>
      </c>
      <c r="C376" s="5">
        <v>329.74290000000002</v>
      </c>
      <c r="D376" s="5">
        <v>333.11970000000002</v>
      </c>
      <c r="E376" s="5">
        <v>844126</v>
      </c>
      <c r="F376" s="5" t="s">
        <v>911</v>
      </c>
      <c r="G376" s="9">
        <f t="shared" si="6"/>
        <v>-3.3093209437929927E-3</v>
      </c>
    </row>
    <row r="377" spans="1:7">
      <c r="A377" s="5">
        <v>334.20229999999998</v>
      </c>
      <c r="B377" s="5">
        <v>342.58789999999999</v>
      </c>
      <c r="C377" s="5">
        <v>333.19920000000002</v>
      </c>
      <c r="D377" s="5">
        <v>338.87020000000001</v>
      </c>
      <c r="E377" s="5">
        <v>778896</v>
      </c>
      <c r="F377" s="5" t="s">
        <v>910</v>
      </c>
      <c r="G377" s="9">
        <f t="shared" si="6"/>
        <v>-1.3774890798895933E-2</v>
      </c>
    </row>
    <row r="378" spans="1:7">
      <c r="A378" s="5">
        <v>337.92669999999998</v>
      </c>
      <c r="B378" s="5">
        <v>340.41950000000003</v>
      </c>
      <c r="C378" s="5">
        <v>335.7715</v>
      </c>
      <c r="D378" s="5">
        <v>338.67160000000001</v>
      </c>
      <c r="E378" s="5">
        <v>1894420</v>
      </c>
      <c r="F378" s="5" t="s">
        <v>909</v>
      </c>
      <c r="G378" s="9">
        <f t="shared" si="6"/>
        <v>-2.1994758344072718E-3</v>
      </c>
    </row>
    <row r="379" spans="1:7">
      <c r="A379" s="5">
        <v>337.42020000000002</v>
      </c>
      <c r="B379" s="5">
        <v>340.60570000000001</v>
      </c>
      <c r="C379" s="5">
        <v>336.34019999999998</v>
      </c>
      <c r="D379" s="5">
        <v>338.24259999999998</v>
      </c>
      <c r="E379" s="5">
        <v>723354</v>
      </c>
      <c r="F379" s="5" t="s">
        <v>908</v>
      </c>
      <c r="G379" s="9">
        <f t="shared" si="6"/>
        <v>-2.4313909602160511E-3</v>
      </c>
    </row>
    <row r="380" spans="1:7">
      <c r="A380" s="5">
        <v>337.3904</v>
      </c>
      <c r="B380" s="5">
        <v>338.63889999999998</v>
      </c>
      <c r="C380" s="5">
        <v>333.04070000000002</v>
      </c>
      <c r="D380" s="5">
        <v>335.06200000000001</v>
      </c>
      <c r="E380" s="5">
        <v>1140399</v>
      </c>
      <c r="F380" s="5" t="s">
        <v>907</v>
      </c>
      <c r="G380" s="9">
        <f t="shared" si="6"/>
        <v>6.9491616476951013E-3</v>
      </c>
    </row>
    <row r="381" spans="1:7">
      <c r="A381" s="5">
        <v>336.43920000000003</v>
      </c>
      <c r="B381" s="5">
        <v>337.63819999999998</v>
      </c>
      <c r="C381" s="5">
        <v>333.18430000000001</v>
      </c>
      <c r="D381" s="5">
        <v>336.70679999999999</v>
      </c>
      <c r="E381" s="5">
        <v>892402</v>
      </c>
      <c r="F381" s="5" t="s">
        <v>906</v>
      </c>
      <c r="G381" s="9">
        <f t="shared" si="6"/>
        <v>-7.9475674384943407E-4</v>
      </c>
    </row>
    <row r="382" spans="1:7">
      <c r="A382" s="5">
        <v>335.96359999999999</v>
      </c>
      <c r="B382" s="5">
        <v>342.6617</v>
      </c>
      <c r="C382" s="5">
        <v>335.91410000000002</v>
      </c>
      <c r="D382" s="5">
        <v>339.79820000000001</v>
      </c>
      <c r="E382" s="5">
        <v>1040845</v>
      </c>
      <c r="F382" s="5" t="s">
        <v>905</v>
      </c>
      <c r="G382" s="9">
        <f t="shared" si="6"/>
        <v>-1.1284933233901784E-2</v>
      </c>
    </row>
    <row r="383" spans="1:7">
      <c r="A383" s="5">
        <v>339.5009</v>
      </c>
      <c r="B383" s="5">
        <v>340.13510000000002</v>
      </c>
      <c r="C383" s="5">
        <v>336.3005</v>
      </c>
      <c r="D383" s="5">
        <v>340.13510000000002</v>
      </c>
      <c r="E383" s="5">
        <v>1837959</v>
      </c>
      <c r="F383" s="5" t="s">
        <v>904</v>
      </c>
      <c r="G383" s="9">
        <f t="shared" si="6"/>
        <v>-1.8645532319364611E-3</v>
      </c>
    </row>
    <row r="384" spans="1:7">
      <c r="A384" s="5">
        <v>338.22269999999997</v>
      </c>
      <c r="B384" s="5">
        <v>345.80270000000002</v>
      </c>
      <c r="C384" s="5">
        <v>337.54500000000002</v>
      </c>
      <c r="D384" s="5">
        <v>344.95049999999998</v>
      </c>
      <c r="E384" s="5">
        <v>1670398</v>
      </c>
      <c r="F384" s="5" t="s">
        <v>903</v>
      </c>
      <c r="G384" s="9">
        <f t="shared" si="6"/>
        <v>-1.9503667917570744E-2</v>
      </c>
    </row>
    <row r="385" spans="1:7">
      <c r="A385" s="5">
        <v>345.47570000000002</v>
      </c>
      <c r="B385" s="5">
        <v>345.73329999999999</v>
      </c>
      <c r="C385" s="5">
        <v>341.29930000000002</v>
      </c>
      <c r="D385" s="5">
        <v>341.83929999999998</v>
      </c>
      <c r="E385" s="5">
        <v>839609</v>
      </c>
      <c r="F385" s="5" t="s">
        <v>902</v>
      </c>
      <c r="G385" s="9">
        <f t="shared" si="6"/>
        <v>1.063774703493725E-2</v>
      </c>
    </row>
    <row r="386" spans="1:7">
      <c r="A386" s="5">
        <v>341.5421</v>
      </c>
      <c r="B386" s="5">
        <v>342.03750000000002</v>
      </c>
      <c r="C386" s="5">
        <v>338.60919999999999</v>
      </c>
      <c r="D386" s="5">
        <v>340.06569999999999</v>
      </c>
      <c r="E386" s="5">
        <v>815848</v>
      </c>
      <c r="F386" s="5" t="s">
        <v>901</v>
      </c>
      <c r="G386" s="9">
        <f t="shared" si="6"/>
        <v>4.3415140074403169E-3</v>
      </c>
    </row>
    <row r="387" spans="1:7">
      <c r="A387" s="5">
        <v>341.81950000000001</v>
      </c>
      <c r="B387" s="5">
        <v>341.90870000000001</v>
      </c>
      <c r="C387" s="5">
        <v>337.88589999999999</v>
      </c>
      <c r="D387" s="5">
        <v>340.47190000000001</v>
      </c>
      <c r="E387" s="5">
        <v>746530</v>
      </c>
      <c r="F387" s="5" t="s">
        <v>900</v>
      </c>
      <c r="G387" s="9">
        <f t="shared" si="6"/>
        <v>3.9580358907740365E-3</v>
      </c>
    </row>
    <row r="388" spans="1:7">
      <c r="A388" s="5">
        <v>339.87740000000002</v>
      </c>
      <c r="B388" s="5">
        <v>344.16419999999999</v>
      </c>
      <c r="C388" s="5">
        <v>338.58940000000001</v>
      </c>
      <c r="D388" s="5">
        <v>342.06720000000001</v>
      </c>
      <c r="E388" s="5">
        <v>939195</v>
      </c>
      <c r="F388" s="5" t="s">
        <v>899</v>
      </c>
      <c r="G388" s="9">
        <f t="shared" si="6"/>
        <v>-6.4016661053734047E-3</v>
      </c>
    </row>
    <row r="389" spans="1:7">
      <c r="A389" s="5">
        <v>343.2364</v>
      </c>
      <c r="B389" s="5">
        <v>346.72410000000002</v>
      </c>
      <c r="C389" s="5">
        <v>341.95819999999998</v>
      </c>
      <c r="D389" s="5">
        <v>344.89109999999999</v>
      </c>
      <c r="E389" s="5">
        <v>835076</v>
      </c>
      <c r="F389" s="5" t="s">
        <v>898</v>
      </c>
      <c r="G389" s="9">
        <f t="shared" si="6"/>
        <v>-4.7977463031083634E-3</v>
      </c>
    </row>
    <row r="390" spans="1:7">
      <c r="A390" s="5">
        <v>343.22649999999999</v>
      </c>
      <c r="B390" s="5">
        <v>345.23790000000002</v>
      </c>
      <c r="C390" s="5">
        <v>337.9255</v>
      </c>
      <c r="D390" s="5">
        <v>344.73259999999999</v>
      </c>
      <c r="E390" s="5">
        <v>1129032</v>
      </c>
      <c r="F390" s="5" t="s">
        <v>897</v>
      </c>
      <c r="G390" s="9">
        <f t="shared" si="6"/>
        <v>-4.3688934553912651E-3</v>
      </c>
    </row>
    <row r="391" spans="1:7">
      <c r="A391" s="5">
        <v>344.9803</v>
      </c>
      <c r="B391" s="5">
        <v>345.47570000000002</v>
      </c>
      <c r="C391" s="5">
        <v>341.60149999999999</v>
      </c>
      <c r="D391" s="5">
        <v>344.90100000000001</v>
      </c>
      <c r="E391" s="5">
        <v>898364</v>
      </c>
      <c r="F391" s="5" t="s">
        <v>896</v>
      </c>
      <c r="G391" s="9">
        <f t="shared" si="6"/>
        <v>2.2992104980845696E-4</v>
      </c>
    </row>
    <row r="392" spans="1:7">
      <c r="A392" s="5">
        <v>346.12959999999998</v>
      </c>
      <c r="B392" s="5">
        <v>348.33969999999999</v>
      </c>
      <c r="C392" s="5">
        <v>345.0249</v>
      </c>
      <c r="D392" s="5">
        <v>346.61509999999998</v>
      </c>
      <c r="E392" s="5">
        <v>847236</v>
      </c>
      <c r="F392" s="5" t="s">
        <v>895</v>
      </c>
      <c r="G392" s="9">
        <f t="shared" si="6"/>
        <v>-1.4006891217376305E-3</v>
      </c>
    </row>
    <row r="393" spans="1:7">
      <c r="A393" s="5">
        <v>346.42689999999999</v>
      </c>
      <c r="B393" s="5">
        <v>346.73399999999998</v>
      </c>
      <c r="C393" s="5">
        <v>341.36369999999999</v>
      </c>
      <c r="D393" s="5">
        <v>343.26609999999999</v>
      </c>
      <c r="E393" s="5">
        <v>1050410</v>
      </c>
      <c r="F393" s="5" t="s">
        <v>894</v>
      </c>
      <c r="G393" s="9">
        <f t="shared" si="6"/>
        <v>9.2080167543489022E-3</v>
      </c>
    </row>
    <row r="394" spans="1:7">
      <c r="A394" s="5">
        <v>342.8202</v>
      </c>
      <c r="B394" s="5">
        <v>343.73180000000002</v>
      </c>
      <c r="C394" s="5">
        <v>338.38130000000001</v>
      </c>
      <c r="D394" s="5">
        <v>338.86680000000001</v>
      </c>
      <c r="E394" s="5">
        <v>1121558</v>
      </c>
      <c r="F394" s="5" t="s">
        <v>893</v>
      </c>
      <c r="G394" s="9">
        <f t="shared" si="6"/>
        <v>1.1666530920113605E-2</v>
      </c>
    </row>
    <row r="395" spans="1:7">
      <c r="A395" s="5">
        <v>338.86680000000001</v>
      </c>
      <c r="B395" s="5">
        <v>340.67509999999999</v>
      </c>
      <c r="C395" s="5">
        <v>335.42860000000002</v>
      </c>
      <c r="D395" s="5">
        <v>335.89429999999999</v>
      </c>
      <c r="E395" s="5">
        <v>1729911</v>
      </c>
      <c r="F395" s="5" t="s">
        <v>892</v>
      </c>
      <c r="G395" s="9">
        <f t="shared" si="6"/>
        <v>8.8495100988614794E-3</v>
      </c>
    </row>
    <row r="396" spans="1:7">
      <c r="A396" s="5">
        <v>336.28070000000002</v>
      </c>
      <c r="B396" s="5">
        <v>338.0147</v>
      </c>
      <c r="C396" s="5">
        <v>333.7937</v>
      </c>
      <c r="D396" s="5">
        <v>336.27080000000001</v>
      </c>
      <c r="E396" s="5">
        <v>1218298</v>
      </c>
      <c r="F396" s="5" t="s">
        <v>891</v>
      </c>
      <c r="G396" s="9">
        <f t="shared" si="6"/>
        <v>2.9440558026561092E-5</v>
      </c>
    </row>
    <row r="397" spans="1:7">
      <c r="A397" s="5">
        <v>337.96510000000001</v>
      </c>
      <c r="B397" s="5">
        <v>339.09469999999999</v>
      </c>
      <c r="C397" s="5">
        <v>334.25940000000003</v>
      </c>
      <c r="D397" s="5">
        <v>337.40030000000002</v>
      </c>
      <c r="E397" s="5">
        <v>2175319</v>
      </c>
      <c r="F397" s="5" t="s">
        <v>890</v>
      </c>
      <c r="G397" s="9">
        <f t="shared" si="6"/>
        <v>1.6739759863877435E-3</v>
      </c>
    </row>
    <row r="398" spans="1:7">
      <c r="A398" s="5">
        <v>337.40030000000002</v>
      </c>
      <c r="B398" s="5">
        <v>339.41180000000003</v>
      </c>
      <c r="C398" s="5">
        <v>335.81009999999998</v>
      </c>
      <c r="D398" s="5">
        <v>337.42020000000002</v>
      </c>
      <c r="E398" s="5">
        <v>1347259</v>
      </c>
      <c r="F398" s="5" t="s">
        <v>889</v>
      </c>
      <c r="G398" s="9">
        <f t="shared" si="6"/>
        <v>-5.8976907725161176E-5</v>
      </c>
    </row>
    <row r="399" spans="1:7">
      <c r="A399" s="5">
        <v>338.0147</v>
      </c>
      <c r="B399" s="5">
        <v>341.70060000000001</v>
      </c>
      <c r="C399" s="5">
        <v>333.11989999999997</v>
      </c>
      <c r="D399" s="5">
        <v>333.60539999999997</v>
      </c>
      <c r="E399" s="5">
        <v>1918939</v>
      </c>
      <c r="F399" s="5" t="s">
        <v>888</v>
      </c>
      <c r="G399" s="9">
        <f t="shared" si="6"/>
        <v>1.3217112193028235E-2</v>
      </c>
    </row>
    <row r="400" spans="1:7">
      <c r="A400" s="5">
        <v>336.20139999999998</v>
      </c>
      <c r="B400" s="5">
        <v>336.77609999999999</v>
      </c>
      <c r="C400" s="5">
        <v>332.69389999999999</v>
      </c>
      <c r="D400" s="5">
        <v>333.9126</v>
      </c>
      <c r="E400" s="5">
        <v>1872435</v>
      </c>
      <c r="F400" s="5" t="s">
        <v>887</v>
      </c>
      <c r="G400" s="9">
        <f t="shared" si="6"/>
        <v>6.8544882702838983E-3</v>
      </c>
    </row>
    <row r="401" spans="1:7">
      <c r="A401" s="5">
        <v>332.46600000000001</v>
      </c>
      <c r="B401" s="5">
        <v>333.76400000000001</v>
      </c>
      <c r="C401" s="5">
        <v>327.66039999999998</v>
      </c>
      <c r="D401" s="5">
        <v>327.66039999999998</v>
      </c>
      <c r="E401" s="5">
        <v>1230572</v>
      </c>
      <c r="F401" s="5" t="s">
        <v>886</v>
      </c>
      <c r="G401" s="9">
        <f t="shared" si="6"/>
        <v>1.4666404606720862E-2</v>
      </c>
    </row>
    <row r="402" spans="1:7">
      <c r="A402" s="5">
        <v>327.09559999999999</v>
      </c>
      <c r="B402" s="5">
        <v>332.53530000000001</v>
      </c>
      <c r="C402" s="5">
        <v>326.84789999999998</v>
      </c>
      <c r="D402" s="5">
        <v>331.72280000000001</v>
      </c>
      <c r="E402" s="5">
        <v>943455</v>
      </c>
      <c r="F402" s="5" t="s">
        <v>885</v>
      </c>
      <c r="G402" s="9">
        <f t="shared" si="6"/>
        <v>-1.3948995968923517E-2</v>
      </c>
    </row>
    <row r="403" spans="1:7">
      <c r="A403" s="5">
        <v>332.34710000000001</v>
      </c>
      <c r="B403" s="5">
        <v>333.17939999999999</v>
      </c>
      <c r="C403" s="5">
        <v>329.41419999999999</v>
      </c>
      <c r="D403" s="5">
        <v>330.51400000000001</v>
      </c>
      <c r="E403" s="5">
        <v>1611455</v>
      </c>
      <c r="F403" s="5" t="s">
        <v>884</v>
      </c>
      <c r="G403" s="9">
        <f t="shared" si="6"/>
        <v>5.5462098428509243E-3</v>
      </c>
    </row>
    <row r="404" spans="1:7">
      <c r="A404" s="5">
        <v>327.4821</v>
      </c>
      <c r="B404" s="5">
        <v>328.39359999999999</v>
      </c>
      <c r="C404" s="5">
        <v>325.56970000000001</v>
      </c>
      <c r="D404" s="5">
        <v>327.32350000000002</v>
      </c>
      <c r="E404" s="5">
        <v>1256481</v>
      </c>
      <c r="F404" s="5" t="s">
        <v>883</v>
      </c>
      <c r="G404" s="9">
        <f t="shared" si="6"/>
        <v>4.8453594074349127E-4</v>
      </c>
    </row>
    <row r="405" spans="1:7">
      <c r="A405" s="5">
        <v>326.70920000000001</v>
      </c>
      <c r="B405" s="5">
        <v>332.25790000000001</v>
      </c>
      <c r="C405" s="5">
        <v>326.19400000000002</v>
      </c>
      <c r="D405" s="5">
        <v>331.88139999999999</v>
      </c>
      <c r="E405" s="5">
        <v>1217831</v>
      </c>
      <c r="F405" s="5" t="s">
        <v>882</v>
      </c>
      <c r="G405" s="9">
        <f t="shared" si="6"/>
        <v>-1.558448289057468E-2</v>
      </c>
    </row>
    <row r="406" spans="1:7">
      <c r="A406" s="5">
        <v>331.6139</v>
      </c>
      <c r="B406" s="5">
        <v>331.91109999999998</v>
      </c>
      <c r="C406" s="5">
        <v>327.4325</v>
      </c>
      <c r="D406" s="5">
        <v>331.53460000000001</v>
      </c>
      <c r="E406" s="5">
        <v>940474</v>
      </c>
      <c r="F406" s="5" t="s">
        <v>881</v>
      </c>
      <c r="G406" s="9">
        <f t="shared" si="6"/>
        <v>2.3919072096845184E-4</v>
      </c>
    </row>
    <row r="407" spans="1:7">
      <c r="A407" s="5">
        <v>330.9203</v>
      </c>
      <c r="B407" s="5">
        <v>331.93090000000001</v>
      </c>
      <c r="C407" s="5">
        <v>328.31439999999998</v>
      </c>
      <c r="D407" s="5">
        <v>328.95839999999998</v>
      </c>
      <c r="E407" s="5">
        <v>1168494</v>
      </c>
      <c r="F407" s="5" t="s">
        <v>880</v>
      </c>
      <c r="G407" s="9">
        <f t="shared" si="6"/>
        <v>5.9639759921010782E-3</v>
      </c>
    </row>
    <row r="408" spans="1:7">
      <c r="A408" s="5">
        <v>328.94850000000002</v>
      </c>
      <c r="B408" s="5">
        <v>329.1764</v>
      </c>
      <c r="C408" s="5">
        <v>321.32889999999998</v>
      </c>
      <c r="D408" s="5">
        <v>322.92419999999998</v>
      </c>
      <c r="E408" s="5">
        <v>1989178</v>
      </c>
      <c r="F408" s="5" t="s">
        <v>879</v>
      </c>
      <c r="G408" s="9">
        <f t="shared" si="6"/>
        <v>1.8655461560329156E-2</v>
      </c>
    </row>
    <row r="409" spans="1:7">
      <c r="A409" s="5">
        <v>321.32889999999998</v>
      </c>
      <c r="B409" s="5">
        <v>323.03570000000002</v>
      </c>
      <c r="C409" s="5">
        <v>319.54539999999997</v>
      </c>
      <c r="D409" s="5">
        <v>321.12090000000001</v>
      </c>
      <c r="E409" s="5">
        <v>1712601</v>
      </c>
      <c r="F409" s="5" t="s">
        <v>878</v>
      </c>
      <c r="G409" s="9">
        <f t="shared" si="6"/>
        <v>6.4773111933846828E-4</v>
      </c>
    </row>
    <row r="410" spans="1:7">
      <c r="A410" s="5">
        <v>321.58659999999998</v>
      </c>
      <c r="B410" s="5">
        <v>328.28460000000001</v>
      </c>
      <c r="C410" s="5">
        <v>320.5462</v>
      </c>
      <c r="D410" s="5">
        <v>328.28460000000001</v>
      </c>
      <c r="E410" s="5">
        <v>1609587</v>
      </c>
      <c r="F410" s="5" t="s">
        <v>877</v>
      </c>
      <c r="G410" s="9">
        <f t="shared" si="6"/>
        <v>-2.0403028347964036E-2</v>
      </c>
    </row>
    <row r="411" spans="1:7">
      <c r="A411" s="5">
        <v>327.5514</v>
      </c>
      <c r="B411" s="5">
        <v>329.76589999999999</v>
      </c>
      <c r="C411" s="5">
        <v>327.12540000000001</v>
      </c>
      <c r="D411" s="5">
        <v>328.7602</v>
      </c>
      <c r="E411" s="5">
        <v>1307926</v>
      </c>
      <c r="F411" s="5" t="s">
        <v>876</v>
      </c>
      <c r="G411" s="9">
        <f t="shared" si="6"/>
        <v>-3.6768440948752312E-3</v>
      </c>
    </row>
    <row r="412" spans="1:7">
      <c r="A412" s="5">
        <v>327.8288</v>
      </c>
      <c r="B412" s="5">
        <v>329.69690000000003</v>
      </c>
      <c r="C412" s="5">
        <v>326.27319999999997</v>
      </c>
      <c r="D412" s="5">
        <v>327.38299999999998</v>
      </c>
      <c r="E412" s="5">
        <v>980439</v>
      </c>
      <c r="F412" s="5" t="s">
        <v>875</v>
      </c>
      <c r="G412" s="9">
        <f t="shared" si="6"/>
        <v>1.3617078467726973E-3</v>
      </c>
    </row>
    <row r="413" spans="1:7">
      <c r="A413" s="5">
        <v>326.26330000000002</v>
      </c>
      <c r="B413" s="5">
        <v>332.32229999999998</v>
      </c>
      <c r="C413" s="5">
        <v>324.59870000000001</v>
      </c>
      <c r="D413" s="5">
        <v>328.899</v>
      </c>
      <c r="E413" s="5">
        <v>1214050</v>
      </c>
      <c r="F413" s="5" t="s">
        <v>874</v>
      </c>
      <c r="G413" s="9">
        <f t="shared" si="6"/>
        <v>-8.0137063353794558E-3</v>
      </c>
    </row>
    <row r="414" spans="1:7">
      <c r="A414" s="5">
        <v>329.09710000000001</v>
      </c>
      <c r="B414" s="5">
        <v>329.34480000000002</v>
      </c>
      <c r="C414" s="5">
        <v>323.63760000000002</v>
      </c>
      <c r="D414" s="5">
        <v>324.92570000000001</v>
      </c>
      <c r="E414" s="5">
        <v>1331236</v>
      </c>
      <c r="F414" s="5" t="s">
        <v>873</v>
      </c>
      <c r="G414" s="9">
        <f t="shared" si="6"/>
        <v>1.2838011890102807E-2</v>
      </c>
    </row>
    <row r="415" spans="1:7">
      <c r="A415" s="5">
        <v>322.51799999999997</v>
      </c>
      <c r="B415" s="5">
        <v>327.9676</v>
      </c>
      <c r="C415" s="5">
        <v>321.61630000000002</v>
      </c>
      <c r="D415" s="5">
        <v>327.274</v>
      </c>
      <c r="E415" s="5">
        <v>1722244</v>
      </c>
      <c r="F415" s="5" t="s">
        <v>872</v>
      </c>
      <c r="G415" s="9">
        <f t="shared" si="6"/>
        <v>-1.453216570824456E-2</v>
      </c>
    </row>
    <row r="416" spans="1:7">
      <c r="A416" s="5">
        <v>325.4409</v>
      </c>
      <c r="B416" s="5">
        <v>328.72309999999999</v>
      </c>
      <c r="C416" s="5">
        <v>323.70800000000003</v>
      </c>
      <c r="D416" s="5">
        <v>325.63909999999998</v>
      </c>
      <c r="E416" s="5">
        <v>1589424</v>
      </c>
      <c r="F416" s="5" t="s">
        <v>871</v>
      </c>
      <c r="G416" s="9">
        <f t="shared" si="6"/>
        <v>-6.0864926846926348E-4</v>
      </c>
    </row>
    <row r="417" spans="1:7">
      <c r="A417" s="5">
        <v>323.63760000000002</v>
      </c>
      <c r="B417" s="5">
        <v>328.6413</v>
      </c>
      <c r="C417" s="5">
        <v>319.55529999999999</v>
      </c>
      <c r="D417" s="5">
        <v>328.6413</v>
      </c>
      <c r="E417" s="5">
        <v>1846993</v>
      </c>
      <c r="F417" s="5" t="s">
        <v>870</v>
      </c>
      <c r="G417" s="9">
        <f t="shared" si="6"/>
        <v>-1.5225414456430109E-2</v>
      </c>
    </row>
    <row r="418" spans="1:7">
      <c r="A418" s="5">
        <v>325.11399999999998</v>
      </c>
      <c r="B418" s="5">
        <v>332.64929999999998</v>
      </c>
      <c r="C418" s="5">
        <v>317.77679999999998</v>
      </c>
      <c r="D418" s="5">
        <v>330.52390000000003</v>
      </c>
      <c r="E418" s="5">
        <v>2766931</v>
      </c>
      <c r="F418" s="5" t="s">
        <v>869</v>
      </c>
      <c r="G418" s="9">
        <f t="shared" si="6"/>
        <v>-1.6367651476943301E-2</v>
      </c>
    </row>
    <row r="419" spans="1:7">
      <c r="A419" s="5">
        <v>333.41719999999998</v>
      </c>
      <c r="B419" s="5">
        <v>337.29140000000001</v>
      </c>
      <c r="C419" s="5">
        <v>333.23880000000003</v>
      </c>
      <c r="D419" s="5">
        <v>334.5566</v>
      </c>
      <c r="E419" s="5">
        <v>2480636</v>
      </c>
      <c r="F419" s="5" t="s">
        <v>868</v>
      </c>
      <c r="G419" s="9">
        <f t="shared" si="6"/>
        <v>-3.4057017556969882E-3</v>
      </c>
    </row>
    <row r="420" spans="1:7">
      <c r="A420" s="5">
        <v>335.76549999999997</v>
      </c>
      <c r="B420" s="5">
        <v>337.30130000000003</v>
      </c>
      <c r="C420" s="5">
        <v>331.60390000000001</v>
      </c>
      <c r="D420" s="5">
        <v>331.60390000000001</v>
      </c>
      <c r="E420" s="5">
        <v>1528296</v>
      </c>
      <c r="F420" s="5" t="s">
        <v>867</v>
      </c>
      <c r="G420" s="9">
        <f t="shared" si="6"/>
        <v>1.2549912712124245E-2</v>
      </c>
    </row>
    <row r="421" spans="1:7">
      <c r="A421" s="5">
        <v>332.53530000000001</v>
      </c>
      <c r="B421" s="5">
        <v>335.40879999999999</v>
      </c>
      <c r="C421" s="5">
        <v>331.37610000000001</v>
      </c>
      <c r="D421" s="5">
        <v>332.11919999999998</v>
      </c>
      <c r="E421" s="5">
        <v>1063790</v>
      </c>
      <c r="F421" s="5" t="s">
        <v>866</v>
      </c>
      <c r="G421" s="9">
        <f t="shared" si="6"/>
        <v>1.2528634297566121E-3</v>
      </c>
    </row>
    <row r="422" spans="1:7">
      <c r="A422" s="5">
        <v>334.06119999999999</v>
      </c>
      <c r="B422" s="5">
        <v>334.77460000000002</v>
      </c>
      <c r="C422" s="5">
        <v>330.27620000000002</v>
      </c>
      <c r="D422" s="5">
        <v>332.76319999999998</v>
      </c>
      <c r="E422" s="5">
        <v>1615335</v>
      </c>
      <c r="F422" s="5" t="s">
        <v>865</v>
      </c>
      <c r="G422" s="9">
        <f t="shared" si="6"/>
        <v>3.9006717088909681E-3</v>
      </c>
    </row>
    <row r="423" spans="1:7">
      <c r="A423" s="5">
        <v>333.76400000000001</v>
      </c>
      <c r="B423" s="5">
        <v>339.4563</v>
      </c>
      <c r="C423" s="5">
        <v>331.13819999999998</v>
      </c>
      <c r="D423" s="5">
        <v>332.20839999999998</v>
      </c>
      <c r="E423" s="5">
        <v>1515676</v>
      </c>
      <c r="F423" s="5" t="s">
        <v>864</v>
      </c>
      <c r="G423" s="9">
        <f t="shared" ref="G423:G486" si="7">A423/D423-1</f>
        <v>4.6826028480917437E-3</v>
      </c>
    </row>
    <row r="424" spans="1:7">
      <c r="A424" s="5">
        <v>331.8417</v>
      </c>
      <c r="B424" s="5">
        <v>332.0498</v>
      </c>
      <c r="C424" s="5">
        <v>324.00420000000003</v>
      </c>
      <c r="D424" s="5">
        <v>325.54000000000002</v>
      </c>
      <c r="E424" s="5">
        <v>1430549</v>
      </c>
      <c r="F424" s="5" t="s">
        <v>863</v>
      </c>
      <c r="G424" s="9">
        <f t="shared" si="7"/>
        <v>1.9357682619647321E-2</v>
      </c>
    </row>
    <row r="425" spans="1:7">
      <c r="A425" s="5">
        <v>324.678</v>
      </c>
      <c r="B425" s="5">
        <v>326.4119</v>
      </c>
      <c r="C425" s="5">
        <v>320.78399999999999</v>
      </c>
      <c r="D425" s="5">
        <v>324.70769999999999</v>
      </c>
      <c r="E425" s="5">
        <v>1688622</v>
      </c>
      <c r="F425" s="5" t="s">
        <v>862</v>
      </c>
      <c r="G425" s="9">
        <f t="shared" si="7"/>
        <v>-9.1466879288626401E-5</v>
      </c>
    </row>
    <row r="426" spans="1:7">
      <c r="A426" s="5">
        <v>322.4486</v>
      </c>
      <c r="B426" s="5">
        <v>327.35320000000002</v>
      </c>
      <c r="C426" s="5">
        <v>321.70549999999997</v>
      </c>
      <c r="D426" s="5">
        <v>327.35320000000002</v>
      </c>
      <c r="E426" s="5">
        <v>1884151</v>
      </c>
      <c r="F426" s="5" t="s">
        <v>861</v>
      </c>
      <c r="G426" s="9">
        <f t="shared" si="7"/>
        <v>-1.4982593724454207E-2</v>
      </c>
    </row>
    <row r="427" spans="1:7">
      <c r="A427" s="5">
        <v>324.45010000000002</v>
      </c>
      <c r="B427" s="5">
        <v>333.94229999999999</v>
      </c>
      <c r="C427" s="5">
        <v>323.59800000000001</v>
      </c>
      <c r="D427" s="5">
        <v>332.99110000000002</v>
      </c>
      <c r="E427" s="5">
        <v>2143604</v>
      </c>
      <c r="F427" s="5" t="s">
        <v>860</v>
      </c>
      <c r="G427" s="9">
        <f t="shared" si="7"/>
        <v>-2.5649334171393812E-2</v>
      </c>
    </row>
    <row r="428" spans="1:7">
      <c r="A428" s="5">
        <v>332.95150000000001</v>
      </c>
      <c r="B428" s="5">
        <v>336.28570000000002</v>
      </c>
      <c r="C428" s="5">
        <v>331.5247</v>
      </c>
      <c r="D428" s="5">
        <v>335.50779999999997</v>
      </c>
      <c r="E428" s="5">
        <v>1066062</v>
      </c>
      <c r="F428" s="5" t="s">
        <v>859</v>
      </c>
      <c r="G428" s="9">
        <f t="shared" si="7"/>
        <v>-7.6191969307418672E-3</v>
      </c>
    </row>
    <row r="429" spans="1:7">
      <c r="A429" s="5">
        <v>334.56659999999999</v>
      </c>
      <c r="B429" s="5">
        <v>338.30450000000002</v>
      </c>
      <c r="C429" s="5">
        <v>331.12830000000002</v>
      </c>
      <c r="D429" s="5">
        <v>338.0147</v>
      </c>
      <c r="E429" s="5">
        <v>1239358</v>
      </c>
      <c r="F429" s="5" t="s">
        <v>858</v>
      </c>
      <c r="G429" s="9">
        <f t="shared" si="7"/>
        <v>-1.0201035635432509E-2</v>
      </c>
    </row>
    <row r="430" spans="1:7">
      <c r="A430" s="5">
        <v>336.0231</v>
      </c>
      <c r="B430" s="5">
        <v>343.15710000000001</v>
      </c>
      <c r="C430" s="5">
        <v>334.87369999999999</v>
      </c>
      <c r="D430" s="5">
        <v>342.62209999999999</v>
      </c>
      <c r="E430" s="5">
        <v>1087797</v>
      </c>
      <c r="F430" s="5" t="s">
        <v>857</v>
      </c>
      <c r="G430" s="9">
        <f t="shared" si="7"/>
        <v>-1.9260287062626724E-2</v>
      </c>
    </row>
    <row r="431" spans="1:7">
      <c r="A431" s="5">
        <v>338.91629999999998</v>
      </c>
      <c r="B431" s="5">
        <v>340.9674</v>
      </c>
      <c r="C431" s="5">
        <v>336.20139999999998</v>
      </c>
      <c r="D431" s="5">
        <v>339.75850000000003</v>
      </c>
      <c r="E431" s="5">
        <v>1056840</v>
      </c>
      <c r="F431" s="5" t="s">
        <v>856</v>
      </c>
      <c r="G431" s="9">
        <f t="shared" si="7"/>
        <v>-2.478819514449393E-3</v>
      </c>
    </row>
    <row r="432" spans="1:7">
      <c r="A432" s="5">
        <v>343.11750000000001</v>
      </c>
      <c r="B432" s="5">
        <v>346.21879999999999</v>
      </c>
      <c r="C432" s="5">
        <v>340.99709999999999</v>
      </c>
      <c r="D432" s="5">
        <v>345.96120000000002</v>
      </c>
      <c r="E432" s="5">
        <v>822222</v>
      </c>
      <c r="F432" s="5" t="s">
        <v>855</v>
      </c>
      <c r="G432" s="9">
        <f t="shared" si="7"/>
        <v>-8.2197078747558994E-3</v>
      </c>
    </row>
    <row r="433" spans="1:7">
      <c r="A433" s="5">
        <v>344.14800000000002</v>
      </c>
      <c r="B433" s="5">
        <v>347.78429999999997</v>
      </c>
      <c r="C433" s="5">
        <v>342.62209999999999</v>
      </c>
      <c r="D433" s="5">
        <v>344.92079999999999</v>
      </c>
      <c r="E433" s="5">
        <v>646025</v>
      </c>
      <c r="F433" s="5" t="s">
        <v>854</v>
      </c>
      <c r="G433" s="9">
        <f t="shared" si="7"/>
        <v>-2.240514344162392E-3</v>
      </c>
    </row>
    <row r="434" spans="1:7">
      <c r="A434" s="5">
        <v>347.6952</v>
      </c>
      <c r="B434" s="5">
        <v>348.04689999999999</v>
      </c>
      <c r="C434" s="5">
        <v>344.2371</v>
      </c>
      <c r="D434" s="5">
        <v>347.89330000000001</v>
      </c>
      <c r="E434" s="5">
        <v>946487</v>
      </c>
      <c r="F434" s="5" t="s">
        <v>853</v>
      </c>
      <c r="G434" s="9">
        <f t="shared" si="7"/>
        <v>-5.6942746526023047E-4</v>
      </c>
    </row>
    <row r="435" spans="1:7">
      <c r="A435" s="5">
        <v>346.54579999999999</v>
      </c>
      <c r="B435" s="5">
        <v>347.77440000000001</v>
      </c>
      <c r="C435" s="5">
        <v>344.22719999999998</v>
      </c>
      <c r="D435" s="5">
        <v>347.24930000000001</v>
      </c>
      <c r="E435" s="5">
        <v>786526</v>
      </c>
      <c r="F435" s="5" t="s">
        <v>852</v>
      </c>
      <c r="G435" s="9">
        <f t="shared" si="7"/>
        <v>-2.0259220104980047E-3</v>
      </c>
    </row>
    <row r="436" spans="1:7">
      <c r="A436" s="5">
        <v>347.80419999999998</v>
      </c>
      <c r="B436" s="5">
        <v>348.44819999999999</v>
      </c>
      <c r="C436" s="5">
        <v>345.00009999999997</v>
      </c>
      <c r="D436" s="5">
        <v>345.28739999999999</v>
      </c>
      <c r="E436" s="5">
        <v>686625</v>
      </c>
      <c r="F436" s="5" t="s">
        <v>851</v>
      </c>
      <c r="G436" s="9">
        <f t="shared" si="7"/>
        <v>7.2890004095138572E-3</v>
      </c>
    </row>
    <row r="437" spans="1:7">
      <c r="A437" s="5">
        <v>344.19749999999999</v>
      </c>
      <c r="B437" s="5">
        <v>351.34140000000002</v>
      </c>
      <c r="C437" s="5">
        <v>343.65260000000001</v>
      </c>
      <c r="D437" s="5">
        <v>350.98469999999998</v>
      </c>
      <c r="E437" s="5">
        <v>888870</v>
      </c>
      <c r="F437" s="5" t="s">
        <v>850</v>
      </c>
      <c r="G437" s="9">
        <f t="shared" si="7"/>
        <v>-1.9337595057562273E-2</v>
      </c>
    </row>
    <row r="438" spans="1:7">
      <c r="A438" s="5">
        <v>347.78429999999997</v>
      </c>
      <c r="B438" s="5">
        <v>351.62880000000001</v>
      </c>
      <c r="C438" s="5">
        <v>347.01150000000001</v>
      </c>
      <c r="D438" s="5">
        <v>347.6456</v>
      </c>
      <c r="E438" s="5">
        <v>905918</v>
      </c>
      <c r="F438" s="5" t="s">
        <v>849</v>
      </c>
      <c r="G438" s="9">
        <f t="shared" si="7"/>
        <v>3.9896952528661878E-4</v>
      </c>
    </row>
    <row r="439" spans="1:7">
      <c r="A439" s="5">
        <v>346.17919999999998</v>
      </c>
      <c r="B439" s="5">
        <v>350.60820000000001</v>
      </c>
      <c r="C439" s="5">
        <v>345.2577</v>
      </c>
      <c r="D439" s="5">
        <v>349.0625</v>
      </c>
      <c r="E439" s="5">
        <v>997013</v>
      </c>
      <c r="F439" s="5" t="s">
        <v>848</v>
      </c>
      <c r="G439" s="9">
        <f t="shared" si="7"/>
        <v>-8.260125335720736E-3</v>
      </c>
    </row>
    <row r="440" spans="1:7">
      <c r="A440" s="5">
        <v>351.42070000000001</v>
      </c>
      <c r="B440" s="5">
        <v>353.87799999999999</v>
      </c>
      <c r="C440" s="5">
        <v>350.1524</v>
      </c>
      <c r="D440" s="5">
        <v>353.75909999999999</v>
      </c>
      <c r="E440" s="5">
        <v>760827</v>
      </c>
      <c r="F440" s="5" t="s">
        <v>847</v>
      </c>
      <c r="G440" s="9">
        <f t="shared" si="7"/>
        <v>-6.610147979232095E-3</v>
      </c>
    </row>
    <row r="441" spans="1:7">
      <c r="A441" s="5">
        <v>354.59140000000002</v>
      </c>
      <c r="B441" s="5">
        <v>356.20650000000001</v>
      </c>
      <c r="C441" s="5">
        <v>352.4264</v>
      </c>
      <c r="D441" s="5">
        <v>355.9092</v>
      </c>
      <c r="E441" s="5">
        <v>1074753</v>
      </c>
      <c r="F441" s="5" t="s">
        <v>846</v>
      </c>
      <c r="G441" s="9">
        <f t="shared" si="7"/>
        <v>-3.7026297718630863E-3</v>
      </c>
    </row>
    <row r="442" spans="1:7">
      <c r="A442" s="5">
        <v>355.4237</v>
      </c>
      <c r="B442" s="5">
        <v>355.7903</v>
      </c>
      <c r="C442" s="5">
        <v>348.6662</v>
      </c>
      <c r="D442" s="5">
        <v>348.76530000000002</v>
      </c>
      <c r="E442" s="5">
        <v>1404675</v>
      </c>
      <c r="F442" s="5" t="s">
        <v>845</v>
      </c>
      <c r="G442" s="9">
        <f t="shared" si="7"/>
        <v>1.9091348823979892E-2</v>
      </c>
    </row>
    <row r="443" spans="1:7">
      <c r="A443" s="5">
        <v>346.37729999999999</v>
      </c>
      <c r="B443" s="5">
        <v>348.95749999999998</v>
      </c>
      <c r="C443" s="5">
        <v>346.00170000000003</v>
      </c>
      <c r="D443" s="5">
        <v>347.1583</v>
      </c>
      <c r="E443" s="5">
        <v>785798</v>
      </c>
      <c r="F443" s="5" t="s">
        <v>844</v>
      </c>
      <c r="G443" s="9">
        <f t="shared" si="7"/>
        <v>-2.2496941596960029E-3</v>
      </c>
    </row>
    <row r="444" spans="1:7">
      <c r="A444" s="5">
        <v>347.01990000000001</v>
      </c>
      <c r="B444" s="5">
        <v>350.19330000000002</v>
      </c>
      <c r="C444" s="5">
        <v>345.8485</v>
      </c>
      <c r="D444" s="5">
        <v>349.21460000000002</v>
      </c>
      <c r="E444" s="5">
        <v>792529</v>
      </c>
      <c r="F444" s="5" t="s">
        <v>843</v>
      </c>
      <c r="G444" s="9">
        <f t="shared" si="7"/>
        <v>-6.2846742375605169E-3</v>
      </c>
    </row>
    <row r="445" spans="1:7">
      <c r="A445" s="5">
        <v>348.59179999999998</v>
      </c>
      <c r="B445" s="5">
        <v>350.89510000000001</v>
      </c>
      <c r="C445" s="5">
        <v>344.82029999999997</v>
      </c>
      <c r="D445" s="5">
        <v>349.37270000000001</v>
      </c>
      <c r="E445" s="5">
        <v>1105369</v>
      </c>
      <c r="F445" s="5" t="s">
        <v>842</v>
      </c>
      <c r="G445" s="9">
        <f t="shared" si="7"/>
        <v>-2.2351488825544941E-3</v>
      </c>
    </row>
    <row r="446" spans="1:7">
      <c r="A446" s="5">
        <v>349.47160000000002</v>
      </c>
      <c r="B446" s="5">
        <v>350.81259999999997</v>
      </c>
      <c r="C446" s="5">
        <v>346.99029999999999</v>
      </c>
      <c r="D446" s="5">
        <v>349.91640000000001</v>
      </c>
      <c r="E446" s="5">
        <v>1537654</v>
      </c>
      <c r="F446" s="5" t="s">
        <v>841</v>
      </c>
      <c r="G446" s="9">
        <f t="shared" si="7"/>
        <v>-1.2711607686863857E-3</v>
      </c>
    </row>
    <row r="447" spans="1:7">
      <c r="A447" s="5">
        <v>349.15519999999998</v>
      </c>
      <c r="B447" s="5">
        <v>352.83269999999999</v>
      </c>
      <c r="C447" s="5">
        <v>347.5043</v>
      </c>
      <c r="D447" s="5">
        <v>352.83269999999999</v>
      </c>
      <c r="E447" s="5">
        <v>1179231</v>
      </c>
      <c r="F447" s="5" t="s">
        <v>840</v>
      </c>
      <c r="G447" s="9">
        <f t="shared" si="7"/>
        <v>-1.0422786776849269E-2</v>
      </c>
    </row>
    <row r="448" spans="1:7">
      <c r="A448" s="5">
        <v>352.81299999999999</v>
      </c>
      <c r="B448" s="5">
        <v>352.90199999999999</v>
      </c>
      <c r="C448" s="5">
        <v>349.52100000000002</v>
      </c>
      <c r="D448" s="5">
        <v>350.89510000000001</v>
      </c>
      <c r="E448" s="5">
        <v>1052135</v>
      </c>
      <c r="F448" s="5" t="s">
        <v>839</v>
      </c>
      <c r="G448" s="9">
        <f t="shared" si="7"/>
        <v>5.4657360561602975E-3</v>
      </c>
    </row>
    <row r="449" spans="1:7">
      <c r="A449" s="5">
        <v>350.0351</v>
      </c>
      <c r="B449" s="5">
        <v>351.85410000000002</v>
      </c>
      <c r="C449" s="5">
        <v>348.59179999999998</v>
      </c>
      <c r="D449" s="5">
        <v>349.97579999999999</v>
      </c>
      <c r="E449" s="5">
        <v>953753</v>
      </c>
      <c r="F449" s="5" t="s">
        <v>838</v>
      </c>
      <c r="G449" s="9">
        <f t="shared" si="7"/>
        <v>1.6944028701404434E-4</v>
      </c>
    </row>
    <row r="450" spans="1:7">
      <c r="A450" s="5">
        <v>348.20620000000002</v>
      </c>
      <c r="B450" s="5">
        <v>350.18340000000001</v>
      </c>
      <c r="C450" s="5">
        <v>346.78269999999998</v>
      </c>
      <c r="D450" s="5">
        <v>349.33319999999998</v>
      </c>
      <c r="E450" s="5">
        <v>2075224</v>
      </c>
      <c r="F450" s="5" t="s">
        <v>837</v>
      </c>
      <c r="G450" s="9">
        <f t="shared" si="7"/>
        <v>-3.226146269521335E-3</v>
      </c>
    </row>
    <row r="451" spans="1:7">
      <c r="A451" s="5">
        <v>351.57729999999998</v>
      </c>
      <c r="B451" s="5">
        <v>354.12779999999998</v>
      </c>
      <c r="C451" s="5">
        <v>349.12560000000002</v>
      </c>
      <c r="D451" s="5">
        <v>352.48669999999998</v>
      </c>
      <c r="E451" s="5">
        <v>961235</v>
      </c>
      <c r="F451" s="5" t="s">
        <v>836</v>
      </c>
      <c r="G451" s="9">
        <f t="shared" si="7"/>
        <v>-2.5799554990302287E-3</v>
      </c>
    </row>
    <row r="452" spans="1:7">
      <c r="A452" s="5">
        <v>352.81299999999999</v>
      </c>
      <c r="B452" s="5">
        <v>355.53649999999999</v>
      </c>
      <c r="C452" s="5">
        <v>351.73540000000003</v>
      </c>
      <c r="D452" s="5">
        <v>355.52170000000001</v>
      </c>
      <c r="E452" s="5">
        <v>1105232</v>
      </c>
      <c r="F452" s="5" t="s">
        <v>835</v>
      </c>
      <c r="G452" s="9">
        <f t="shared" si="7"/>
        <v>-7.6189442163446808E-3</v>
      </c>
    </row>
    <row r="453" spans="1:7">
      <c r="A453" s="5">
        <v>354.29579999999999</v>
      </c>
      <c r="B453" s="5">
        <v>356.21370000000002</v>
      </c>
      <c r="C453" s="5">
        <v>349.71870000000001</v>
      </c>
      <c r="D453" s="5">
        <v>351.11259999999999</v>
      </c>
      <c r="E453" s="5">
        <v>737022</v>
      </c>
      <c r="F453" s="5" t="s">
        <v>834</v>
      </c>
      <c r="G453" s="9">
        <f t="shared" si="7"/>
        <v>9.0660375047777464E-3</v>
      </c>
    </row>
    <row r="454" spans="1:7">
      <c r="A454" s="5">
        <v>351.52780000000001</v>
      </c>
      <c r="B454" s="5">
        <v>357.28129999999999</v>
      </c>
      <c r="C454" s="5">
        <v>350.3218</v>
      </c>
      <c r="D454" s="5">
        <v>353.78179999999998</v>
      </c>
      <c r="E454" s="5">
        <v>1119991</v>
      </c>
      <c r="F454" s="5" t="s">
        <v>833</v>
      </c>
      <c r="G454" s="9">
        <f t="shared" si="7"/>
        <v>-6.3711587198661546E-3</v>
      </c>
    </row>
    <row r="455" spans="1:7">
      <c r="A455" s="5">
        <v>353.78179999999998</v>
      </c>
      <c r="B455" s="5">
        <v>356.16430000000003</v>
      </c>
      <c r="C455" s="5">
        <v>351.57729999999998</v>
      </c>
      <c r="D455" s="5">
        <v>353.04039999999998</v>
      </c>
      <c r="E455" s="5">
        <v>871271</v>
      </c>
      <c r="F455" s="5" t="s">
        <v>832</v>
      </c>
      <c r="G455" s="9">
        <f t="shared" si="7"/>
        <v>2.1000429412612043E-3</v>
      </c>
    </row>
    <row r="456" spans="1:7">
      <c r="A456" s="5">
        <v>353.53460000000001</v>
      </c>
      <c r="B456" s="5">
        <v>355.67</v>
      </c>
      <c r="C456" s="5">
        <v>351.6069</v>
      </c>
      <c r="D456" s="5">
        <v>353.37650000000002</v>
      </c>
      <c r="E456" s="5">
        <v>804147</v>
      </c>
      <c r="F456" s="5" t="s">
        <v>831</v>
      </c>
      <c r="G456" s="9">
        <f t="shared" si="7"/>
        <v>4.4739817163841344E-4</v>
      </c>
    </row>
    <row r="457" spans="1:7">
      <c r="A457" s="5">
        <v>350.94459999999998</v>
      </c>
      <c r="B457" s="5">
        <v>352.9316</v>
      </c>
      <c r="C457" s="5">
        <v>348.66590000000002</v>
      </c>
      <c r="D457" s="5">
        <v>348.9674</v>
      </c>
      <c r="E457" s="5">
        <v>892326</v>
      </c>
      <c r="F457" s="5" t="s">
        <v>830</v>
      </c>
      <c r="G457" s="9">
        <f t="shared" si="7"/>
        <v>5.6658587592994802E-3</v>
      </c>
    </row>
    <row r="458" spans="1:7">
      <c r="A458" s="5">
        <v>348.36439999999999</v>
      </c>
      <c r="B458" s="5">
        <v>353.59399999999999</v>
      </c>
      <c r="C458" s="5">
        <v>345.91269999999997</v>
      </c>
      <c r="D458" s="5">
        <v>352.9316</v>
      </c>
      <c r="E458" s="5">
        <v>840014</v>
      </c>
      <c r="F458" s="5" t="s">
        <v>829</v>
      </c>
      <c r="G458" s="9">
        <f t="shared" si="7"/>
        <v>-1.2940751125713912E-2</v>
      </c>
    </row>
    <row r="459" spans="1:7">
      <c r="A459" s="5">
        <v>351.78489999999999</v>
      </c>
      <c r="B459" s="5">
        <v>352.76650000000001</v>
      </c>
      <c r="C459" s="5">
        <v>348.07769999999999</v>
      </c>
      <c r="D459" s="5">
        <v>348.9674</v>
      </c>
      <c r="E459" s="5">
        <v>714110</v>
      </c>
      <c r="F459" s="5" t="s">
        <v>828</v>
      </c>
      <c r="G459" s="9">
        <f t="shared" si="7"/>
        <v>8.0738200760299694E-3</v>
      </c>
    </row>
    <row r="460" spans="1:7">
      <c r="A460" s="5">
        <v>349.18490000000003</v>
      </c>
      <c r="B460" s="5">
        <v>350.4898</v>
      </c>
      <c r="C460" s="5">
        <v>343.11369999999999</v>
      </c>
      <c r="D460" s="5">
        <v>344.83519999999999</v>
      </c>
      <c r="E460" s="5">
        <v>1400458</v>
      </c>
      <c r="F460" s="5" t="s">
        <v>827</v>
      </c>
      <c r="G460" s="9">
        <f t="shared" si="7"/>
        <v>1.2613851486159344E-2</v>
      </c>
    </row>
    <row r="461" spans="1:7">
      <c r="A461" s="5">
        <v>345.08229999999998</v>
      </c>
      <c r="B461" s="5">
        <v>349.72859999999997</v>
      </c>
      <c r="C461" s="5">
        <v>343.29790000000003</v>
      </c>
      <c r="D461" s="5">
        <v>348.36439999999999</v>
      </c>
      <c r="E461" s="5">
        <v>2283350</v>
      </c>
      <c r="F461" s="5" t="s">
        <v>826</v>
      </c>
      <c r="G461" s="9">
        <f t="shared" si="7"/>
        <v>-9.4214563830288256E-3</v>
      </c>
    </row>
    <row r="462" spans="1:7">
      <c r="A462" s="5">
        <v>347.78109999999998</v>
      </c>
      <c r="B462" s="5">
        <v>348.22489999999999</v>
      </c>
      <c r="C462" s="5">
        <v>344.55840000000001</v>
      </c>
      <c r="D462" s="5">
        <v>347.5933</v>
      </c>
      <c r="E462" s="5">
        <v>1289404</v>
      </c>
      <c r="F462" s="5" t="s">
        <v>825</v>
      </c>
      <c r="G462" s="9">
        <f t="shared" si="7"/>
        <v>5.4028659355620512E-4</v>
      </c>
    </row>
    <row r="463" spans="1:7">
      <c r="A463" s="5">
        <v>348.18639999999999</v>
      </c>
      <c r="B463" s="5">
        <v>350.28120000000001</v>
      </c>
      <c r="C463" s="5">
        <v>346.59480000000002</v>
      </c>
      <c r="D463" s="5">
        <v>347.3066</v>
      </c>
      <c r="E463" s="5">
        <v>903902</v>
      </c>
      <c r="F463" s="5" t="s">
        <v>824</v>
      </c>
      <c r="G463" s="9">
        <f t="shared" si="7"/>
        <v>2.5332084100906371E-3</v>
      </c>
    </row>
    <row r="464" spans="1:7">
      <c r="A464" s="5">
        <v>348.43360000000001</v>
      </c>
      <c r="B464" s="5">
        <v>352.53620000000001</v>
      </c>
      <c r="C464" s="5">
        <v>347.6823</v>
      </c>
      <c r="D464" s="5">
        <v>351.29059999999998</v>
      </c>
      <c r="E464" s="5">
        <v>1224144</v>
      </c>
      <c r="F464" s="5" t="s">
        <v>823</v>
      </c>
      <c r="G464" s="9">
        <f t="shared" si="7"/>
        <v>-8.1328677738601307E-3</v>
      </c>
    </row>
    <row r="465" spans="1:7">
      <c r="A465" s="5">
        <v>350.9742</v>
      </c>
      <c r="B465" s="5">
        <v>353.31720000000001</v>
      </c>
      <c r="C465" s="5">
        <v>348.34460000000001</v>
      </c>
      <c r="D465" s="5">
        <v>349.56060000000002</v>
      </c>
      <c r="E465" s="5">
        <v>691466</v>
      </c>
      <c r="F465" s="5" t="s">
        <v>822</v>
      </c>
      <c r="G465" s="9">
        <f t="shared" si="7"/>
        <v>4.043934013158168E-3</v>
      </c>
    </row>
    <row r="466" spans="1:7">
      <c r="A466" s="5">
        <v>349.1157</v>
      </c>
      <c r="B466" s="5">
        <v>350.76659999999998</v>
      </c>
      <c r="C466" s="5">
        <v>344.70670000000001</v>
      </c>
      <c r="D466" s="5">
        <v>346.00170000000003</v>
      </c>
      <c r="E466" s="5">
        <v>1326921</v>
      </c>
      <c r="F466" s="5" t="s">
        <v>821</v>
      </c>
      <c r="G466" s="9">
        <f t="shared" si="7"/>
        <v>8.9999557805640062E-3</v>
      </c>
    </row>
    <row r="467" spans="1:7">
      <c r="A467" s="5">
        <v>343.58960000000002</v>
      </c>
      <c r="B467" s="5">
        <v>346.26859999999999</v>
      </c>
      <c r="C467" s="5">
        <v>342.09109999999998</v>
      </c>
      <c r="D467" s="5">
        <v>344.90440000000001</v>
      </c>
      <c r="E467" s="5">
        <v>1177604</v>
      </c>
      <c r="F467" s="5" t="s">
        <v>820</v>
      </c>
      <c r="G467" s="9">
        <f t="shared" si="7"/>
        <v>-3.8120708231034195E-3</v>
      </c>
    </row>
    <row r="468" spans="1:7">
      <c r="A468" s="5">
        <v>344.09370000000001</v>
      </c>
      <c r="B468" s="5">
        <v>347.9393</v>
      </c>
      <c r="C468" s="5">
        <v>343.42149999999998</v>
      </c>
      <c r="D468" s="5">
        <v>347.6823</v>
      </c>
      <c r="E468" s="5">
        <v>1161919</v>
      </c>
      <c r="F468" s="5" t="s">
        <v>819</v>
      </c>
      <c r="G468" s="9">
        <f t="shared" si="7"/>
        <v>-1.0321491775681424E-2</v>
      </c>
    </row>
    <row r="469" spans="1:7">
      <c r="A469" s="5">
        <v>345.30970000000002</v>
      </c>
      <c r="B469" s="5">
        <v>348.84879999999998</v>
      </c>
      <c r="C469" s="5">
        <v>344.04430000000002</v>
      </c>
      <c r="D469" s="5">
        <v>345.65570000000002</v>
      </c>
      <c r="E469" s="5">
        <v>1343074</v>
      </c>
      <c r="F469" s="5" t="s">
        <v>818</v>
      </c>
      <c r="G469" s="9">
        <f t="shared" si="7"/>
        <v>-1.0009960778890603E-3</v>
      </c>
    </row>
    <row r="470" spans="1:7">
      <c r="A470" s="5">
        <v>344.80549999999999</v>
      </c>
      <c r="B470" s="5">
        <v>348.5324</v>
      </c>
      <c r="C470" s="5">
        <v>341.94850000000002</v>
      </c>
      <c r="D470" s="5">
        <v>347.06939999999997</v>
      </c>
      <c r="E470" s="5">
        <v>1516125</v>
      </c>
      <c r="F470" s="5" t="s">
        <v>817</v>
      </c>
      <c r="G470" s="9">
        <f t="shared" si="7"/>
        <v>-6.5229029122129134E-3</v>
      </c>
    </row>
    <row r="471" spans="1:7">
      <c r="A471" s="5">
        <v>345.42829999999998</v>
      </c>
      <c r="B471" s="5">
        <v>345.68529999999998</v>
      </c>
      <c r="C471" s="5">
        <v>336.27409999999998</v>
      </c>
      <c r="D471" s="5">
        <v>337.39120000000003</v>
      </c>
      <c r="E471" s="5">
        <v>1904493</v>
      </c>
      <c r="F471" s="5" t="s">
        <v>816</v>
      </c>
      <c r="G471" s="9">
        <f t="shared" si="7"/>
        <v>2.3821308913806849E-2</v>
      </c>
    </row>
    <row r="472" spans="1:7">
      <c r="A472" s="5">
        <v>335.91820000000001</v>
      </c>
      <c r="B472" s="5">
        <v>337.54939999999999</v>
      </c>
      <c r="C472" s="5">
        <v>332.45819999999998</v>
      </c>
      <c r="D472" s="5">
        <v>336.01710000000003</v>
      </c>
      <c r="E472" s="5">
        <v>1548093</v>
      </c>
      <c r="F472" s="5" t="s">
        <v>815</v>
      </c>
      <c r="G472" s="9">
        <f t="shared" si="7"/>
        <v>-2.9433025878744523E-4</v>
      </c>
    </row>
    <row r="473" spans="1:7">
      <c r="A473" s="5">
        <v>337.19349999999997</v>
      </c>
      <c r="B473" s="5">
        <v>340.0505</v>
      </c>
      <c r="C473" s="5">
        <v>335.97750000000002</v>
      </c>
      <c r="D473" s="5">
        <v>339.80329999999998</v>
      </c>
      <c r="E473" s="5">
        <v>844995</v>
      </c>
      <c r="F473" s="5" t="s">
        <v>814</v>
      </c>
      <c r="G473" s="9">
        <f t="shared" si="7"/>
        <v>-7.6803256472200987E-3</v>
      </c>
    </row>
    <row r="474" spans="1:7">
      <c r="A474" s="5">
        <v>338.05349999999999</v>
      </c>
      <c r="B474" s="5">
        <v>340.3965</v>
      </c>
      <c r="C474" s="5">
        <v>333.77499999999998</v>
      </c>
      <c r="D474" s="5">
        <v>334.9889</v>
      </c>
      <c r="E474" s="5">
        <v>1402296</v>
      </c>
      <c r="F474" s="5" t="s">
        <v>813</v>
      </c>
      <c r="G474" s="9">
        <f t="shared" si="7"/>
        <v>9.1483628263502315E-3</v>
      </c>
    </row>
    <row r="475" spans="1:7">
      <c r="A475" s="5">
        <v>335.15699999999998</v>
      </c>
      <c r="B475" s="5">
        <v>338.00409999999999</v>
      </c>
      <c r="C475" s="5">
        <v>333.22930000000002</v>
      </c>
      <c r="D475" s="5">
        <v>336.82769999999999</v>
      </c>
      <c r="E475" s="5">
        <v>1445668</v>
      </c>
      <c r="F475" s="5" t="s">
        <v>812</v>
      </c>
      <c r="G475" s="9">
        <f t="shared" si="7"/>
        <v>-4.9601027468940684E-3</v>
      </c>
    </row>
    <row r="476" spans="1:7">
      <c r="A476" s="5">
        <v>338.80489999999998</v>
      </c>
      <c r="B476" s="5">
        <v>340.31740000000002</v>
      </c>
      <c r="C476" s="5">
        <v>334.36610000000002</v>
      </c>
      <c r="D476" s="5">
        <v>336.84750000000003</v>
      </c>
      <c r="E476" s="5">
        <v>823892</v>
      </c>
      <c r="F476" s="5" t="s">
        <v>811</v>
      </c>
      <c r="G476" s="9">
        <f t="shared" si="7"/>
        <v>5.8109381841930929E-3</v>
      </c>
    </row>
    <row r="477" spans="1:7">
      <c r="A477" s="5">
        <v>335.8886</v>
      </c>
      <c r="B477" s="5">
        <v>340.99950000000001</v>
      </c>
      <c r="C477" s="5">
        <v>335.02850000000001</v>
      </c>
      <c r="D477" s="5">
        <v>340.55459999999999</v>
      </c>
      <c r="E477" s="5">
        <v>1314403</v>
      </c>
      <c r="F477" s="5" t="s">
        <v>810</v>
      </c>
      <c r="G477" s="9">
        <f t="shared" si="7"/>
        <v>-1.3701180368727917E-2</v>
      </c>
    </row>
    <row r="478" spans="1:7">
      <c r="A478" s="5">
        <v>338.99270000000001</v>
      </c>
      <c r="B478" s="5">
        <v>342.63060000000002</v>
      </c>
      <c r="C478" s="5">
        <v>336.78820000000002</v>
      </c>
      <c r="D478" s="5">
        <v>338.53789999999998</v>
      </c>
      <c r="E478" s="5">
        <v>1539813</v>
      </c>
      <c r="F478" s="5" t="s">
        <v>809</v>
      </c>
      <c r="G478" s="9">
        <f t="shared" si="7"/>
        <v>1.3434241779133327E-3</v>
      </c>
    </row>
    <row r="479" spans="1:7">
      <c r="A479" s="5">
        <v>338.14249999999998</v>
      </c>
      <c r="B479" s="5">
        <v>338.96300000000002</v>
      </c>
      <c r="C479" s="5">
        <v>334.76159999999999</v>
      </c>
      <c r="D479" s="5">
        <v>337.10449999999997</v>
      </c>
      <c r="E479" s="5">
        <v>1159607</v>
      </c>
      <c r="F479" s="5" t="s">
        <v>808</v>
      </c>
      <c r="G479" s="9">
        <f t="shared" si="7"/>
        <v>3.0791638794498422E-3</v>
      </c>
    </row>
    <row r="480" spans="1:7">
      <c r="A480" s="5">
        <v>336.66950000000003</v>
      </c>
      <c r="B480" s="5">
        <v>337.98430000000002</v>
      </c>
      <c r="C480" s="5">
        <v>330.10539999999997</v>
      </c>
      <c r="D480" s="5">
        <v>331.73649999999998</v>
      </c>
      <c r="E480" s="5">
        <v>2004473</v>
      </c>
      <c r="F480" s="5" t="s">
        <v>807</v>
      </c>
      <c r="G480" s="9">
        <f t="shared" si="7"/>
        <v>1.4870235864911097E-2</v>
      </c>
    </row>
    <row r="481" spans="1:7">
      <c r="A481" s="5">
        <v>331.64760000000001</v>
      </c>
      <c r="B481" s="5">
        <v>338.88389999999998</v>
      </c>
      <c r="C481" s="5">
        <v>329.88799999999998</v>
      </c>
      <c r="D481" s="5">
        <v>335.12729999999999</v>
      </c>
      <c r="E481" s="5">
        <v>4931979</v>
      </c>
      <c r="F481" s="5" t="s">
        <v>806</v>
      </c>
      <c r="G481" s="9">
        <f t="shared" si="7"/>
        <v>-1.0383218556053064E-2</v>
      </c>
    </row>
    <row r="482" spans="1:7">
      <c r="A482" s="5">
        <v>313.02280000000002</v>
      </c>
      <c r="B482" s="5">
        <v>313.4973</v>
      </c>
      <c r="C482" s="5">
        <v>310.4624</v>
      </c>
      <c r="D482" s="5">
        <v>311.5498</v>
      </c>
      <c r="E482" s="5">
        <v>2006408</v>
      </c>
      <c r="F482" s="5" t="s">
        <v>805</v>
      </c>
      <c r="G482" s="9">
        <f t="shared" si="7"/>
        <v>4.7279760731671061E-3</v>
      </c>
    </row>
    <row r="483" spans="1:7">
      <c r="A483" s="5">
        <v>310.90719999999999</v>
      </c>
      <c r="B483" s="5">
        <v>311.34219999999999</v>
      </c>
      <c r="C483" s="5">
        <v>307.1902</v>
      </c>
      <c r="D483" s="5">
        <v>307.1902</v>
      </c>
      <c r="E483" s="5">
        <v>1427338</v>
      </c>
      <c r="F483" s="5" t="s">
        <v>804</v>
      </c>
      <c r="G483" s="9">
        <f t="shared" si="7"/>
        <v>1.2099995377456763E-2</v>
      </c>
    </row>
    <row r="484" spans="1:7">
      <c r="A484" s="5">
        <v>307.80309999999997</v>
      </c>
      <c r="B484" s="5">
        <v>310.1361</v>
      </c>
      <c r="C484" s="5">
        <v>307.05180000000001</v>
      </c>
      <c r="D484" s="5">
        <v>309.67149999999998</v>
      </c>
      <c r="E484" s="5">
        <v>907428</v>
      </c>
      <c r="F484" s="5" t="s">
        <v>803</v>
      </c>
      <c r="G484" s="9">
        <f t="shared" si="7"/>
        <v>-6.0334903276536567E-3</v>
      </c>
    </row>
    <row r="485" spans="1:7">
      <c r="A485" s="5">
        <v>308.34679999999997</v>
      </c>
      <c r="B485" s="5">
        <v>308.52480000000003</v>
      </c>
      <c r="C485" s="5">
        <v>303.72030000000001</v>
      </c>
      <c r="D485" s="5">
        <v>305.53930000000003</v>
      </c>
      <c r="E485" s="5">
        <v>1200769</v>
      </c>
      <c r="F485" s="5" t="s">
        <v>802</v>
      </c>
      <c r="G485" s="9">
        <f t="shared" si="7"/>
        <v>9.1886706554604736E-3</v>
      </c>
    </row>
    <row r="486" spans="1:7">
      <c r="A486" s="5">
        <v>304.23430000000002</v>
      </c>
      <c r="B486" s="5">
        <v>309.42439999999999</v>
      </c>
      <c r="C486" s="5">
        <v>303.83890000000002</v>
      </c>
      <c r="D486" s="5">
        <v>308.4556</v>
      </c>
      <c r="E486" s="5">
        <v>1420624</v>
      </c>
      <c r="F486" s="5" t="s">
        <v>801</v>
      </c>
      <c r="G486" s="9">
        <f t="shared" si="7"/>
        <v>-1.3685275935985564E-2</v>
      </c>
    </row>
    <row r="487" spans="1:7">
      <c r="A487" s="5">
        <v>308.61369999999999</v>
      </c>
      <c r="B487" s="5">
        <v>310.95170000000002</v>
      </c>
      <c r="C487" s="5">
        <v>304.00200000000001</v>
      </c>
      <c r="D487" s="5">
        <v>310.41289999999998</v>
      </c>
      <c r="E487" s="5">
        <v>1366834</v>
      </c>
      <c r="F487" s="5" t="s">
        <v>800</v>
      </c>
      <c r="G487" s="9">
        <f t="shared" ref="G487:G550" si="8">A487/D487-1</f>
        <v>-5.7961508687299768E-3</v>
      </c>
    </row>
    <row r="488" spans="1:7">
      <c r="A488" s="5">
        <v>309.69130000000001</v>
      </c>
      <c r="B488" s="5">
        <v>313.5813</v>
      </c>
      <c r="C488" s="5">
        <v>309.05860000000001</v>
      </c>
      <c r="D488" s="5">
        <v>313.15129999999999</v>
      </c>
      <c r="E488" s="5">
        <v>1868477</v>
      </c>
      <c r="F488" s="5" t="s">
        <v>799</v>
      </c>
      <c r="G488" s="9">
        <f t="shared" si="8"/>
        <v>-1.104897217415346E-2</v>
      </c>
    </row>
    <row r="489" spans="1:7">
      <c r="A489" s="5">
        <v>311.45089999999999</v>
      </c>
      <c r="B489" s="5">
        <v>312.2122</v>
      </c>
      <c r="C489" s="5">
        <v>308.88060000000002</v>
      </c>
      <c r="D489" s="5">
        <v>311.48059999999998</v>
      </c>
      <c r="E489" s="5">
        <v>1905221</v>
      </c>
      <c r="F489" s="5" t="s">
        <v>798</v>
      </c>
      <c r="G489" s="9">
        <f t="shared" si="8"/>
        <v>-9.5351042729396873E-5</v>
      </c>
    </row>
    <row r="490" spans="1:7">
      <c r="A490" s="5">
        <v>311.12470000000002</v>
      </c>
      <c r="B490" s="5">
        <v>314.1893</v>
      </c>
      <c r="C490" s="5">
        <v>309.26620000000003</v>
      </c>
      <c r="D490" s="5">
        <v>312.24180000000001</v>
      </c>
      <c r="E490" s="5">
        <v>1472733</v>
      </c>
      <c r="F490" s="5" t="s">
        <v>797</v>
      </c>
      <c r="G490" s="9">
        <f t="shared" si="8"/>
        <v>-3.5776760190339152E-3</v>
      </c>
    </row>
    <row r="491" spans="1:7">
      <c r="A491" s="5">
        <v>310.09660000000002</v>
      </c>
      <c r="B491" s="5">
        <v>311.46080000000001</v>
      </c>
      <c r="C491" s="5">
        <v>307.98099999999999</v>
      </c>
      <c r="D491" s="5">
        <v>309.21679999999998</v>
      </c>
      <c r="E491" s="5">
        <v>1466646</v>
      </c>
      <c r="F491" s="5" t="s">
        <v>796</v>
      </c>
      <c r="G491" s="9">
        <f t="shared" si="8"/>
        <v>2.8452529099325385E-3</v>
      </c>
    </row>
    <row r="492" spans="1:7">
      <c r="A492" s="5">
        <v>310.69959999999998</v>
      </c>
      <c r="B492" s="5">
        <v>310.84300000000002</v>
      </c>
      <c r="C492" s="5">
        <v>306.06319999999999</v>
      </c>
      <c r="D492" s="5">
        <v>307.35820000000001</v>
      </c>
      <c r="E492" s="5">
        <v>1599848</v>
      </c>
      <c r="F492" s="5" t="s">
        <v>795</v>
      </c>
      <c r="G492" s="9">
        <f t="shared" si="8"/>
        <v>1.0871354660457966E-2</v>
      </c>
    </row>
    <row r="493" spans="1:7">
      <c r="A493" s="5">
        <v>309.32549999999998</v>
      </c>
      <c r="B493" s="5">
        <v>313.63569999999999</v>
      </c>
      <c r="C493" s="5">
        <v>307.05180000000001</v>
      </c>
      <c r="D493" s="5">
        <v>308.62360000000001</v>
      </c>
      <c r="E493" s="5">
        <v>1646630</v>
      </c>
      <c r="F493" s="5" t="s">
        <v>794</v>
      </c>
      <c r="G493" s="9">
        <f t="shared" si="8"/>
        <v>2.2742914022129135E-3</v>
      </c>
    </row>
    <row r="494" spans="1:7">
      <c r="A494" s="5">
        <v>305.46019999999999</v>
      </c>
      <c r="B494" s="5">
        <v>305.98410000000001</v>
      </c>
      <c r="C494" s="5">
        <v>302.60329999999999</v>
      </c>
      <c r="D494" s="5">
        <v>304.65940000000001</v>
      </c>
      <c r="E494" s="5">
        <v>920153</v>
      </c>
      <c r="F494" s="5" t="s">
        <v>793</v>
      </c>
      <c r="G494" s="9">
        <f t="shared" si="8"/>
        <v>2.6285090826017043E-3</v>
      </c>
    </row>
    <row r="495" spans="1:7">
      <c r="A495" s="5">
        <v>304.26400000000001</v>
      </c>
      <c r="B495" s="5">
        <v>304.6891</v>
      </c>
      <c r="C495" s="5">
        <v>300.52719999999999</v>
      </c>
      <c r="D495" s="5">
        <v>301.51580000000001</v>
      </c>
      <c r="E495" s="5">
        <v>1302697</v>
      </c>
      <c r="F495" s="5" t="s">
        <v>792</v>
      </c>
      <c r="G495" s="9">
        <f t="shared" si="8"/>
        <v>9.1146135625397307E-3</v>
      </c>
    </row>
    <row r="496" spans="1:7">
      <c r="A496" s="5">
        <v>299.78570000000002</v>
      </c>
      <c r="B496" s="5">
        <v>301.94080000000002</v>
      </c>
      <c r="C496" s="5">
        <v>295.10980000000001</v>
      </c>
      <c r="D496" s="5">
        <v>296.07859999999999</v>
      </c>
      <c r="E496" s="5">
        <v>1343116</v>
      </c>
      <c r="F496" s="5" t="s">
        <v>791</v>
      </c>
      <c r="G496" s="9">
        <f t="shared" si="8"/>
        <v>1.2520661743199435E-2</v>
      </c>
    </row>
    <row r="497" spans="1:7">
      <c r="A497" s="5">
        <v>296.55309999999997</v>
      </c>
      <c r="B497" s="5">
        <v>296.90899999999999</v>
      </c>
      <c r="C497" s="5">
        <v>290.97750000000002</v>
      </c>
      <c r="D497" s="5">
        <v>293.6071</v>
      </c>
      <c r="E497" s="5">
        <v>1126404</v>
      </c>
      <c r="F497" s="5" t="s">
        <v>790</v>
      </c>
      <c r="G497" s="9">
        <f t="shared" si="8"/>
        <v>1.0033817302101955E-2</v>
      </c>
    </row>
    <row r="498" spans="1:7">
      <c r="A498" s="5">
        <v>291.95620000000002</v>
      </c>
      <c r="B498" s="5">
        <v>295.8809</v>
      </c>
      <c r="C498" s="5">
        <v>291.06650000000002</v>
      </c>
      <c r="D498" s="5">
        <v>294.10140000000001</v>
      </c>
      <c r="E498" s="5">
        <v>807260</v>
      </c>
      <c r="F498" s="5" t="s">
        <v>789</v>
      </c>
      <c r="G498" s="9">
        <f t="shared" si="8"/>
        <v>-7.2940829251407768E-3</v>
      </c>
    </row>
    <row r="499" spans="1:7">
      <c r="A499" s="5">
        <v>294.64519999999999</v>
      </c>
      <c r="B499" s="5">
        <v>296.47399999999999</v>
      </c>
      <c r="C499" s="5">
        <v>289.6182</v>
      </c>
      <c r="D499" s="5">
        <v>290.26580000000001</v>
      </c>
      <c r="E499" s="5">
        <v>1419037</v>
      </c>
      <c r="F499" s="5" t="s">
        <v>788</v>
      </c>
      <c r="G499" s="9">
        <f t="shared" si="8"/>
        <v>1.5087550789655513E-2</v>
      </c>
    </row>
    <row r="500" spans="1:7">
      <c r="A500" s="5">
        <v>290.58210000000003</v>
      </c>
      <c r="B500" s="5">
        <v>291.69920000000002</v>
      </c>
      <c r="C500" s="5">
        <v>289.08940000000001</v>
      </c>
      <c r="D500" s="5">
        <v>291.69920000000002</v>
      </c>
      <c r="E500" s="5">
        <v>1355382</v>
      </c>
      <c r="F500" s="5" t="s">
        <v>787</v>
      </c>
      <c r="G500" s="9">
        <f t="shared" si="8"/>
        <v>-3.8296299749879248E-3</v>
      </c>
    </row>
    <row r="501" spans="1:7">
      <c r="A501" s="5">
        <v>292.84589999999997</v>
      </c>
      <c r="B501" s="5">
        <v>296.5136</v>
      </c>
      <c r="C501" s="5">
        <v>291.50439999999998</v>
      </c>
      <c r="D501" s="5">
        <v>294.20030000000003</v>
      </c>
      <c r="E501" s="5">
        <v>979196</v>
      </c>
      <c r="F501" s="5" t="s">
        <v>786</v>
      </c>
      <c r="G501" s="9">
        <f t="shared" si="8"/>
        <v>-4.6036662777028114E-3</v>
      </c>
    </row>
    <row r="502" spans="1:7">
      <c r="A502" s="5">
        <v>296.03899999999999</v>
      </c>
      <c r="B502" s="5">
        <v>296.91289999999998</v>
      </c>
      <c r="C502" s="5">
        <v>294.74400000000003</v>
      </c>
      <c r="D502" s="5">
        <v>296.18729999999999</v>
      </c>
      <c r="E502" s="5">
        <v>1150878</v>
      </c>
      <c r="F502" s="5" t="s">
        <v>785</v>
      </c>
      <c r="G502" s="9">
        <f t="shared" si="8"/>
        <v>-5.0069668753527363E-4</v>
      </c>
    </row>
    <row r="503" spans="1:7">
      <c r="A503" s="5">
        <v>295.7029</v>
      </c>
      <c r="B503" s="5">
        <v>297.92720000000003</v>
      </c>
      <c r="C503" s="5">
        <v>292.55930000000001</v>
      </c>
      <c r="D503" s="5">
        <v>293.8938</v>
      </c>
      <c r="E503" s="5">
        <v>788471</v>
      </c>
      <c r="F503" s="5" t="s">
        <v>784</v>
      </c>
      <c r="G503" s="9">
        <f t="shared" si="8"/>
        <v>6.1556249230163562E-3</v>
      </c>
    </row>
    <row r="504" spans="1:7">
      <c r="A504" s="5">
        <v>294.80329999999998</v>
      </c>
      <c r="B504" s="5">
        <v>295.77940000000001</v>
      </c>
      <c r="C504" s="5">
        <v>293.26530000000002</v>
      </c>
      <c r="D504" s="5">
        <v>294.54700000000003</v>
      </c>
      <c r="E504" s="5">
        <v>1029784</v>
      </c>
      <c r="F504" s="5" t="s">
        <v>783</v>
      </c>
      <c r="G504" s="9">
        <f t="shared" si="8"/>
        <v>8.7014975538690642E-4</v>
      </c>
    </row>
    <row r="505" spans="1:7">
      <c r="A505" s="5">
        <v>294.86250000000001</v>
      </c>
      <c r="B505" s="5">
        <v>296.1343</v>
      </c>
      <c r="C505" s="5">
        <v>291.86520000000002</v>
      </c>
      <c r="D505" s="5">
        <v>292.44690000000003</v>
      </c>
      <c r="E505" s="5">
        <v>539157</v>
      </c>
      <c r="F505" s="5" t="s">
        <v>782</v>
      </c>
      <c r="G505" s="9">
        <f t="shared" si="8"/>
        <v>8.2599610390807765E-3</v>
      </c>
    </row>
    <row r="506" spans="1:7">
      <c r="A506" s="5">
        <v>293.31459999999998</v>
      </c>
      <c r="B506" s="5">
        <v>294.22160000000002</v>
      </c>
      <c r="C506" s="5">
        <v>290.09059999999999</v>
      </c>
      <c r="D506" s="5">
        <v>293.43290000000002</v>
      </c>
      <c r="E506" s="5">
        <v>1068707</v>
      </c>
      <c r="F506" s="5" t="s">
        <v>781</v>
      </c>
      <c r="G506" s="9">
        <f t="shared" si="8"/>
        <v>-4.0315860968564987E-4</v>
      </c>
    </row>
    <row r="507" spans="1:7">
      <c r="A507" s="5">
        <v>291.86520000000002</v>
      </c>
      <c r="B507" s="5">
        <v>291.92439999999999</v>
      </c>
      <c r="C507" s="5">
        <v>284.8356</v>
      </c>
      <c r="D507" s="5">
        <v>285.26940000000002</v>
      </c>
      <c r="E507" s="5">
        <v>1046161</v>
      </c>
      <c r="F507" s="5" t="s">
        <v>780</v>
      </c>
      <c r="G507" s="9">
        <f t="shared" si="8"/>
        <v>2.3121302179623937E-2</v>
      </c>
    </row>
    <row r="508" spans="1:7">
      <c r="A508" s="5">
        <v>284.25389999999999</v>
      </c>
      <c r="B508" s="5">
        <v>289.70609999999999</v>
      </c>
      <c r="C508" s="5">
        <v>284.09609999999998</v>
      </c>
      <c r="D508" s="5">
        <v>288.13839999999999</v>
      </c>
      <c r="E508" s="5">
        <v>1162431</v>
      </c>
      <c r="F508" s="5" t="s">
        <v>779</v>
      </c>
      <c r="G508" s="9">
        <f t="shared" si="8"/>
        <v>-1.3481368675608674E-2</v>
      </c>
    </row>
    <row r="509" spans="1:7">
      <c r="A509" s="5">
        <v>287.87220000000002</v>
      </c>
      <c r="B509" s="5">
        <v>288.22719999999998</v>
      </c>
      <c r="C509" s="5">
        <v>285.5849</v>
      </c>
      <c r="D509" s="5">
        <v>286.96519999999998</v>
      </c>
      <c r="E509" s="5">
        <v>1433838</v>
      </c>
      <c r="F509" s="5" t="s">
        <v>778</v>
      </c>
      <c r="G509" s="9">
        <f t="shared" si="8"/>
        <v>3.160661989676905E-3</v>
      </c>
    </row>
    <row r="510" spans="1:7">
      <c r="A510" s="5">
        <v>287.36939999999998</v>
      </c>
      <c r="B510" s="5">
        <v>288.24590000000001</v>
      </c>
      <c r="C510" s="5">
        <v>284.44119999999998</v>
      </c>
      <c r="D510" s="5">
        <v>287.29050000000001</v>
      </c>
      <c r="E510" s="5">
        <v>1415979</v>
      </c>
      <c r="F510" s="5" t="s">
        <v>777</v>
      </c>
      <c r="G510" s="9">
        <f t="shared" si="8"/>
        <v>2.7463490787194011E-4</v>
      </c>
    </row>
    <row r="511" spans="1:7">
      <c r="A511" s="5">
        <v>286.06799999999998</v>
      </c>
      <c r="B511" s="5">
        <v>288.09899999999999</v>
      </c>
      <c r="C511" s="5">
        <v>281.76929999999999</v>
      </c>
      <c r="D511" s="5">
        <v>282.15379999999999</v>
      </c>
      <c r="E511" s="5">
        <v>4139978</v>
      </c>
      <c r="F511" s="5" t="s">
        <v>776</v>
      </c>
      <c r="G511" s="9">
        <f t="shared" si="8"/>
        <v>1.3872575878829174E-2</v>
      </c>
    </row>
    <row r="512" spans="1:7">
      <c r="A512" s="5">
        <v>292.92020000000002</v>
      </c>
      <c r="B512" s="5">
        <v>296.33150000000001</v>
      </c>
      <c r="C512" s="5">
        <v>292.09199999999998</v>
      </c>
      <c r="D512" s="5">
        <v>294.79349999999999</v>
      </c>
      <c r="E512" s="5">
        <v>1860496</v>
      </c>
      <c r="F512" s="5" t="s">
        <v>775</v>
      </c>
      <c r="G512" s="9">
        <f t="shared" si="8"/>
        <v>-6.3546177239320878E-3</v>
      </c>
    </row>
    <row r="513" spans="1:7">
      <c r="A513" s="5">
        <v>294.33010000000002</v>
      </c>
      <c r="B513" s="5">
        <v>294.61599999999999</v>
      </c>
      <c r="C513" s="5">
        <v>289.91309999999999</v>
      </c>
      <c r="D513" s="5">
        <v>291.09620000000001</v>
      </c>
      <c r="E513" s="5">
        <v>1504723</v>
      </c>
      <c r="F513" s="5" t="s">
        <v>774</v>
      </c>
      <c r="G513" s="9">
        <f t="shared" si="8"/>
        <v>1.1109385831900243E-2</v>
      </c>
    </row>
    <row r="514" spans="1:7">
      <c r="A514" s="5">
        <v>290.38639999999998</v>
      </c>
      <c r="B514" s="5">
        <v>290.66239999999999</v>
      </c>
      <c r="C514" s="5">
        <v>286.63979999999998</v>
      </c>
      <c r="D514" s="5">
        <v>289.84410000000003</v>
      </c>
      <c r="E514" s="5">
        <v>951655</v>
      </c>
      <c r="F514" s="5" t="s">
        <v>773</v>
      </c>
      <c r="G514" s="9">
        <f t="shared" si="8"/>
        <v>1.8710058269253427E-3</v>
      </c>
    </row>
    <row r="515" spans="1:7">
      <c r="A515" s="5">
        <v>288.90750000000003</v>
      </c>
      <c r="B515" s="5">
        <v>289.0652</v>
      </c>
      <c r="C515" s="5">
        <v>283.9384</v>
      </c>
      <c r="D515" s="5">
        <v>283.9384</v>
      </c>
      <c r="E515" s="5">
        <v>999675</v>
      </c>
      <c r="F515" s="5" t="s">
        <v>772</v>
      </c>
      <c r="G515" s="9">
        <f t="shared" si="8"/>
        <v>1.7500626896538307E-2</v>
      </c>
    </row>
    <row r="516" spans="1:7">
      <c r="A516" s="5">
        <v>285.03269999999998</v>
      </c>
      <c r="B516" s="5">
        <v>285.7722</v>
      </c>
      <c r="C516" s="5">
        <v>282.3707</v>
      </c>
      <c r="D516" s="5">
        <v>284.78629999999998</v>
      </c>
      <c r="E516" s="5">
        <v>1078877</v>
      </c>
      <c r="F516" s="5" t="s">
        <v>771</v>
      </c>
      <c r="G516" s="9">
        <f t="shared" si="8"/>
        <v>8.6521015933693768E-4</v>
      </c>
    </row>
    <row r="517" spans="1:7">
      <c r="A517" s="5">
        <v>285.30880000000002</v>
      </c>
      <c r="B517" s="5">
        <v>285.70920000000001</v>
      </c>
      <c r="C517" s="5">
        <v>282.7355</v>
      </c>
      <c r="D517" s="5">
        <v>284.71719999999999</v>
      </c>
      <c r="E517" s="5">
        <v>1434442</v>
      </c>
      <c r="F517" s="5" t="s">
        <v>770</v>
      </c>
      <c r="G517" s="9">
        <f t="shared" si="8"/>
        <v>2.0778512854160436E-3</v>
      </c>
    </row>
    <row r="518" spans="1:7">
      <c r="A518" s="5">
        <v>283.82</v>
      </c>
      <c r="B518" s="5">
        <v>288.01029999999997</v>
      </c>
      <c r="C518" s="5">
        <v>282.61720000000003</v>
      </c>
      <c r="D518" s="5">
        <v>287.32010000000002</v>
      </c>
      <c r="E518" s="5">
        <v>1383952</v>
      </c>
      <c r="F518" s="5" t="s">
        <v>769</v>
      </c>
      <c r="G518" s="9">
        <f t="shared" si="8"/>
        <v>-1.2181883550785422E-2</v>
      </c>
    </row>
    <row r="519" spans="1:7">
      <c r="A519" s="5">
        <v>286.42290000000003</v>
      </c>
      <c r="B519" s="5">
        <v>286.90600000000001</v>
      </c>
      <c r="C519" s="5">
        <v>282.27210000000002</v>
      </c>
      <c r="D519" s="5">
        <v>286.63979999999998</v>
      </c>
      <c r="E519" s="5">
        <v>1216424</v>
      </c>
      <c r="F519" s="5" t="s">
        <v>768</v>
      </c>
      <c r="G519" s="9">
        <f t="shared" si="8"/>
        <v>-7.5669882549445067E-4</v>
      </c>
    </row>
    <row r="520" spans="1:7">
      <c r="A520" s="5">
        <v>286.85669999999999</v>
      </c>
      <c r="B520" s="5">
        <v>294.48779999999999</v>
      </c>
      <c r="C520" s="5">
        <v>285.99400000000003</v>
      </c>
      <c r="D520" s="5">
        <v>291.59899999999999</v>
      </c>
      <c r="E520" s="5">
        <v>1584779</v>
      </c>
      <c r="F520" s="5" t="s">
        <v>767</v>
      </c>
      <c r="G520" s="9">
        <f t="shared" si="8"/>
        <v>-1.6263087321973013E-2</v>
      </c>
    </row>
    <row r="521" spans="1:7">
      <c r="A521" s="5">
        <v>293.60050000000001</v>
      </c>
      <c r="B521" s="5">
        <v>294.49770000000001</v>
      </c>
      <c r="C521" s="5">
        <v>290.43560000000002</v>
      </c>
      <c r="D521" s="5">
        <v>292.32859999999999</v>
      </c>
      <c r="E521" s="5">
        <v>1110372</v>
      </c>
      <c r="F521" s="5" t="s">
        <v>766</v>
      </c>
      <c r="G521" s="9">
        <f t="shared" si="8"/>
        <v>4.3509256364242521E-3</v>
      </c>
    </row>
    <row r="522" spans="1:7">
      <c r="A522" s="5">
        <v>292.161</v>
      </c>
      <c r="B522" s="5">
        <v>292.21030000000002</v>
      </c>
      <c r="C522" s="5">
        <v>286.51159999999999</v>
      </c>
      <c r="D522" s="5">
        <v>290.07089999999999</v>
      </c>
      <c r="E522" s="5">
        <v>1423610</v>
      </c>
      <c r="F522" s="5" t="s">
        <v>765</v>
      </c>
      <c r="G522" s="9">
        <f t="shared" si="8"/>
        <v>7.2054797637406409E-3</v>
      </c>
    </row>
    <row r="523" spans="1:7">
      <c r="A523" s="5">
        <v>290.22859999999997</v>
      </c>
      <c r="B523" s="5">
        <v>291.95890000000003</v>
      </c>
      <c r="C523" s="5">
        <v>287.4187</v>
      </c>
      <c r="D523" s="5">
        <v>289.86380000000003</v>
      </c>
      <c r="E523" s="5">
        <v>1131071</v>
      </c>
      <c r="F523" s="5" t="s">
        <v>764</v>
      </c>
      <c r="G523" s="9">
        <f t="shared" si="8"/>
        <v>1.2585221058991625E-3</v>
      </c>
    </row>
    <row r="524" spans="1:7">
      <c r="A524" s="5">
        <v>287.9314</v>
      </c>
      <c r="B524" s="5">
        <v>288.75529999999998</v>
      </c>
      <c r="C524" s="5">
        <v>285.61439999999999</v>
      </c>
      <c r="D524" s="5">
        <v>288.55250000000001</v>
      </c>
      <c r="E524" s="5">
        <v>1069621</v>
      </c>
      <c r="F524" s="5" t="s">
        <v>763</v>
      </c>
      <c r="G524" s="9">
        <f t="shared" si="8"/>
        <v>-2.1524679217820308E-3</v>
      </c>
    </row>
    <row r="525" spans="1:7">
      <c r="A525" s="5">
        <v>289.82440000000003</v>
      </c>
      <c r="B525" s="5">
        <v>290.22859999999997</v>
      </c>
      <c r="C525" s="5">
        <v>287.58629999999999</v>
      </c>
      <c r="D525" s="5">
        <v>288.78910000000002</v>
      </c>
      <c r="E525" s="5">
        <v>995478</v>
      </c>
      <c r="F525" s="5" t="s">
        <v>762</v>
      </c>
      <c r="G525" s="9">
        <f t="shared" si="8"/>
        <v>3.584969100288049E-3</v>
      </c>
    </row>
    <row r="526" spans="1:7">
      <c r="A526" s="5">
        <v>289.50889999999998</v>
      </c>
      <c r="B526" s="5">
        <v>291.00349999999997</v>
      </c>
      <c r="C526" s="5">
        <v>288.6807</v>
      </c>
      <c r="D526" s="5">
        <v>290.44549999999998</v>
      </c>
      <c r="E526" s="5">
        <v>382499</v>
      </c>
      <c r="F526" s="5" t="s">
        <v>761</v>
      </c>
      <c r="G526" s="9">
        <f t="shared" si="8"/>
        <v>-3.2247013639391531E-3</v>
      </c>
    </row>
    <row r="527" spans="1:7">
      <c r="A527" s="5">
        <v>289.91309999999999</v>
      </c>
      <c r="B527" s="5">
        <v>292.28919999999999</v>
      </c>
      <c r="C527" s="5">
        <v>288.90750000000003</v>
      </c>
      <c r="D527" s="5">
        <v>291.44130000000001</v>
      </c>
      <c r="E527" s="5">
        <v>744530</v>
      </c>
      <c r="F527" s="5" t="s">
        <v>760</v>
      </c>
      <c r="G527" s="9">
        <f t="shared" si="8"/>
        <v>-5.2435945077106139E-3</v>
      </c>
    </row>
    <row r="528" spans="1:7">
      <c r="A528" s="5">
        <v>289.52859999999998</v>
      </c>
      <c r="B528" s="5">
        <v>289.66660000000002</v>
      </c>
      <c r="C528" s="5">
        <v>285.34820000000002</v>
      </c>
      <c r="D528" s="5">
        <v>287.0145</v>
      </c>
      <c r="E528" s="5">
        <v>1076380</v>
      </c>
      <c r="F528" s="5" t="s">
        <v>759</v>
      </c>
      <c r="G528" s="9">
        <f t="shared" si="8"/>
        <v>8.7594877610712718E-3</v>
      </c>
    </row>
    <row r="529" spans="1:7">
      <c r="A529" s="5">
        <v>285.2201</v>
      </c>
      <c r="B529" s="5">
        <v>286.41300000000001</v>
      </c>
      <c r="C529" s="5">
        <v>282.45949999999999</v>
      </c>
      <c r="D529" s="5">
        <v>283.43549999999999</v>
      </c>
      <c r="E529" s="5">
        <v>857706</v>
      </c>
      <c r="F529" s="5" t="s">
        <v>758</v>
      </c>
      <c r="G529" s="9">
        <f t="shared" si="8"/>
        <v>6.2963178571491252E-3</v>
      </c>
    </row>
    <row r="530" spans="1:7">
      <c r="A530" s="5">
        <v>284.3229</v>
      </c>
      <c r="B530" s="5">
        <v>288.65600000000001</v>
      </c>
      <c r="C530" s="5">
        <v>282.59750000000003</v>
      </c>
      <c r="D530" s="5">
        <v>286.06799999999998</v>
      </c>
      <c r="E530" s="5">
        <v>1325862</v>
      </c>
      <c r="F530" s="5" t="s">
        <v>757</v>
      </c>
      <c r="G530" s="9">
        <f t="shared" si="8"/>
        <v>-6.100297831284851E-3</v>
      </c>
    </row>
    <row r="531" spans="1:7">
      <c r="A531" s="5">
        <v>287.44830000000002</v>
      </c>
      <c r="B531" s="5">
        <v>288.58699999999999</v>
      </c>
      <c r="C531" s="5">
        <v>278.3777</v>
      </c>
      <c r="D531" s="5">
        <v>280.41860000000003</v>
      </c>
      <c r="E531" s="5">
        <v>1900920</v>
      </c>
      <c r="F531" s="5" t="s">
        <v>756</v>
      </c>
      <c r="G531" s="9">
        <f t="shared" si="8"/>
        <v>2.5068593880719803E-2</v>
      </c>
    </row>
    <row r="532" spans="1:7">
      <c r="A532" s="5">
        <v>279.64960000000002</v>
      </c>
      <c r="B532" s="5">
        <v>283.5933</v>
      </c>
      <c r="C532" s="5">
        <v>279.04809999999998</v>
      </c>
      <c r="D532" s="5">
        <v>279.04809999999998</v>
      </c>
      <c r="E532" s="5">
        <v>1058234</v>
      </c>
      <c r="F532" s="5" t="s">
        <v>755</v>
      </c>
      <c r="G532" s="9">
        <f t="shared" si="8"/>
        <v>2.1555423599015633E-3</v>
      </c>
    </row>
    <row r="533" spans="1:7">
      <c r="A533" s="5">
        <v>279.04809999999998</v>
      </c>
      <c r="B533" s="5">
        <v>284.19470000000001</v>
      </c>
      <c r="C533" s="5">
        <v>278.62419999999997</v>
      </c>
      <c r="D533" s="5">
        <v>282.09469999999999</v>
      </c>
      <c r="E533" s="5">
        <v>1400464</v>
      </c>
      <c r="F533" s="5" t="s">
        <v>754</v>
      </c>
      <c r="G533" s="9">
        <f t="shared" si="8"/>
        <v>-1.0799919317874496E-2</v>
      </c>
    </row>
    <row r="534" spans="1:7">
      <c r="A534" s="5">
        <v>277.87490000000003</v>
      </c>
      <c r="B534" s="5">
        <v>281.22699999999998</v>
      </c>
      <c r="C534" s="5">
        <v>272.70859999999999</v>
      </c>
      <c r="D534" s="5">
        <v>273.70440000000002</v>
      </c>
      <c r="E534" s="5">
        <v>2128357</v>
      </c>
      <c r="F534" s="5" t="s">
        <v>753</v>
      </c>
      <c r="G534" s="9">
        <f t="shared" si="8"/>
        <v>1.5237241345042341E-2</v>
      </c>
    </row>
    <row r="535" spans="1:7">
      <c r="A535" s="5">
        <v>269.77050000000003</v>
      </c>
      <c r="B535" s="5">
        <v>271.35789999999997</v>
      </c>
      <c r="C535" s="5">
        <v>263.1746</v>
      </c>
      <c r="D535" s="5">
        <v>267.8381</v>
      </c>
      <c r="E535" s="5">
        <v>1468815</v>
      </c>
      <c r="F535" s="5" t="s">
        <v>752</v>
      </c>
      <c r="G535" s="9">
        <f t="shared" si="8"/>
        <v>7.2148062579597827E-3</v>
      </c>
    </row>
    <row r="536" spans="1:7">
      <c r="A536" s="5">
        <v>267.02960000000002</v>
      </c>
      <c r="B536" s="5">
        <v>274.2072</v>
      </c>
      <c r="C536" s="5">
        <v>266.76339999999999</v>
      </c>
      <c r="D536" s="5">
        <v>272.541</v>
      </c>
      <c r="E536" s="5">
        <v>1592176</v>
      </c>
      <c r="F536" s="5" t="s">
        <v>751</v>
      </c>
      <c r="G536" s="9">
        <f t="shared" si="8"/>
        <v>-2.0222278482870393E-2</v>
      </c>
    </row>
    <row r="537" spans="1:7">
      <c r="A537" s="5">
        <v>270.91419999999999</v>
      </c>
      <c r="B537" s="5">
        <v>275.07479999999998</v>
      </c>
      <c r="C537" s="5">
        <v>270.017</v>
      </c>
      <c r="D537" s="5">
        <v>274.42410000000001</v>
      </c>
      <c r="E537" s="5">
        <v>1486604</v>
      </c>
      <c r="F537" s="5" t="s">
        <v>750</v>
      </c>
      <c r="G537" s="9">
        <f t="shared" si="8"/>
        <v>-1.2790057433002433E-2</v>
      </c>
    </row>
    <row r="538" spans="1:7">
      <c r="A538" s="5">
        <v>271.1311</v>
      </c>
      <c r="B538" s="5">
        <v>273.68470000000002</v>
      </c>
      <c r="C538" s="5">
        <v>269.53390000000002</v>
      </c>
      <c r="D538" s="5">
        <v>272.12689999999998</v>
      </c>
      <c r="E538" s="5">
        <v>1363863</v>
      </c>
      <c r="F538" s="5" t="s">
        <v>749</v>
      </c>
      <c r="G538" s="9">
        <f t="shared" si="8"/>
        <v>-3.6593221765285344E-3</v>
      </c>
    </row>
    <row r="539" spans="1:7">
      <c r="A539" s="5">
        <v>272.9452</v>
      </c>
      <c r="B539" s="5">
        <v>275.36799999999999</v>
      </c>
      <c r="C539" s="5">
        <v>271.21980000000002</v>
      </c>
      <c r="D539" s="5">
        <v>272.70859999999999</v>
      </c>
      <c r="E539" s="5">
        <v>1263126</v>
      </c>
      <c r="F539" s="5" t="s">
        <v>748</v>
      </c>
      <c r="G539" s="9">
        <f t="shared" si="8"/>
        <v>8.6759273451586516E-4</v>
      </c>
    </row>
    <row r="540" spans="1:7">
      <c r="A540" s="5">
        <v>272.33390000000003</v>
      </c>
      <c r="B540" s="5">
        <v>274.02980000000002</v>
      </c>
      <c r="C540" s="5">
        <v>264.2296</v>
      </c>
      <c r="D540" s="5">
        <v>270.49029999999999</v>
      </c>
      <c r="E540" s="5">
        <v>2791772</v>
      </c>
      <c r="F540" s="5" t="s">
        <v>747</v>
      </c>
      <c r="G540" s="9">
        <f t="shared" si="8"/>
        <v>6.8157712124983227E-3</v>
      </c>
    </row>
    <row r="541" spans="1:7">
      <c r="A541" s="5">
        <v>274.31569999999999</v>
      </c>
      <c r="B541" s="5">
        <v>278.358</v>
      </c>
      <c r="C541" s="5">
        <v>268.47899999999998</v>
      </c>
      <c r="D541" s="5">
        <v>268.47899999999998</v>
      </c>
      <c r="E541" s="5">
        <v>2989763</v>
      </c>
      <c r="F541" s="5" t="s">
        <v>746</v>
      </c>
      <c r="G541" s="9">
        <f t="shared" si="8"/>
        <v>2.1739875372003059E-2</v>
      </c>
    </row>
    <row r="542" spans="1:7">
      <c r="A542" s="5">
        <v>268.2226</v>
      </c>
      <c r="B542" s="5">
        <v>270.48039999999997</v>
      </c>
      <c r="C542" s="5">
        <v>264.77409999999998</v>
      </c>
      <c r="D542" s="5">
        <v>267.7296</v>
      </c>
      <c r="E542" s="5">
        <v>1492010</v>
      </c>
      <c r="F542" s="5" t="s">
        <v>745</v>
      </c>
      <c r="G542" s="9">
        <f t="shared" si="8"/>
        <v>1.8414101391852622E-3</v>
      </c>
    </row>
    <row r="543" spans="1:7">
      <c r="A543" s="5">
        <v>266.41840000000002</v>
      </c>
      <c r="B543" s="5">
        <v>267.77890000000002</v>
      </c>
      <c r="C543" s="5">
        <v>261.11900000000003</v>
      </c>
      <c r="D543" s="5">
        <v>261.73520000000002</v>
      </c>
      <c r="E543" s="5">
        <v>2719044</v>
      </c>
      <c r="F543" s="5" t="s">
        <v>744</v>
      </c>
      <c r="G543" s="9">
        <f t="shared" si="8"/>
        <v>1.7892893275340827E-2</v>
      </c>
    </row>
    <row r="544" spans="1:7">
      <c r="A544" s="5">
        <v>258.88580000000002</v>
      </c>
      <c r="B544" s="5">
        <v>261.02530000000002</v>
      </c>
      <c r="C544" s="5">
        <v>254.69560000000001</v>
      </c>
      <c r="D544" s="5">
        <v>259.24079999999998</v>
      </c>
      <c r="E544" s="5">
        <v>1847409</v>
      </c>
      <c r="F544" s="5" t="s">
        <v>743</v>
      </c>
      <c r="G544" s="9">
        <f t="shared" si="8"/>
        <v>-1.3693832143704121E-3</v>
      </c>
    </row>
    <row r="545" spans="1:7">
      <c r="A545" s="5">
        <v>258.2253</v>
      </c>
      <c r="B545" s="5">
        <v>258.38299999999998</v>
      </c>
      <c r="C545" s="5">
        <v>254.35059999999999</v>
      </c>
      <c r="D545" s="5">
        <v>258.13650000000001</v>
      </c>
      <c r="E545" s="5">
        <v>3783608</v>
      </c>
      <c r="F545" s="5" t="s">
        <v>742</v>
      </c>
      <c r="G545" s="9">
        <f t="shared" si="8"/>
        <v>3.4400404437184839E-4</v>
      </c>
    </row>
    <row r="546" spans="1:7">
      <c r="A546" s="5">
        <v>254.94210000000001</v>
      </c>
      <c r="B546" s="5">
        <v>257.14069999999998</v>
      </c>
      <c r="C546" s="5">
        <v>251.6294</v>
      </c>
      <c r="D546" s="5">
        <v>252.4083</v>
      </c>
      <c r="E546" s="5">
        <v>1882553</v>
      </c>
      <c r="F546" s="5" t="s">
        <v>741</v>
      </c>
      <c r="G546" s="9">
        <f t="shared" si="8"/>
        <v>1.0038497149261749E-2</v>
      </c>
    </row>
    <row r="547" spans="1:7">
      <c r="A547" s="5">
        <v>255.41540000000001</v>
      </c>
      <c r="B547" s="5">
        <v>260.9366</v>
      </c>
      <c r="C547" s="5">
        <v>254.83070000000001</v>
      </c>
      <c r="D547" s="5">
        <v>260.29570000000001</v>
      </c>
      <c r="E547" s="5">
        <v>1943808</v>
      </c>
      <c r="F547" s="5" t="s">
        <v>740</v>
      </c>
      <c r="G547" s="9">
        <f t="shared" si="8"/>
        <v>-1.8749061163899405E-2</v>
      </c>
    </row>
    <row r="548" spans="1:7">
      <c r="A548" s="5">
        <v>261.33100000000002</v>
      </c>
      <c r="B548" s="5">
        <v>262.46949999999998</v>
      </c>
      <c r="C548" s="5">
        <v>257.95909999999998</v>
      </c>
      <c r="D548" s="5">
        <v>259.93090000000001</v>
      </c>
      <c r="E548" s="5">
        <v>2906207</v>
      </c>
      <c r="F548" s="5" t="s">
        <v>739</v>
      </c>
      <c r="G548" s="9">
        <f t="shared" si="8"/>
        <v>5.3864315477689662E-3</v>
      </c>
    </row>
    <row r="549" spans="1:7">
      <c r="A549" s="5">
        <v>259.86189999999999</v>
      </c>
      <c r="B549" s="5">
        <v>263.05630000000002</v>
      </c>
      <c r="C549" s="5">
        <v>259.1225</v>
      </c>
      <c r="D549" s="5">
        <v>262.8</v>
      </c>
      <c r="E549" s="5">
        <v>2118236</v>
      </c>
      <c r="F549" s="5" t="s">
        <v>738</v>
      </c>
      <c r="G549" s="9">
        <f t="shared" si="8"/>
        <v>-1.1179984779299934E-2</v>
      </c>
    </row>
    <row r="550" spans="1:7">
      <c r="A550" s="5">
        <v>261.95209999999997</v>
      </c>
      <c r="B550" s="5">
        <v>265.06760000000003</v>
      </c>
      <c r="C550" s="5">
        <v>260.26609999999999</v>
      </c>
      <c r="D550" s="5">
        <v>265.00850000000003</v>
      </c>
      <c r="E550" s="5">
        <v>2142104</v>
      </c>
      <c r="F550" s="5" t="s">
        <v>737</v>
      </c>
      <c r="G550" s="9">
        <f t="shared" si="8"/>
        <v>-1.1533214972350159E-2</v>
      </c>
    </row>
    <row r="551" spans="1:7">
      <c r="A551" s="5">
        <v>264.64370000000002</v>
      </c>
      <c r="B551" s="5">
        <v>269.34660000000002</v>
      </c>
      <c r="C551" s="5">
        <v>263.72680000000003</v>
      </c>
      <c r="D551" s="5">
        <v>266.31979999999999</v>
      </c>
      <c r="E551" s="5">
        <v>1157016</v>
      </c>
      <c r="F551" s="5" t="s">
        <v>736</v>
      </c>
      <c r="G551" s="9">
        <f t="shared" ref="G551:G614" si="9">A551/D551-1</f>
        <v>-6.2935613499257581E-3</v>
      </c>
    </row>
    <row r="552" spans="1:7">
      <c r="A552" s="5">
        <v>266.37889999999999</v>
      </c>
      <c r="B552" s="5">
        <v>268.36059999999998</v>
      </c>
      <c r="C552" s="5">
        <v>264.4366</v>
      </c>
      <c r="D552" s="5">
        <v>266.29020000000003</v>
      </c>
      <c r="E552" s="5">
        <v>1737765</v>
      </c>
      <c r="F552" s="5" t="s">
        <v>735</v>
      </c>
      <c r="G552" s="9">
        <f t="shared" si="9"/>
        <v>3.3309524721514272E-4</v>
      </c>
    </row>
    <row r="553" spans="1:7">
      <c r="A553" s="5">
        <v>265.02820000000003</v>
      </c>
      <c r="B553" s="5">
        <v>267.78879999999998</v>
      </c>
      <c r="C553" s="5">
        <v>256.83510000000001</v>
      </c>
      <c r="D553" s="5">
        <v>258.64920000000001</v>
      </c>
      <c r="E553" s="5">
        <v>2174563</v>
      </c>
      <c r="F553" s="5" t="s">
        <v>734</v>
      </c>
      <c r="G553" s="9">
        <f t="shared" si="9"/>
        <v>2.4662747845344279E-2</v>
      </c>
    </row>
    <row r="554" spans="1:7">
      <c r="A554" s="5">
        <v>260.37459999999999</v>
      </c>
      <c r="B554" s="5">
        <v>261.37040000000002</v>
      </c>
      <c r="C554" s="5">
        <v>254.79920000000001</v>
      </c>
      <c r="D554" s="5">
        <v>256.97309999999999</v>
      </c>
      <c r="E554" s="5">
        <v>1699755</v>
      </c>
      <c r="F554" s="5" t="s">
        <v>733</v>
      </c>
      <c r="G554" s="9">
        <f t="shared" si="9"/>
        <v>1.323679404575806E-2</v>
      </c>
    </row>
    <row r="555" spans="1:7">
      <c r="A555" s="5">
        <v>254.25200000000001</v>
      </c>
      <c r="B555" s="5">
        <v>254.94210000000001</v>
      </c>
      <c r="C555" s="5">
        <v>246.4631</v>
      </c>
      <c r="D555" s="5">
        <v>246.4828</v>
      </c>
      <c r="E555" s="5">
        <v>1698863</v>
      </c>
      <c r="F555" s="5" t="s">
        <v>732</v>
      </c>
      <c r="G555" s="9">
        <f t="shared" si="9"/>
        <v>3.1520252123069081E-2</v>
      </c>
    </row>
    <row r="556" spans="1:7">
      <c r="A556" s="5">
        <v>250.27869999999999</v>
      </c>
      <c r="B556" s="5">
        <v>258.2253</v>
      </c>
      <c r="C556" s="5">
        <v>249.36170000000001</v>
      </c>
      <c r="D556" s="5">
        <v>256.86470000000003</v>
      </c>
      <c r="E556" s="5">
        <v>2358489</v>
      </c>
      <c r="F556" s="5" t="s">
        <v>731</v>
      </c>
      <c r="G556" s="9">
        <f t="shared" si="9"/>
        <v>-2.5639957534063784E-2</v>
      </c>
    </row>
    <row r="557" spans="1:7">
      <c r="A557" s="5">
        <v>256.39139999999998</v>
      </c>
      <c r="B557" s="5">
        <v>267.18740000000003</v>
      </c>
      <c r="C557" s="5">
        <v>251.2054</v>
      </c>
      <c r="D557" s="5">
        <v>267.18740000000003</v>
      </c>
      <c r="E557" s="5">
        <v>3069091</v>
      </c>
      <c r="F557" s="5" t="s">
        <v>730</v>
      </c>
      <c r="G557" s="9">
        <f t="shared" si="9"/>
        <v>-4.040609699409492E-2</v>
      </c>
    </row>
    <row r="558" spans="1:7">
      <c r="A558" s="5">
        <v>270.57900000000001</v>
      </c>
      <c r="B558" s="5">
        <v>272.25510000000003</v>
      </c>
      <c r="C558" s="5">
        <v>262.14929999999998</v>
      </c>
      <c r="D558" s="5">
        <v>263.1746</v>
      </c>
      <c r="E558" s="5">
        <v>1360843</v>
      </c>
      <c r="F558" s="5" t="s">
        <v>729</v>
      </c>
      <c r="G558" s="9">
        <f t="shared" si="9"/>
        <v>2.8134933994390154E-2</v>
      </c>
    </row>
    <row r="559" spans="1:7">
      <c r="A559" s="5">
        <v>263.04649999999998</v>
      </c>
      <c r="B559" s="5">
        <v>263.63799999999998</v>
      </c>
      <c r="C559" s="5">
        <v>258.92529999999999</v>
      </c>
      <c r="D559" s="5">
        <v>260.36470000000003</v>
      </c>
      <c r="E559" s="5">
        <v>715657</v>
      </c>
      <c r="F559" s="5" t="s">
        <v>728</v>
      </c>
      <c r="G559" s="9">
        <f t="shared" si="9"/>
        <v>1.0300167419008632E-2</v>
      </c>
    </row>
    <row r="560" spans="1:7">
      <c r="A560" s="5">
        <v>262.10980000000001</v>
      </c>
      <c r="B560" s="5">
        <v>263.56900000000002</v>
      </c>
      <c r="C560" s="5">
        <v>257.471</v>
      </c>
      <c r="D560" s="5">
        <v>259.75349999999997</v>
      </c>
      <c r="E560" s="5">
        <v>1523184</v>
      </c>
      <c r="F560" s="5" t="s">
        <v>727</v>
      </c>
      <c r="G560" s="9">
        <f t="shared" si="9"/>
        <v>9.0712925908602582E-3</v>
      </c>
    </row>
    <row r="561" spans="1:7">
      <c r="A561" s="5">
        <v>261.08449999999999</v>
      </c>
      <c r="B561" s="5">
        <v>265.03879999999998</v>
      </c>
      <c r="C561" s="5">
        <v>259.61540000000002</v>
      </c>
      <c r="D561" s="5">
        <v>262.88869999999997</v>
      </c>
      <c r="E561" s="5">
        <v>1044857</v>
      </c>
      <c r="F561" s="5" t="s">
        <v>726</v>
      </c>
      <c r="G561" s="9">
        <f t="shared" si="9"/>
        <v>-6.8629804171879139E-3</v>
      </c>
    </row>
    <row r="562" spans="1:7">
      <c r="A562" s="5">
        <v>262.45490000000001</v>
      </c>
      <c r="B562" s="5">
        <v>264.09160000000003</v>
      </c>
      <c r="C562" s="5">
        <v>258.18579999999997</v>
      </c>
      <c r="D562" s="5">
        <v>263.20420000000001</v>
      </c>
      <c r="E562" s="5">
        <v>1085449</v>
      </c>
      <c r="F562" s="5" t="s">
        <v>725</v>
      </c>
      <c r="G562" s="9">
        <f t="shared" si="9"/>
        <v>-2.8468390701972268E-3</v>
      </c>
    </row>
    <row r="563" spans="1:7">
      <c r="A563" s="5">
        <v>262.12959999999998</v>
      </c>
      <c r="B563" s="5">
        <v>269.25779999999997</v>
      </c>
      <c r="C563" s="5">
        <v>260.90699999999998</v>
      </c>
      <c r="D563" s="5">
        <v>268.31130000000002</v>
      </c>
      <c r="E563" s="5">
        <v>2002276</v>
      </c>
      <c r="F563" s="5" t="s">
        <v>724</v>
      </c>
      <c r="G563" s="9">
        <f t="shared" si="9"/>
        <v>-2.3039283101382702E-2</v>
      </c>
    </row>
    <row r="564" spans="1:7">
      <c r="A564" s="5">
        <v>269.98739999999998</v>
      </c>
      <c r="B564" s="5">
        <v>271.6438</v>
      </c>
      <c r="C564" s="5">
        <v>266.15219999999999</v>
      </c>
      <c r="D564" s="5">
        <v>267.60149999999999</v>
      </c>
      <c r="E564" s="5">
        <v>1159612</v>
      </c>
      <c r="F564" s="5" t="s">
        <v>723</v>
      </c>
      <c r="G564" s="9">
        <f t="shared" si="9"/>
        <v>8.9158693056652361E-3</v>
      </c>
    </row>
    <row r="565" spans="1:7">
      <c r="A565" s="5">
        <v>269.4255</v>
      </c>
      <c r="B565" s="5">
        <v>272.10719999999998</v>
      </c>
      <c r="C565" s="5">
        <v>266.81270000000001</v>
      </c>
      <c r="D565" s="5">
        <v>271.32830000000001</v>
      </c>
      <c r="E565" s="5">
        <v>1342837</v>
      </c>
      <c r="F565" s="5" t="s">
        <v>722</v>
      </c>
      <c r="G565" s="9">
        <f t="shared" si="9"/>
        <v>-7.0129065047767059E-3</v>
      </c>
    </row>
    <row r="566" spans="1:7">
      <c r="A566" s="5">
        <v>269.56349999999998</v>
      </c>
      <c r="B566" s="5">
        <v>271.75220000000002</v>
      </c>
      <c r="C566" s="5">
        <v>262.73270000000002</v>
      </c>
      <c r="D566" s="5">
        <v>262.8</v>
      </c>
      <c r="E566" s="5">
        <v>1577429</v>
      </c>
      <c r="F566" s="5" t="s">
        <v>721</v>
      </c>
      <c r="G566" s="9">
        <f t="shared" si="9"/>
        <v>2.5736301369862824E-2</v>
      </c>
    </row>
    <row r="567" spans="1:7">
      <c r="A567" s="5">
        <v>262.05070000000001</v>
      </c>
      <c r="B567" s="5">
        <v>270.28460000000001</v>
      </c>
      <c r="C567" s="5">
        <v>258.71780000000001</v>
      </c>
      <c r="D567" s="5">
        <v>269.38499999999999</v>
      </c>
      <c r="E567" s="5">
        <v>3032855</v>
      </c>
      <c r="F567" s="5" t="s">
        <v>720</v>
      </c>
      <c r="G567" s="9">
        <f t="shared" si="9"/>
        <v>-2.7226089054698588E-2</v>
      </c>
    </row>
    <row r="568" spans="1:7">
      <c r="A568" s="5">
        <v>268.94260000000003</v>
      </c>
      <c r="B568" s="5">
        <v>280.6225</v>
      </c>
      <c r="C568" s="5">
        <v>268.6968</v>
      </c>
      <c r="D568" s="5">
        <v>279.95400000000001</v>
      </c>
      <c r="E568" s="5">
        <v>2661900</v>
      </c>
      <c r="F568" s="5" t="s">
        <v>719</v>
      </c>
      <c r="G568" s="9">
        <f t="shared" si="9"/>
        <v>-3.933289040342336E-2</v>
      </c>
    </row>
    <row r="569" spans="1:7">
      <c r="A569" s="5">
        <v>282.53969999999998</v>
      </c>
      <c r="B569" s="5">
        <v>282.9941</v>
      </c>
      <c r="C569" s="5">
        <v>279.38369999999998</v>
      </c>
      <c r="D569" s="5">
        <v>280.04250000000002</v>
      </c>
      <c r="E569" s="5">
        <v>922036</v>
      </c>
      <c r="F569" s="5" t="s">
        <v>718</v>
      </c>
      <c r="G569" s="9">
        <f t="shared" si="9"/>
        <v>8.9172179222796188E-3</v>
      </c>
    </row>
    <row r="570" spans="1:7">
      <c r="A570" s="5">
        <v>280.47500000000002</v>
      </c>
      <c r="B570" s="5">
        <v>282.88869999999997</v>
      </c>
      <c r="C570" s="5">
        <v>278.62670000000003</v>
      </c>
      <c r="D570" s="5">
        <v>279.02</v>
      </c>
      <c r="E570" s="5">
        <v>953373</v>
      </c>
      <c r="F570" s="5" t="s">
        <v>717</v>
      </c>
      <c r="G570" s="9">
        <f t="shared" si="9"/>
        <v>5.2146799512580166E-3</v>
      </c>
    </row>
    <row r="571" spans="1:7">
      <c r="A571" s="5">
        <v>279.65899999999999</v>
      </c>
      <c r="B571" s="5">
        <v>283.63099999999997</v>
      </c>
      <c r="C571" s="5">
        <v>279.51159999999999</v>
      </c>
      <c r="D571" s="5">
        <v>282.60849999999999</v>
      </c>
      <c r="E571" s="5">
        <v>961965</v>
      </c>
      <c r="F571" s="5" t="s">
        <v>716</v>
      </c>
      <c r="G571" s="9">
        <f t="shared" si="9"/>
        <v>-1.0436699533099669E-2</v>
      </c>
    </row>
    <row r="572" spans="1:7">
      <c r="A572" s="5">
        <v>284.10289999999998</v>
      </c>
      <c r="B572" s="5">
        <v>290.68020000000001</v>
      </c>
      <c r="C572" s="5">
        <v>284.05369999999999</v>
      </c>
      <c r="D572" s="5">
        <v>290.34589999999997</v>
      </c>
      <c r="E572" s="5">
        <v>834427</v>
      </c>
      <c r="F572" s="5" t="s">
        <v>715</v>
      </c>
      <c r="G572" s="9">
        <f t="shared" si="9"/>
        <v>-2.1501939583097207E-2</v>
      </c>
    </row>
    <row r="573" spans="1:7">
      <c r="A573" s="5">
        <v>288.76310000000001</v>
      </c>
      <c r="B573" s="5">
        <v>289.2448</v>
      </c>
      <c r="C573" s="5">
        <v>286.2953</v>
      </c>
      <c r="D573" s="5">
        <v>288.5566</v>
      </c>
      <c r="E573" s="5">
        <v>683860</v>
      </c>
      <c r="F573" s="5" t="s">
        <v>714</v>
      </c>
      <c r="G573" s="9">
        <f t="shared" si="9"/>
        <v>7.1563083291104057E-4</v>
      </c>
    </row>
    <row r="574" spans="1:7">
      <c r="A574" s="5">
        <v>288.28129999999999</v>
      </c>
      <c r="B574" s="5">
        <v>289.60860000000002</v>
      </c>
      <c r="C574" s="5">
        <v>284.8304</v>
      </c>
      <c r="D574" s="5">
        <v>287.46530000000001</v>
      </c>
      <c r="E574" s="5">
        <v>1042290</v>
      </c>
      <c r="F574" s="5" t="s">
        <v>713</v>
      </c>
      <c r="G574" s="9">
        <f t="shared" si="9"/>
        <v>2.838603476662982E-3</v>
      </c>
    </row>
    <row r="575" spans="1:7">
      <c r="A575" s="5">
        <v>287.83890000000002</v>
      </c>
      <c r="B575" s="5">
        <v>291.99270000000001</v>
      </c>
      <c r="C575" s="5">
        <v>287.71109999999999</v>
      </c>
      <c r="D575" s="5">
        <v>290.03129999999999</v>
      </c>
      <c r="E575" s="5">
        <v>2134362</v>
      </c>
      <c r="F575" s="5" t="s">
        <v>712</v>
      </c>
      <c r="G575" s="9">
        <f t="shared" si="9"/>
        <v>-7.5591841294369022E-3</v>
      </c>
    </row>
    <row r="576" spans="1:7">
      <c r="A576" s="5">
        <v>290.03129999999999</v>
      </c>
      <c r="B576" s="5">
        <v>294.40199999999999</v>
      </c>
      <c r="C576" s="5">
        <v>289.53980000000001</v>
      </c>
      <c r="D576" s="5">
        <v>293.67880000000002</v>
      </c>
      <c r="E576" s="5">
        <v>1390076</v>
      </c>
      <c r="F576" s="5" t="s">
        <v>711</v>
      </c>
      <c r="G576" s="9">
        <f t="shared" si="9"/>
        <v>-1.2420031680870469E-2</v>
      </c>
    </row>
    <row r="577" spans="1:7">
      <c r="A577" s="5">
        <v>292.31229999999999</v>
      </c>
      <c r="B577" s="5">
        <v>292.6859</v>
      </c>
      <c r="C577" s="5">
        <v>287.06220000000002</v>
      </c>
      <c r="D577" s="5">
        <v>288.70409999999998</v>
      </c>
      <c r="E577" s="5">
        <v>1433419</v>
      </c>
      <c r="F577" s="5" t="s">
        <v>710</v>
      </c>
      <c r="G577" s="9">
        <f t="shared" si="9"/>
        <v>1.2497917417868321E-2</v>
      </c>
    </row>
    <row r="578" spans="1:7">
      <c r="A578" s="5">
        <v>289.80520000000001</v>
      </c>
      <c r="B578" s="5">
        <v>296.1662</v>
      </c>
      <c r="C578" s="5">
        <v>288.48779999999999</v>
      </c>
      <c r="D578" s="5">
        <v>294.78980000000001</v>
      </c>
      <c r="E578" s="5">
        <v>1146724</v>
      </c>
      <c r="F578" s="5" t="s">
        <v>709</v>
      </c>
      <c r="G578" s="9">
        <f t="shared" si="9"/>
        <v>-1.6908997529765268E-2</v>
      </c>
    </row>
    <row r="579" spans="1:7">
      <c r="A579" s="5">
        <v>294.67180000000002</v>
      </c>
      <c r="B579" s="5">
        <v>296.50049999999999</v>
      </c>
      <c r="C579" s="5">
        <v>286.20690000000002</v>
      </c>
      <c r="D579" s="5">
        <v>286.53129999999999</v>
      </c>
      <c r="E579" s="5">
        <v>2101713</v>
      </c>
      <c r="F579" s="5" t="s">
        <v>708</v>
      </c>
      <c r="G579" s="9">
        <f t="shared" si="9"/>
        <v>2.8410508729761919E-2</v>
      </c>
    </row>
    <row r="580" spans="1:7">
      <c r="A580" s="5">
        <v>284.66329999999999</v>
      </c>
      <c r="B580" s="5">
        <v>284.8304</v>
      </c>
      <c r="C580" s="5">
        <v>282.31360000000001</v>
      </c>
      <c r="D580" s="5">
        <v>283.46379999999999</v>
      </c>
      <c r="E580" s="5">
        <v>1052940</v>
      </c>
      <c r="F580" s="5" t="s">
        <v>707</v>
      </c>
      <c r="G580" s="9">
        <f t="shared" si="9"/>
        <v>4.2315808932216203E-3</v>
      </c>
    </row>
    <row r="581" spans="1:7">
      <c r="A581" s="5">
        <v>284.15210000000002</v>
      </c>
      <c r="B581" s="5">
        <v>287.15559999999999</v>
      </c>
      <c r="C581" s="5">
        <v>283.8768</v>
      </c>
      <c r="D581" s="5">
        <v>285.11559999999997</v>
      </c>
      <c r="E581" s="5">
        <v>1311068</v>
      </c>
      <c r="F581" s="5" t="s">
        <v>706</v>
      </c>
      <c r="G581" s="9">
        <f t="shared" si="9"/>
        <v>-3.3793310502826523E-3</v>
      </c>
    </row>
    <row r="582" spans="1:7">
      <c r="A582" s="5">
        <v>284.23070000000001</v>
      </c>
      <c r="B582" s="5">
        <v>285.09589999999997</v>
      </c>
      <c r="C582" s="5">
        <v>278.55790000000002</v>
      </c>
      <c r="D582" s="5">
        <v>281.5172</v>
      </c>
      <c r="E582" s="5">
        <v>1253465</v>
      </c>
      <c r="F582" s="5" t="s">
        <v>705</v>
      </c>
      <c r="G582" s="9">
        <f t="shared" si="9"/>
        <v>9.6388426710694031E-3</v>
      </c>
    </row>
    <row r="583" spans="1:7">
      <c r="A583" s="5">
        <v>281.46800000000002</v>
      </c>
      <c r="B583" s="5">
        <v>284.93860000000001</v>
      </c>
      <c r="C583" s="5">
        <v>279.3297</v>
      </c>
      <c r="D583" s="5">
        <v>284.8698</v>
      </c>
      <c r="E583" s="5">
        <v>1289271</v>
      </c>
      <c r="F583" s="5" t="s">
        <v>704</v>
      </c>
      <c r="G583" s="9">
        <f t="shared" si="9"/>
        <v>-1.1941595774631053E-2</v>
      </c>
    </row>
    <row r="584" spans="1:7">
      <c r="A584" s="5">
        <v>279.65899999999999</v>
      </c>
      <c r="B584" s="5">
        <v>280.66180000000003</v>
      </c>
      <c r="C584" s="5">
        <v>278.16669999999999</v>
      </c>
      <c r="D584" s="5">
        <v>280.66180000000003</v>
      </c>
      <c r="E584" s="5">
        <v>657419</v>
      </c>
      <c r="F584" s="5" t="s">
        <v>703</v>
      </c>
      <c r="G584" s="9">
        <f t="shared" si="9"/>
        <v>-3.5729835695489376E-3</v>
      </c>
    </row>
    <row r="585" spans="1:7">
      <c r="A585" s="5">
        <v>278.77420000000001</v>
      </c>
      <c r="B585" s="5">
        <v>284.2799</v>
      </c>
      <c r="C585" s="5">
        <v>278.72500000000002</v>
      </c>
      <c r="D585" s="5">
        <v>282.45119999999997</v>
      </c>
      <c r="E585" s="5">
        <v>1049842</v>
      </c>
      <c r="F585" s="5" t="s">
        <v>702</v>
      </c>
      <c r="G585" s="9">
        <f t="shared" si="9"/>
        <v>-1.3018178007386583E-2</v>
      </c>
    </row>
    <row r="586" spans="1:7">
      <c r="A586" s="5">
        <v>282.30369999999999</v>
      </c>
      <c r="B586" s="5">
        <v>284.1816</v>
      </c>
      <c r="C586" s="5">
        <v>280.55369999999999</v>
      </c>
      <c r="D586" s="5">
        <v>280.81920000000002</v>
      </c>
      <c r="E586" s="5">
        <v>1055576</v>
      </c>
      <c r="F586" s="5" t="s">
        <v>701</v>
      </c>
      <c r="G586" s="9">
        <f t="shared" si="9"/>
        <v>5.2863194539403136E-3</v>
      </c>
    </row>
    <row r="587" spans="1:7">
      <c r="A587" s="5">
        <v>280.21940000000001</v>
      </c>
      <c r="B587" s="5">
        <v>280.58319999999998</v>
      </c>
      <c r="C587" s="5">
        <v>273.50450000000001</v>
      </c>
      <c r="D587" s="5">
        <v>273.50450000000001</v>
      </c>
      <c r="E587" s="5">
        <v>1158394</v>
      </c>
      <c r="F587" s="5" t="s">
        <v>700</v>
      </c>
      <c r="G587" s="9">
        <f t="shared" si="9"/>
        <v>2.4551332793427472E-2</v>
      </c>
    </row>
    <row r="588" spans="1:7">
      <c r="A588" s="5">
        <v>273.62240000000003</v>
      </c>
      <c r="B588" s="5">
        <v>277.25029999999998</v>
      </c>
      <c r="C588" s="5">
        <v>271.46929999999998</v>
      </c>
      <c r="D588" s="5">
        <v>275.79520000000002</v>
      </c>
      <c r="E588" s="5">
        <v>890766</v>
      </c>
      <c r="F588" s="5" t="s">
        <v>699</v>
      </c>
      <c r="G588" s="9">
        <f t="shared" si="9"/>
        <v>-7.8783097022717685E-3</v>
      </c>
    </row>
    <row r="589" spans="1:7">
      <c r="A589" s="5">
        <v>273.43560000000002</v>
      </c>
      <c r="B589" s="5">
        <v>274.1927</v>
      </c>
      <c r="C589" s="5">
        <v>268.49040000000002</v>
      </c>
      <c r="D589" s="5">
        <v>269.90609999999998</v>
      </c>
      <c r="E589" s="5">
        <v>907327</v>
      </c>
      <c r="F589" s="5" t="s">
        <v>698</v>
      </c>
      <c r="G589" s="9">
        <f t="shared" si="9"/>
        <v>1.3076770032244722E-2</v>
      </c>
    </row>
    <row r="590" spans="1:7">
      <c r="A590" s="5">
        <v>268.83449999999999</v>
      </c>
      <c r="B590" s="5">
        <v>273.62740000000002</v>
      </c>
      <c r="C590" s="5">
        <v>268.2937</v>
      </c>
      <c r="D590" s="5">
        <v>270.81060000000002</v>
      </c>
      <c r="E590" s="5">
        <v>1029646</v>
      </c>
      <c r="F590" s="5" t="s">
        <v>697</v>
      </c>
      <c r="G590" s="9">
        <f t="shared" si="9"/>
        <v>-7.2969817281894889E-3</v>
      </c>
    </row>
    <row r="591" spans="1:7">
      <c r="A591" s="5">
        <v>271.31200000000001</v>
      </c>
      <c r="B591" s="5">
        <v>274.20249999999999</v>
      </c>
      <c r="C591" s="5">
        <v>270.7516</v>
      </c>
      <c r="D591" s="5">
        <v>272.12799999999999</v>
      </c>
      <c r="E591" s="5">
        <v>969613</v>
      </c>
      <c r="F591" s="5" t="s">
        <v>696</v>
      </c>
      <c r="G591" s="9">
        <f t="shared" si="9"/>
        <v>-2.9985888993413479E-3</v>
      </c>
    </row>
    <row r="592" spans="1:7">
      <c r="A592" s="5">
        <v>270.84010000000001</v>
      </c>
      <c r="B592" s="5">
        <v>271.83800000000002</v>
      </c>
      <c r="C592" s="5">
        <v>269.44400000000002</v>
      </c>
      <c r="D592" s="5">
        <v>270.84989999999999</v>
      </c>
      <c r="E592" s="5">
        <v>1052444</v>
      </c>
      <c r="F592" s="5" t="s">
        <v>695</v>
      </c>
      <c r="G592" s="9">
        <f t="shared" si="9"/>
        <v>-3.6182402134876668E-5</v>
      </c>
    </row>
    <row r="593" spans="1:7">
      <c r="A593" s="5">
        <v>271.58730000000003</v>
      </c>
      <c r="B593" s="5">
        <v>275.25450000000001</v>
      </c>
      <c r="C593" s="5">
        <v>270.62380000000002</v>
      </c>
      <c r="D593" s="5">
        <v>273.89769999999999</v>
      </c>
      <c r="E593" s="5">
        <v>1175977</v>
      </c>
      <c r="F593" s="5" t="s">
        <v>694</v>
      </c>
      <c r="G593" s="9">
        <f t="shared" si="9"/>
        <v>-8.435266159591559E-3</v>
      </c>
    </row>
    <row r="594" spans="1:7">
      <c r="A594" s="5">
        <v>273.22919999999999</v>
      </c>
      <c r="B594" s="5">
        <v>274.6139</v>
      </c>
      <c r="C594" s="5">
        <v>271.96089999999998</v>
      </c>
      <c r="D594" s="5">
        <v>272.95389999999998</v>
      </c>
      <c r="E594" s="5">
        <v>993012</v>
      </c>
      <c r="F594" s="5" t="s">
        <v>693</v>
      </c>
      <c r="G594" s="9">
        <f t="shared" si="9"/>
        <v>1.0085952243217289E-3</v>
      </c>
    </row>
    <row r="595" spans="1:7">
      <c r="A595" s="5">
        <v>273.24880000000002</v>
      </c>
      <c r="B595" s="5">
        <v>278.1302</v>
      </c>
      <c r="C595" s="5">
        <v>272.98340000000002</v>
      </c>
      <c r="D595" s="5">
        <v>277.59440000000001</v>
      </c>
      <c r="E595" s="5">
        <v>1055814</v>
      </c>
      <c r="F595" s="5" t="s">
        <v>692</v>
      </c>
      <c r="G595" s="9">
        <f t="shared" si="9"/>
        <v>-1.5654494471070035E-2</v>
      </c>
    </row>
    <row r="596" spans="1:7">
      <c r="A596" s="5">
        <v>276.86689999999999</v>
      </c>
      <c r="B596" s="5">
        <v>281.09440000000001</v>
      </c>
      <c r="C596" s="5">
        <v>276.84719999999999</v>
      </c>
      <c r="D596" s="5">
        <v>280.29809999999998</v>
      </c>
      <c r="E596" s="5">
        <v>748389</v>
      </c>
      <c r="F596" s="5" t="s">
        <v>691</v>
      </c>
      <c r="G596" s="9">
        <f t="shared" si="9"/>
        <v>-1.2241253151555442E-2</v>
      </c>
    </row>
    <row r="597" spans="1:7">
      <c r="A597" s="5">
        <v>280.06209999999999</v>
      </c>
      <c r="B597" s="5">
        <v>281.29109999999997</v>
      </c>
      <c r="C597" s="5">
        <v>279.39359999999999</v>
      </c>
      <c r="D597" s="5">
        <v>279.77699999999999</v>
      </c>
      <c r="E597" s="5">
        <v>724213</v>
      </c>
      <c r="F597" s="5" t="s">
        <v>690</v>
      </c>
      <c r="G597" s="9">
        <f t="shared" si="9"/>
        <v>1.0190258670297325E-3</v>
      </c>
    </row>
    <row r="598" spans="1:7">
      <c r="A598" s="5">
        <v>279.99329999999998</v>
      </c>
      <c r="B598" s="5">
        <v>281.67450000000002</v>
      </c>
      <c r="C598" s="5">
        <v>276.62209999999999</v>
      </c>
      <c r="D598" s="5">
        <v>277.25029999999998</v>
      </c>
      <c r="E598" s="5">
        <v>1318501</v>
      </c>
      <c r="F598" s="5" t="s">
        <v>689</v>
      </c>
      <c r="G598" s="9">
        <f t="shared" si="9"/>
        <v>9.8935871304737244E-3</v>
      </c>
    </row>
    <row r="599" spans="1:7">
      <c r="A599" s="5">
        <v>277.35840000000002</v>
      </c>
      <c r="B599" s="5">
        <v>278.63650000000001</v>
      </c>
      <c r="C599" s="5">
        <v>277.01929999999999</v>
      </c>
      <c r="D599" s="5">
        <v>278.05650000000003</v>
      </c>
      <c r="E599" s="5">
        <v>625117</v>
      </c>
      <c r="F599" s="5" t="s">
        <v>688</v>
      </c>
      <c r="G599" s="9">
        <f t="shared" si="9"/>
        <v>-2.5106408229982335E-3</v>
      </c>
    </row>
    <row r="600" spans="1:7">
      <c r="A600" s="5">
        <v>278.24329999999998</v>
      </c>
      <c r="B600" s="5">
        <v>282.87400000000002</v>
      </c>
      <c r="C600" s="5">
        <v>277.43709999999999</v>
      </c>
      <c r="D600" s="5">
        <v>278.45960000000002</v>
      </c>
      <c r="E600" s="5">
        <v>880709</v>
      </c>
      <c r="F600" s="5" t="s">
        <v>687</v>
      </c>
      <c r="G600" s="9">
        <f t="shared" si="9"/>
        <v>-7.7677336317383272E-4</v>
      </c>
    </row>
    <row r="601" spans="1:7">
      <c r="A601" s="5">
        <v>277.25029999999998</v>
      </c>
      <c r="B601" s="5">
        <v>278.94130000000001</v>
      </c>
      <c r="C601" s="5">
        <v>275.99189999999999</v>
      </c>
      <c r="D601" s="5">
        <v>277.25029999999998</v>
      </c>
      <c r="E601" s="5">
        <v>878652</v>
      </c>
      <c r="F601" s="5" t="s">
        <v>686</v>
      </c>
      <c r="G601" s="9">
        <f t="shared" si="9"/>
        <v>0</v>
      </c>
    </row>
    <row r="602" spans="1:7">
      <c r="A602" s="5">
        <v>277.57470000000001</v>
      </c>
      <c r="B602" s="5">
        <v>280.98140000000001</v>
      </c>
      <c r="C602" s="5">
        <v>274.70389999999998</v>
      </c>
      <c r="D602" s="5">
        <v>280.19979999999998</v>
      </c>
      <c r="E602" s="5">
        <v>976696</v>
      </c>
      <c r="F602" s="5" t="s">
        <v>685</v>
      </c>
      <c r="G602" s="9">
        <f t="shared" si="9"/>
        <v>-9.3686719262467966E-3</v>
      </c>
    </row>
    <row r="603" spans="1:7">
      <c r="A603" s="5">
        <v>281.44839999999999</v>
      </c>
      <c r="B603" s="5">
        <v>283.66050000000001</v>
      </c>
      <c r="C603" s="5">
        <v>277.83049999999997</v>
      </c>
      <c r="D603" s="5">
        <v>280.19979999999998</v>
      </c>
      <c r="E603" s="5">
        <v>1233394</v>
      </c>
      <c r="F603" s="5" t="s">
        <v>684</v>
      </c>
      <c r="G603" s="9">
        <f t="shared" si="9"/>
        <v>4.4561059643868361E-3</v>
      </c>
    </row>
    <row r="604" spans="1:7">
      <c r="A604" s="5">
        <v>278.93150000000003</v>
      </c>
      <c r="B604" s="5">
        <v>287.57339999999999</v>
      </c>
      <c r="C604" s="5">
        <v>277.2602</v>
      </c>
      <c r="D604" s="5">
        <v>279.21660000000003</v>
      </c>
      <c r="E604" s="5">
        <v>2792823</v>
      </c>
      <c r="F604" s="5" t="s">
        <v>683</v>
      </c>
      <c r="G604" s="9">
        <f t="shared" si="9"/>
        <v>-1.0210710967757386E-3</v>
      </c>
    </row>
    <row r="605" spans="1:7">
      <c r="A605" s="5">
        <v>270.9778</v>
      </c>
      <c r="B605" s="5">
        <v>272.94409999999999</v>
      </c>
      <c r="C605" s="5">
        <v>267.28109999999998</v>
      </c>
      <c r="D605" s="5">
        <v>268.7165</v>
      </c>
      <c r="E605" s="5">
        <v>1921847</v>
      </c>
      <c r="F605" s="5" t="s">
        <v>682</v>
      </c>
      <c r="G605" s="9">
        <f t="shared" si="9"/>
        <v>8.4151884979151159E-3</v>
      </c>
    </row>
    <row r="606" spans="1:7">
      <c r="A606" s="5">
        <v>269.94540000000001</v>
      </c>
      <c r="B606" s="5">
        <v>275.04309999999998</v>
      </c>
      <c r="C606" s="5">
        <v>269.01139999999998</v>
      </c>
      <c r="D606" s="5">
        <v>273.416</v>
      </c>
      <c r="E606" s="5">
        <v>1960988</v>
      </c>
      <c r="F606" s="5" t="s">
        <v>681</v>
      </c>
      <c r="G606" s="9">
        <f t="shared" si="9"/>
        <v>-1.269347807004706E-2</v>
      </c>
    </row>
    <row r="607" spans="1:7">
      <c r="A607" s="5">
        <v>274.56630000000001</v>
      </c>
      <c r="B607" s="5">
        <v>277.56490000000002</v>
      </c>
      <c r="C607" s="5">
        <v>273.44549999999998</v>
      </c>
      <c r="D607" s="5">
        <v>275.3725</v>
      </c>
      <c r="E607" s="5">
        <v>2230567</v>
      </c>
      <c r="F607" s="5" t="s">
        <v>680</v>
      </c>
      <c r="G607" s="9">
        <f t="shared" si="9"/>
        <v>-2.9276707005964075E-3</v>
      </c>
    </row>
    <row r="608" spans="1:7">
      <c r="A608" s="5">
        <v>278.63650000000001</v>
      </c>
      <c r="B608" s="5">
        <v>279.61970000000002</v>
      </c>
      <c r="C608" s="5">
        <v>276.13929999999999</v>
      </c>
      <c r="D608" s="5">
        <v>279.20679999999999</v>
      </c>
      <c r="E608" s="5">
        <v>1588529</v>
      </c>
      <c r="F608" s="5" t="s">
        <v>679</v>
      </c>
      <c r="G608" s="9">
        <f t="shared" si="9"/>
        <v>-2.0425720290478955E-3</v>
      </c>
    </row>
    <row r="609" spans="1:7">
      <c r="A609" s="5">
        <v>278.23349999999999</v>
      </c>
      <c r="B609" s="5">
        <v>279.83600000000001</v>
      </c>
      <c r="C609" s="5">
        <v>276.15899999999999</v>
      </c>
      <c r="D609" s="5">
        <v>278.95119999999997</v>
      </c>
      <c r="E609" s="5">
        <v>1864363</v>
      </c>
      <c r="F609" s="5" t="s">
        <v>678</v>
      </c>
      <c r="G609" s="9">
        <f t="shared" si="9"/>
        <v>-2.5728514521535795E-3</v>
      </c>
    </row>
    <row r="610" spans="1:7">
      <c r="A610" s="5">
        <v>277.26010000000002</v>
      </c>
      <c r="B610" s="5">
        <v>285.6071</v>
      </c>
      <c r="C610" s="5">
        <v>277.08319999999998</v>
      </c>
      <c r="D610" s="5">
        <v>285.6071</v>
      </c>
      <c r="E610" s="5">
        <v>2359933</v>
      </c>
      <c r="F610" s="5" t="s">
        <v>677</v>
      </c>
      <c r="G610" s="9">
        <f t="shared" si="9"/>
        <v>-2.9225463932794349E-2</v>
      </c>
    </row>
    <row r="611" spans="1:7">
      <c r="A611" s="5">
        <v>285.23349999999999</v>
      </c>
      <c r="B611" s="5">
        <v>286.60500000000002</v>
      </c>
      <c r="C611" s="5">
        <v>283.14920000000001</v>
      </c>
      <c r="D611" s="5">
        <v>286.20690000000002</v>
      </c>
      <c r="E611" s="5">
        <v>1173028</v>
      </c>
      <c r="F611" s="5" t="s">
        <v>676</v>
      </c>
      <c r="G611" s="9">
        <f t="shared" si="9"/>
        <v>-3.4010361036020953E-3</v>
      </c>
    </row>
    <row r="612" spans="1:7">
      <c r="A612" s="5">
        <v>286.0102</v>
      </c>
      <c r="B612" s="5">
        <v>286.9246</v>
      </c>
      <c r="C612" s="5">
        <v>282.13659999999999</v>
      </c>
      <c r="D612" s="5">
        <v>284.71249999999998</v>
      </c>
      <c r="E612" s="5">
        <v>1269382</v>
      </c>
      <c r="F612" s="5" t="s">
        <v>675</v>
      </c>
      <c r="G612" s="9">
        <f t="shared" si="9"/>
        <v>4.5579312464327781E-3</v>
      </c>
    </row>
    <row r="613" spans="1:7">
      <c r="A613" s="5">
        <v>285.83330000000001</v>
      </c>
      <c r="B613" s="5">
        <v>291.1934</v>
      </c>
      <c r="C613" s="5">
        <v>285.44979999999998</v>
      </c>
      <c r="D613" s="5">
        <v>289.96249999999998</v>
      </c>
      <c r="E613" s="5">
        <v>1226732</v>
      </c>
      <c r="F613" s="5" t="s">
        <v>674</v>
      </c>
      <c r="G613" s="9">
        <f t="shared" si="9"/>
        <v>-1.424046212872343E-2</v>
      </c>
    </row>
    <row r="614" spans="1:7">
      <c r="A614" s="5">
        <v>290.6114</v>
      </c>
      <c r="B614" s="5">
        <v>291.89929999999998</v>
      </c>
      <c r="C614" s="5">
        <v>288.30099999999999</v>
      </c>
      <c r="D614" s="5">
        <v>290.67039999999997</v>
      </c>
      <c r="E614" s="5">
        <v>2965011</v>
      </c>
      <c r="F614" s="5" t="s">
        <v>673</v>
      </c>
      <c r="G614" s="9">
        <f t="shared" si="9"/>
        <v>-2.0297904430577329E-4</v>
      </c>
    </row>
    <row r="615" spans="1:7">
      <c r="A615" s="5">
        <v>291.05380000000002</v>
      </c>
      <c r="B615" s="5">
        <v>292.83819999999997</v>
      </c>
      <c r="C615" s="5">
        <v>289.20060000000001</v>
      </c>
      <c r="D615" s="5">
        <v>290.7097</v>
      </c>
      <c r="E615" s="5">
        <v>1390258</v>
      </c>
      <c r="F615" s="5" t="s">
        <v>672</v>
      </c>
      <c r="G615" s="9">
        <f t="shared" ref="G615:G678" si="10">A615/D615-1</f>
        <v>1.1836550345585284E-3</v>
      </c>
    </row>
    <row r="616" spans="1:7">
      <c r="A616" s="5">
        <v>289.52010000000001</v>
      </c>
      <c r="B616" s="5">
        <v>292.63670000000002</v>
      </c>
      <c r="C616" s="5">
        <v>286.6001</v>
      </c>
      <c r="D616" s="5">
        <v>291.0145</v>
      </c>
      <c r="E616" s="5">
        <v>1411737</v>
      </c>
      <c r="F616" s="5" t="s">
        <v>671</v>
      </c>
      <c r="G616" s="9">
        <f t="shared" si="10"/>
        <v>-5.1351393143640456E-3</v>
      </c>
    </row>
    <row r="617" spans="1:7">
      <c r="A617" s="5">
        <v>291.64370000000002</v>
      </c>
      <c r="B617" s="5">
        <v>294.4162</v>
      </c>
      <c r="C617" s="5">
        <v>288.49759999999998</v>
      </c>
      <c r="D617" s="5">
        <v>292.30239999999998</v>
      </c>
      <c r="E617" s="5">
        <v>1124775</v>
      </c>
      <c r="F617" s="5" t="s">
        <v>670</v>
      </c>
      <c r="G617" s="9">
        <f t="shared" si="10"/>
        <v>-2.2534881684171948E-3</v>
      </c>
    </row>
    <row r="618" spans="1:7">
      <c r="A618" s="5">
        <v>293.59039999999999</v>
      </c>
      <c r="B618" s="5">
        <v>297.24090000000001</v>
      </c>
      <c r="C618" s="5">
        <v>292.48919999999998</v>
      </c>
      <c r="D618" s="5">
        <v>296.43169999999998</v>
      </c>
      <c r="E618" s="5">
        <v>1212899</v>
      </c>
      <c r="F618" s="5" t="s">
        <v>669</v>
      </c>
      <c r="G618" s="9">
        <f t="shared" si="10"/>
        <v>-9.5850072714894763E-3</v>
      </c>
    </row>
    <row r="619" spans="1:7">
      <c r="A619" s="5">
        <v>297.33620000000002</v>
      </c>
      <c r="B619" s="5">
        <v>299.76459999999997</v>
      </c>
      <c r="C619" s="5">
        <v>294.59320000000002</v>
      </c>
      <c r="D619" s="5">
        <v>294.59320000000002</v>
      </c>
      <c r="E619" s="5">
        <v>1310997</v>
      </c>
      <c r="F619" s="5" t="s">
        <v>668</v>
      </c>
      <c r="G619" s="9">
        <f t="shared" si="10"/>
        <v>9.3111449958791503E-3</v>
      </c>
    </row>
    <row r="620" spans="1:7">
      <c r="A620" s="5">
        <v>294.59320000000002</v>
      </c>
      <c r="B620" s="5">
        <v>295.01589999999999</v>
      </c>
      <c r="C620" s="5">
        <v>291.42739999999998</v>
      </c>
      <c r="D620" s="5">
        <v>292.6662</v>
      </c>
      <c r="E620" s="5">
        <v>789296</v>
      </c>
      <c r="F620" s="5" t="s">
        <v>667</v>
      </c>
      <c r="G620" s="9">
        <f t="shared" si="10"/>
        <v>6.584292959009419E-3</v>
      </c>
    </row>
    <row r="621" spans="1:7">
      <c r="A621" s="5">
        <v>293.01029999999997</v>
      </c>
      <c r="B621" s="5">
        <v>294.7996</v>
      </c>
      <c r="C621" s="5">
        <v>291.5061</v>
      </c>
      <c r="D621" s="5">
        <v>293.05950000000001</v>
      </c>
      <c r="E621" s="5">
        <v>1094590</v>
      </c>
      <c r="F621" s="5" t="s">
        <v>666</v>
      </c>
      <c r="G621" s="9">
        <f t="shared" si="10"/>
        <v>-1.6788399625344841E-4</v>
      </c>
    </row>
    <row r="622" spans="1:7">
      <c r="A622" s="5">
        <v>291.41759999999999</v>
      </c>
      <c r="B622" s="5">
        <v>292.31229999999999</v>
      </c>
      <c r="C622" s="5">
        <v>287.91750000000002</v>
      </c>
      <c r="D622" s="5">
        <v>290.03129999999999</v>
      </c>
      <c r="E622" s="5">
        <v>848221</v>
      </c>
      <c r="F622" s="5" t="s">
        <v>665</v>
      </c>
      <c r="G622" s="9">
        <f t="shared" si="10"/>
        <v>4.7798289357046109E-3</v>
      </c>
    </row>
    <row r="623" spans="1:7">
      <c r="A623" s="5">
        <v>290.3263</v>
      </c>
      <c r="B623" s="5">
        <v>292.3614</v>
      </c>
      <c r="C623" s="5">
        <v>289.17599999999999</v>
      </c>
      <c r="D623" s="5">
        <v>290.0412</v>
      </c>
      <c r="E623" s="5">
        <v>688268</v>
      </c>
      <c r="F623" s="5" t="s">
        <v>664</v>
      </c>
      <c r="G623" s="9">
        <f t="shared" si="10"/>
        <v>9.8296379962570235E-4</v>
      </c>
    </row>
    <row r="624" spans="1:7">
      <c r="A624" s="5">
        <v>289.31360000000001</v>
      </c>
      <c r="B624" s="5">
        <v>290.94569999999999</v>
      </c>
      <c r="C624" s="5">
        <v>287.60289999999998</v>
      </c>
      <c r="D624" s="5">
        <v>289.30380000000002</v>
      </c>
      <c r="E624" s="5">
        <v>979532</v>
      </c>
      <c r="F624" s="5" t="s">
        <v>663</v>
      </c>
      <c r="G624" s="9">
        <f t="shared" si="10"/>
        <v>3.3874425430902022E-5</v>
      </c>
    </row>
    <row r="625" spans="1:7">
      <c r="A625" s="5">
        <v>290.69990000000001</v>
      </c>
      <c r="B625" s="5">
        <v>291.85509999999999</v>
      </c>
      <c r="C625" s="5">
        <v>288.2715</v>
      </c>
      <c r="D625" s="5">
        <v>290.27710000000002</v>
      </c>
      <c r="E625" s="5">
        <v>918761</v>
      </c>
      <c r="F625" s="5" t="s">
        <v>662</v>
      </c>
      <c r="G625" s="9">
        <f t="shared" si="10"/>
        <v>1.4565392860821369E-3</v>
      </c>
    </row>
    <row r="626" spans="1:7">
      <c r="A626" s="5">
        <v>292.3614</v>
      </c>
      <c r="B626" s="5">
        <v>293.24630000000002</v>
      </c>
      <c r="C626" s="5">
        <v>289.57909999999998</v>
      </c>
      <c r="D626" s="5">
        <v>291.41759999999999</v>
      </c>
      <c r="E626" s="5">
        <v>806215</v>
      </c>
      <c r="F626" s="5" t="s">
        <v>661</v>
      </c>
      <c r="G626" s="9">
        <f t="shared" si="10"/>
        <v>3.2386513374622616E-3</v>
      </c>
    </row>
    <row r="627" spans="1:7">
      <c r="A627" s="5">
        <v>292.98079999999999</v>
      </c>
      <c r="B627" s="5">
        <v>298.14240000000001</v>
      </c>
      <c r="C627" s="5">
        <v>292.03449999999998</v>
      </c>
      <c r="D627" s="5">
        <v>297.83760000000001</v>
      </c>
      <c r="E627" s="5">
        <v>577070</v>
      </c>
      <c r="F627" s="5" t="s">
        <v>660</v>
      </c>
      <c r="G627" s="9">
        <f t="shared" si="10"/>
        <v>-1.6306873275906186E-2</v>
      </c>
    </row>
    <row r="628" spans="1:7">
      <c r="A628" s="5">
        <v>299.95139999999998</v>
      </c>
      <c r="B628" s="5">
        <v>301.7604</v>
      </c>
      <c r="C628" s="5">
        <v>298.10309999999998</v>
      </c>
      <c r="D628" s="5">
        <v>299.71539999999999</v>
      </c>
      <c r="E628" s="5">
        <v>1069199</v>
      </c>
      <c r="F628" s="5" t="s">
        <v>659</v>
      </c>
      <c r="G628" s="9">
        <f t="shared" si="10"/>
        <v>7.8741365975854016E-4</v>
      </c>
    </row>
    <row r="629" spans="1:7">
      <c r="A629" s="5">
        <v>296.68729999999999</v>
      </c>
      <c r="B629" s="5">
        <v>297.11989999999997</v>
      </c>
      <c r="C629" s="5">
        <v>292.93970000000002</v>
      </c>
      <c r="D629" s="5">
        <v>294.42599999999999</v>
      </c>
      <c r="E629" s="5">
        <v>684747</v>
      </c>
      <c r="F629" s="5" t="s">
        <v>658</v>
      </c>
      <c r="G629" s="9">
        <f t="shared" si="10"/>
        <v>7.6803679022912075E-3</v>
      </c>
    </row>
    <row r="630" spans="1:7">
      <c r="A630" s="5">
        <v>294.48500000000001</v>
      </c>
      <c r="B630" s="5">
        <v>296.54450000000003</v>
      </c>
      <c r="C630" s="5">
        <v>292.79489999999998</v>
      </c>
      <c r="D630" s="5">
        <v>292.8571</v>
      </c>
      <c r="E630" s="5">
        <v>1272023</v>
      </c>
      <c r="F630" s="5" t="s">
        <v>657</v>
      </c>
      <c r="G630" s="9">
        <f t="shared" si="10"/>
        <v>5.5586837402952227E-3</v>
      </c>
    </row>
    <row r="631" spans="1:7">
      <c r="A631" s="5">
        <v>292.9846</v>
      </c>
      <c r="B631" s="5">
        <v>293.16109999999998</v>
      </c>
      <c r="C631" s="5">
        <v>289.3854</v>
      </c>
      <c r="D631" s="5">
        <v>291.5822</v>
      </c>
      <c r="E631" s="5">
        <v>1044402</v>
      </c>
      <c r="F631" s="5" t="s">
        <v>656</v>
      </c>
      <c r="G631" s="9">
        <f t="shared" si="10"/>
        <v>4.8096214377970625E-3</v>
      </c>
    </row>
    <row r="632" spans="1:7">
      <c r="A632" s="5">
        <v>291.1114</v>
      </c>
      <c r="B632" s="5">
        <v>293.53379999999999</v>
      </c>
      <c r="C632" s="5">
        <v>288.21839999999997</v>
      </c>
      <c r="D632" s="5">
        <v>290.83679999999998</v>
      </c>
      <c r="E632" s="5">
        <v>807035</v>
      </c>
      <c r="F632" s="5" t="s">
        <v>655</v>
      </c>
      <c r="G632" s="9">
        <f t="shared" si="10"/>
        <v>9.44172126773557E-4</v>
      </c>
    </row>
    <row r="633" spans="1:7">
      <c r="A633" s="5">
        <v>292.13139999999999</v>
      </c>
      <c r="B633" s="5">
        <v>293.71030000000002</v>
      </c>
      <c r="C633" s="5">
        <v>290.65050000000002</v>
      </c>
      <c r="D633" s="5">
        <v>291.27809999999999</v>
      </c>
      <c r="E633" s="5">
        <v>2412533</v>
      </c>
      <c r="F633" s="5" t="s">
        <v>654</v>
      </c>
      <c r="G633" s="9">
        <f t="shared" si="10"/>
        <v>2.9295027672866514E-3</v>
      </c>
    </row>
    <row r="634" spans="1:7">
      <c r="A634" s="5">
        <v>292.14120000000003</v>
      </c>
      <c r="B634" s="5">
        <v>293.43079999999998</v>
      </c>
      <c r="C634" s="5">
        <v>290.0523</v>
      </c>
      <c r="D634" s="5">
        <v>291.93520000000001</v>
      </c>
      <c r="E634" s="5">
        <v>1083624</v>
      </c>
      <c r="F634" s="5" t="s">
        <v>653</v>
      </c>
      <c r="G634" s="9">
        <f t="shared" si="10"/>
        <v>7.0563604525952783E-4</v>
      </c>
    </row>
    <row r="635" spans="1:7">
      <c r="A635" s="5">
        <v>291.82729999999998</v>
      </c>
      <c r="B635" s="5">
        <v>292.35199999999998</v>
      </c>
      <c r="C635" s="5">
        <v>288.10070000000002</v>
      </c>
      <c r="D635" s="5">
        <v>290.86619999999999</v>
      </c>
      <c r="E635" s="5">
        <v>1469764</v>
      </c>
      <c r="F635" s="5" t="s">
        <v>652</v>
      </c>
      <c r="G635" s="9">
        <f t="shared" si="10"/>
        <v>3.3042684230755182E-3</v>
      </c>
    </row>
    <row r="636" spans="1:7">
      <c r="A636" s="5">
        <v>292.05290000000002</v>
      </c>
      <c r="B636" s="5">
        <v>293.48469999999998</v>
      </c>
      <c r="C636" s="5">
        <v>285.42829999999998</v>
      </c>
      <c r="D636" s="5">
        <v>286.93360000000001</v>
      </c>
      <c r="E636" s="5">
        <v>1401636</v>
      </c>
      <c r="F636" s="5" t="s">
        <v>651</v>
      </c>
      <c r="G636" s="9">
        <f t="shared" si="10"/>
        <v>1.7841409998689661E-2</v>
      </c>
    </row>
    <row r="637" spans="1:7">
      <c r="A637" s="5">
        <v>288.66950000000003</v>
      </c>
      <c r="B637" s="5">
        <v>295.42649999999998</v>
      </c>
      <c r="C637" s="5">
        <v>288.33600000000001</v>
      </c>
      <c r="D637" s="5">
        <v>292.5138</v>
      </c>
      <c r="E637" s="5">
        <v>2431325</v>
      </c>
      <c r="F637" s="5" t="s">
        <v>650</v>
      </c>
      <c r="G637" s="9">
        <f t="shared" si="10"/>
        <v>-1.3142285936595055E-2</v>
      </c>
    </row>
    <row r="638" spans="1:7">
      <c r="A638" s="5">
        <v>289.94439999999997</v>
      </c>
      <c r="B638" s="5">
        <v>290.33670000000001</v>
      </c>
      <c r="C638" s="5">
        <v>284.7663</v>
      </c>
      <c r="D638" s="5">
        <v>288.08109999999999</v>
      </c>
      <c r="E638" s="5">
        <v>1088784</v>
      </c>
      <c r="F638" s="5" t="s">
        <v>649</v>
      </c>
      <c r="G638" s="9">
        <f t="shared" si="10"/>
        <v>6.4679703041954362E-3</v>
      </c>
    </row>
    <row r="639" spans="1:7">
      <c r="A639" s="5">
        <v>287.90449999999998</v>
      </c>
      <c r="B639" s="5">
        <v>294.22019999999998</v>
      </c>
      <c r="C639" s="5">
        <v>285.37920000000003</v>
      </c>
      <c r="D639" s="5">
        <v>291.5822</v>
      </c>
      <c r="E639" s="5">
        <v>2735993</v>
      </c>
      <c r="F639" s="5" t="s">
        <v>648</v>
      </c>
      <c r="G639" s="9">
        <f t="shared" si="10"/>
        <v>-1.2612909841547282E-2</v>
      </c>
    </row>
    <row r="640" spans="1:7">
      <c r="A640" s="5">
        <v>276.30279999999999</v>
      </c>
      <c r="B640" s="5">
        <v>277.49930000000001</v>
      </c>
      <c r="C640" s="5">
        <v>273.6746</v>
      </c>
      <c r="D640" s="5">
        <v>274.59640000000002</v>
      </c>
      <c r="E640" s="5">
        <v>983902</v>
      </c>
      <c r="F640" s="5" t="s">
        <v>647</v>
      </c>
      <c r="G640" s="9">
        <f t="shared" si="10"/>
        <v>6.2142111112890586E-3</v>
      </c>
    </row>
    <row r="641" spans="1:7">
      <c r="A641" s="5">
        <v>274.51799999999997</v>
      </c>
      <c r="B641" s="5">
        <v>275.0181</v>
      </c>
      <c r="C641" s="5">
        <v>271.21300000000002</v>
      </c>
      <c r="D641" s="5">
        <v>274.58659999999998</v>
      </c>
      <c r="E641" s="5">
        <v>851086</v>
      </c>
      <c r="F641" s="5" t="s">
        <v>646</v>
      </c>
      <c r="G641" s="9">
        <f t="shared" si="10"/>
        <v>-2.4983010824275453E-4</v>
      </c>
    </row>
    <row r="642" spans="1:7">
      <c r="A642" s="5">
        <v>275.22410000000002</v>
      </c>
      <c r="B642" s="5">
        <v>275.48880000000003</v>
      </c>
      <c r="C642" s="5">
        <v>270.01650000000001</v>
      </c>
      <c r="D642" s="5">
        <v>271.42869999999999</v>
      </c>
      <c r="E642" s="5">
        <v>1135409</v>
      </c>
      <c r="F642" s="5" t="s">
        <v>645</v>
      </c>
      <c r="G642" s="9">
        <f t="shared" si="10"/>
        <v>1.3983046008031019E-2</v>
      </c>
    </row>
    <row r="643" spans="1:7">
      <c r="A643" s="5">
        <v>271.42869999999999</v>
      </c>
      <c r="B643" s="5">
        <v>273.57650000000001</v>
      </c>
      <c r="C643" s="5">
        <v>270.40879999999999</v>
      </c>
      <c r="D643" s="5">
        <v>272.63499999999999</v>
      </c>
      <c r="E643" s="5">
        <v>963791</v>
      </c>
      <c r="F643" s="5" t="s">
        <v>644</v>
      </c>
      <c r="G643" s="9">
        <f t="shared" si="10"/>
        <v>-4.4245969886478331E-3</v>
      </c>
    </row>
    <row r="644" spans="1:7">
      <c r="A644" s="5">
        <v>272.60559999999998</v>
      </c>
      <c r="B644" s="5">
        <v>273.43430000000001</v>
      </c>
      <c r="C644" s="5">
        <v>268.8005</v>
      </c>
      <c r="D644" s="5">
        <v>271.27179999999998</v>
      </c>
      <c r="E644" s="5">
        <v>1187042</v>
      </c>
      <c r="F644" s="5" t="s">
        <v>643</v>
      </c>
      <c r="G644" s="9">
        <f t="shared" si="10"/>
        <v>4.9168398631924681E-3</v>
      </c>
    </row>
    <row r="645" spans="1:7">
      <c r="A645" s="5">
        <v>271.21300000000002</v>
      </c>
      <c r="B645" s="5">
        <v>274.01780000000002</v>
      </c>
      <c r="C645" s="5">
        <v>267.23129999999998</v>
      </c>
      <c r="D645" s="5">
        <v>273.4196</v>
      </c>
      <c r="E645" s="5">
        <v>1036220</v>
      </c>
      <c r="F645" s="5" t="s">
        <v>642</v>
      </c>
      <c r="G645" s="9">
        <f t="shared" si="10"/>
        <v>-8.0703797386872944E-3</v>
      </c>
    </row>
    <row r="646" spans="1:7">
      <c r="A646" s="5">
        <v>272.5958</v>
      </c>
      <c r="B646" s="5">
        <v>274.6651</v>
      </c>
      <c r="C646" s="5">
        <v>271.75240000000002</v>
      </c>
      <c r="D646" s="5">
        <v>274.6651</v>
      </c>
      <c r="E646" s="5">
        <v>858913</v>
      </c>
      <c r="F646" s="5" t="s">
        <v>641</v>
      </c>
      <c r="G646" s="9">
        <f t="shared" si="10"/>
        <v>-7.5339021958013008E-3</v>
      </c>
    </row>
    <row r="647" spans="1:7">
      <c r="A647" s="5">
        <v>272.92919999999998</v>
      </c>
      <c r="B647" s="5">
        <v>274.97890000000001</v>
      </c>
      <c r="C647" s="5">
        <v>271.98770000000002</v>
      </c>
      <c r="D647" s="5">
        <v>273.53730000000002</v>
      </c>
      <c r="E647" s="5">
        <v>1411105</v>
      </c>
      <c r="F647" s="5" t="s">
        <v>640</v>
      </c>
      <c r="G647" s="9">
        <f t="shared" si="10"/>
        <v>-2.223097179068545E-3</v>
      </c>
    </row>
    <row r="648" spans="1:7">
      <c r="A648" s="5">
        <v>273.19400000000002</v>
      </c>
      <c r="B648" s="5">
        <v>274.16489999999999</v>
      </c>
      <c r="C648" s="5">
        <v>268.21199999999999</v>
      </c>
      <c r="D648" s="5">
        <v>269.83999999999997</v>
      </c>
      <c r="E648" s="5">
        <v>1178890</v>
      </c>
      <c r="F648" s="5" t="s">
        <v>639</v>
      </c>
      <c r="G648" s="9">
        <f t="shared" si="10"/>
        <v>1.2429587903943329E-2</v>
      </c>
    </row>
    <row r="649" spans="1:7">
      <c r="A649" s="5">
        <v>270.26170000000002</v>
      </c>
      <c r="B649" s="5">
        <v>270.50689999999997</v>
      </c>
      <c r="C649" s="5">
        <v>263.86750000000001</v>
      </c>
      <c r="D649" s="5">
        <v>264.61290000000002</v>
      </c>
      <c r="E649" s="5">
        <v>2669302</v>
      </c>
      <c r="F649" s="5" t="s">
        <v>638</v>
      </c>
      <c r="G649" s="9">
        <f t="shared" si="10"/>
        <v>2.1347409744574053E-2</v>
      </c>
    </row>
    <row r="650" spans="1:7">
      <c r="A650" s="5">
        <v>266.25060000000002</v>
      </c>
      <c r="B650" s="5">
        <v>270.00670000000002</v>
      </c>
      <c r="C650" s="5">
        <v>265.4563</v>
      </c>
      <c r="D650" s="5">
        <v>265.75049999999999</v>
      </c>
      <c r="E650" s="5">
        <v>1365798</v>
      </c>
      <c r="F650" s="5" t="s">
        <v>637</v>
      </c>
      <c r="G650" s="9">
        <f t="shared" si="10"/>
        <v>1.8818402975724347E-3</v>
      </c>
    </row>
    <row r="651" spans="1:7">
      <c r="A651" s="5">
        <v>267.31959999999998</v>
      </c>
      <c r="B651" s="5">
        <v>270.5265</v>
      </c>
      <c r="C651" s="5">
        <v>266.09370000000001</v>
      </c>
      <c r="D651" s="5">
        <v>267.81979999999999</v>
      </c>
      <c r="E651" s="5">
        <v>1091667</v>
      </c>
      <c r="F651" s="5" t="s">
        <v>636</v>
      </c>
      <c r="G651" s="9">
        <f t="shared" si="10"/>
        <v>-1.8676737119510678E-3</v>
      </c>
    </row>
    <row r="652" spans="1:7">
      <c r="A652" s="5">
        <v>267.1431</v>
      </c>
      <c r="B652" s="5">
        <v>268.82990000000001</v>
      </c>
      <c r="C652" s="5">
        <v>262.5926</v>
      </c>
      <c r="D652" s="5">
        <v>267.7903</v>
      </c>
      <c r="E652" s="5">
        <v>1159150</v>
      </c>
      <c r="F652" s="5" t="s">
        <v>635</v>
      </c>
      <c r="G652" s="9">
        <f t="shared" si="10"/>
        <v>-2.4168164418203464E-3</v>
      </c>
    </row>
    <row r="653" spans="1:7">
      <c r="A653" s="5">
        <v>267.3</v>
      </c>
      <c r="B653" s="5">
        <v>269.83019999999999</v>
      </c>
      <c r="C653" s="5">
        <v>264.99529999999999</v>
      </c>
      <c r="D653" s="5">
        <v>267.73149999999998</v>
      </c>
      <c r="E653" s="5">
        <v>1181821</v>
      </c>
      <c r="F653" s="5" t="s">
        <v>634</v>
      </c>
      <c r="G653" s="9">
        <f t="shared" si="10"/>
        <v>-1.6116893230716522E-3</v>
      </c>
    </row>
    <row r="654" spans="1:7">
      <c r="A654" s="5">
        <v>268.8691</v>
      </c>
      <c r="B654" s="5">
        <v>279.79410000000001</v>
      </c>
      <c r="C654" s="5">
        <v>266.81939999999997</v>
      </c>
      <c r="D654" s="5">
        <v>278.86250000000001</v>
      </c>
      <c r="E654" s="5">
        <v>2163276</v>
      </c>
      <c r="F654" s="5" t="s">
        <v>633</v>
      </c>
      <c r="G654" s="9">
        <f t="shared" si="10"/>
        <v>-3.5836299251423176E-2</v>
      </c>
    </row>
    <row r="655" spans="1:7">
      <c r="A655" s="5">
        <v>280.64729999999997</v>
      </c>
      <c r="B655" s="5">
        <v>285.99220000000003</v>
      </c>
      <c r="C655" s="5">
        <v>280.19619999999998</v>
      </c>
      <c r="D655" s="5">
        <v>281.03960000000001</v>
      </c>
      <c r="E655" s="5">
        <v>1189792</v>
      </c>
      <c r="F655" s="5" t="s">
        <v>632</v>
      </c>
      <c r="G655" s="9">
        <f t="shared" si="10"/>
        <v>-1.395888693266123E-3</v>
      </c>
    </row>
    <row r="656" spans="1:7">
      <c r="A656" s="5">
        <v>279.86279999999999</v>
      </c>
      <c r="B656" s="5">
        <v>283.56979999999999</v>
      </c>
      <c r="C656" s="5">
        <v>278.7056</v>
      </c>
      <c r="D656" s="5">
        <v>280.48059999999998</v>
      </c>
      <c r="E656" s="5">
        <v>1036803</v>
      </c>
      <c r="F656" s="5" t="s">
        <v>631</v>
      </c>
      <c r="G656" s="9">
        <f t="shared" si="10"/>
        <v>-2.2026478836681962E-3</v>
      </c>
    </row>
    <row r="657" spans="1:7">
      <c r="A657" s="5">
        <v>279.75490000000002</v>
      </c>
      <c r="B657" s="5">
        <v>280.81400000000002</v>
      </c>
      <c r="C657" s="5">
        <v>277.31790000000001</v>
      </c>
      <c r="D657" s="5">
        <v>278.51920000000001</v>
      </c>
      <c r="E657" s="5">
        <v>1117537</v>
      </c>
      <c r="F657" s="5" t="s">
        <v>630</v>
      </c>
      <c r="G657" s="9">
        <f t="shared" si="10"/>
        <v>4.4366779740858675E-3</v>
      </c>
    </row>
    <row r="658" spans="1:7">
      <c r="A658" s="5">
        <v>278.49959999999999</v>
      </c>
      <c r="B658" s="5">
        <v>282.40280000000001</v>
      </c>
      <c r="C658" s="5">
        <v>276.28809999999999</v>
      </c>
      <c r="D658" s="5">
        <v>281.73590000000002</v>
      </c>
      <c r="E658" s="5">
        <v>1013925</v>
      </c>
      <c r="F658" s="5" t="s">
        <v>629</v>
      </c>
      <c r="G658" s="9">
        <f t="shared" si="10"/>
        <v>-1.1486998994448494E-2</v>
      </c>
    </row>
    <row r="659" spans="1:7">
      <c r="A659" s="5">
        <v>280.42180000000002</v>
      </c>
      <c r="B659" s="5">
        <v>283.22269999999997</v>
      </c>
      <c r="C659" s="5">
        <v>279.68630000000002</v>
      </c>
      <c r="D659" s="5">
        <v>282.53030000000001</v>
      </c>
      <c r="E659" s="5">
        <v>974459</v>
      </c>
      <c r="F659" s="5" t="s">
        <v>628</v>
      </c>
      <c r="G659" s="9">
        <f t="shared" si="10"/>
        <v>-7.4629163668462617E-3</v>
      </c>
    </row>
    <row r="660" spans="1:7">
      <c r="A660" s="5">
        <v>283.34429999999998</v>
      </c>
      <c r="B660" s="5">
        <v>284.88080000000002</v>
      </c>
      <c r="C660" s="5">
        <v>280.108</v>
      </c>
      <c r="D660" s="5">
        <v>280.108</v>
      </c>
      <c r="E660" s="5">
        <v>1128386</v>
      </c>
      <c r="F660" s="5" t="s">
        <v>627</v>
      </c>
      <c r="G660" s="9">
        <f t="shared" si="10"/>
        <v>1.1553757836263001E-2</v>
      </c>
    </row>
    <row r="661" spans="1:7">
      <c r="A661" s="5">
        <v>279.96080000000001</v>
      </c>
      <c r="B661" s="5">
        <v>280.94150000000002</v>
      </c>
      <c r="C661" s="5">
        <v>277.2835</v>
      </c>
      <c r="D661" s="5">
        <v>280.0883</v>
      </c>
      <c r="E661" s="5">
        <v>738509</v>
      </c>
      <c r="F661" s="5" t="s">
        <v>626</v>
      </c>
      <c r="G661" s="9">
        <f t="shared" si="10"/>
        <v>-4.5521358800060252E-4</v>
      </c>
    </row>
    <row r="662" spans="1:7">
      <c r="A662" s="5">
        <v>279.61759999999998</v>
      </c>
      <c r="B662" s="5">
        <v>283.18740000000003</v>
      </c>
      <c r="C662" s="5">
        <v>278.83300000000003</v>
      </c>
      <c r="D662" s="5">
        <v>279.23509999999999</v>
      </c>
      <c r="E662" s="5">
        <v>1152494</v>
      </c>
      <c r="F662" s="5" t="s">
        <v>625</v>
      </c>
      <c r="G662" s="9">
        <f t="shared" si="10"/>
        <v>1.3698134654274163E-3</v>
      </c>
    </row>
    <row r="663" spans="1:7">
      <c r="A663" s="5">
        <v>280.0883</v>
      </c>
      <c r="B663" s="5">
        <v>280.93169999999998</v>
      </c>
      <c r="C663" s="5">
        <v>276.98930000000001</v>
      </c>
      <c r="D663" s="5">
        <v>279.8922</v>
      </c>
      <c r="E663" s="5">
        <v>902413</v>
      </c>
      <c r="F663" s="5" t="s">
        <v>624</v>
      </c>
      <c r="G663" s="9">
        <f t="shared" si="10"/>
        <v>7.0062688420757802E-4</v>
      </c>
    </row>
    <row r="664" spans="1:7">
      <c r="A664" s="5">
        <v>278.17599999999999</v>
      </c>
      <c r="B664" s="5">
        <v>283.06970000000001</v>
      </c>
      <c r="C664" s="5">
        <v>278.08769999999998</v>
      </c>
      <c r="D664" s="5">
        <v>282.52050000000003</v>
      </c>
      <c r="E664" s="5">
        <v>782438</v>
      </c>
      <c r="F664" s="5" t="s">
        <v>623</v>
      </c>
      <c r="G664" s="9">
        <f t="shared" si="10"/>
        <v>-1.537764516203266E-2</v>
      </c>
    </row>
    <row r="665" spans="1:7">
      <c r="A665" s="5">
        <v>282.70679999999999</v>
      </c>
      <c r="B665" s="5">
        <v>282.96179999999998</v>
      </c>
      <c r="C665" s="5">
        <v>277.15600000000001</v>
      </c>
      <c r="D665" s="5">
        <v>277.73469999999998</v>
      </c>
      <c r="E665" s="5">
        <v>758205</v>
      </c>
      <c r="F665" s="5" t="s">
        <v>622</v>
      </c>
      <c r="G665" s="9">
        <f t="shared" si="10"/>
        <v>1.7902336294312482E-2</v>
      </c>
    </row>
    <row r="666" spans="1:7">
      <c r="A666" s="5">
        <v>279.21550000000002</v>
      </c>
      <c r="B666" s="5">
        <v>281.43680000000001</v>
      </c>
      <c r="C666" s="5">
        <v>277.17570000000001</v>
      </c>
      <c r="D666" s="5">
        <v>280.12759999999997</v>
      </c>
      <c r="E666" s="5">
        <v>1501121</v>
      </c>
      <c r="F666" s="5" t="s">
        <v>621</v>
      </c>
      <c r="G666" s="9">
        <f t="shared" si="10"/>
        <v>-3.256016186908961E-3</v>
      </c>
    </row>
    <row r="667" spans="1:7">
      <c r="A667" s="5">
        <v>279.13709999999998</v>
      </c>
      <c r="B667" s="5">
        <v>281.0788</v>
      </c>
      <c r="C667" s="5">
        <v>276.47449999999998</v>
      </c>
      <c r="D667" s="5">
        <v>279.04880000000003</v>
      </c>
      <c r="E667" s="5">
        <v>1258051</v>
      </c>
      <c r="F667" s="5" t="s">
        <v>620</v>
      </c>
      <c r="G667" s="9">
        <f t="shared" si="10"/>
        <v>3.1643210793208532E-4</v>
      </c>
    </row>
    <row r="668" spans="1:7">
      <c r="A668" s="5">
        <v>281.59859999999998</v>
      </c>
      <c r="B668" s="5">
        <v>290.65050000000002</v>
      </c>
      <c r="C668" s="5">
        <v>281.02</v>
      </c>
      <c r="D668" s="5">
        <v>290.1798</v>
      </c>
      <c r="E668" s="5">
        <v>1851074</v>
      </c>
      <c r="F668" s="5" t="s">
        <v>619</v>
      </c>
      <c r="G668" s="9">
        <f t="shared" si="10"/>
        <v>-2.9572010181273867E-2</v>
      </c>
    </row>
    <row r="669" spans="1:7">
      <c r="A669" s="5">
        <v>288.21839999999997</v>
      </c>
      <c r="B669" s="5">
        <v>293.54360000000003</v>
      </c>
      <c r="C669" s="5">
        <v>278.83300000000003</v>
      </c>
      <c r="D669" s="5">
        <v>281.14749999999998</v>
      </c>
      <c r="E669" s="5">
        <v>2936954</v>
      </c>
      <c r="F669" s="5" t="s">
        <v>618</v>
      </c>
      <c r="G669" s="9">
        <f t="shared" si="10"/>
        <v>2.5150143607892694E-2</v>
      </c>
    </row>
    <row r="670" spans="1:7">
      <c r="A670" s="5">
        <v>294.1026</v>
      </c>
      <c r="B670" s="5">
        <v>295.64229999999998</v>
      </c>
      <c r="C670" s="5">
        <v>292.89690000000002</v>
      </c>
      <c r="D670" s="5">
        <v>293.81819999999999</v>
      </c>
      <c r="E670" s="5">
        <v>2422714</v>
      </c>
      <c r="F670" s="5" t="s">
        <v>617</v>
      </c>
      <c r="G670" s="9">
        <f t="shared" si="10"/>
        <v>9.6794548465695129E-4</v>
      </c>
    </row>
    <row r="671" spans="1:7">
      <c r="A671" s="5">
        <v>293.86720000000003</v>
      </c>
      <c r="B671" s="5">
        <v>294.09280000000001</v>
      </c>
      <c r="C671" s="5">
        <v>290.96429999999998</v>
      </c>
      <c r="D671" s="5">
        <v>291.41539999999998</v>
      </c>
      <c r="E671" s="5">
        <v>1337774</v>
      </c>
      <c r="F671" s="5" t="s">
        <v>616</v>
      </c>
      <c r="G671" s="9">
        <f t="shared" si="10"/>
        <v>8.4134194692526698E-3</v>
      </c>
    </row>
    <row r="672" spans="1:7">
      <c r="A672" s="5">
        <v>292.46480000000003</v>
      </c>
      <c r="B672" s="5">
        <v>294.19080000000002</v>
      </c>
      <c r="C672" s="5">
        <v>288.65969999999999</v>
      </c>
      <c r="D672" s="5">
        <v>293.0924</v>
      </c>
      <c r="E672" s="5">
        <v>1230538</v>
      </c>
      <c r="F672" s="5" t="s">
        <v>615</v>
      </c>
      <c r="G672" s="9">
        <f t="shared" si="10"/>
        <v>-2.141304243985731E-3</v>
      </c>
    </row>
    <row r="673" spans="1:7">
      <c r="A673" s="5">
        <v>293.03359999999998</v>
      </c>
      <c r="B673" s="5">
        <v>294.28890000000001</v>
      </c>
      <c r="C673" s="5">
        <v>291.5625</v>
      </c>
      <c r="D673" s="5">
        <v>293.71030000000002</v>
      </c>
      <c r="E673" s="5">
        <v>848072</v>
      </c>
      <c r="F673" s="5" t="s">
        <v>614</v>
      </c>
      <c r="G673" s="9">
        <f t="shared" si="10"/>
        <v>-2.3039709536916142E-3</v>
      </c>
    </row>
    <row r="674" spans="1:7">
      <c r="A674" s="5">
        <v>293.71030000000002</v>
      </c>
      <c r="B674" s="5">
        <v>297.5154</v>
      </c>
      <c r="C674" s="5">
        <v>292.7688</v>
      </c>
      <c r="D674" s="5">
        <v>295.53440000000001</v>
      </c>
      <c r="E674" s="5">
        <v>1059001</v>
      </c>
      <c r="F674" s="5" t="s">
        <v>613</v>
      </c>
      <c r="G674" s="9">
        <f t="shared" si="10"/>
        <v>-6.1722087174961304E-3</v>
      </c>
    </row>
    <row r="675" spans="1:7">
      <c r="A675" s="5">
        <v>296.21109999999999</v>
      </c>
      <c r="B675" s="5">
        <v>299.5455</v>
      </c>
      <c r="C675" s="5">
        <v>295.3186</v>
      </c>
      <c r="D675" s="5">
        <v>299.09429999999998</v>
      </c>
      <c r="E675" s="5">
        <v>1393609</v>
      </c>
      <c r="F675" s="5" t="s">
        <v>612</v>
      </c>
      <c r="G675" s="9">
        <f t="shared" si="10"/>
        <v>-9.639769129669129E-3</v>
      </c>
    </row>
    <row r="676" spans="1:7">
      <c r="A676" s="5">
        <v>297.68209999999999</v>
      </c>
      <c r="B676" s="5">
        <v>300.6438</v>
      </c>
      <c r="C676" s="5">
        <v>296.07380000000001</v>
      </c>
      <c r="D676" s="5">
        <v>298.78050000000002</v>
      </c>
      <c r="E676" s="5">
        <v>1465988</v>
      </c>
      <c r="F676" s="5" t="s">
        <v>611</v>
      </c>
      <c r="G676" s="9">
        <f t="shared" si="10"/>
        <v>-3.6762774009683197E-3</v>
      </c>
    </row>
    <row r="677" spans="1:7">
      <c r="A677" s="5">
        <v>296.26990000000001</v>
      </c>
      <c r="B677" s="5">
        <v>296.34840000000003</v>
      </c>
      <c r="C677" s="5">
        <v>291.37619999999998</v>
      </c>
      <c r="D677" s="5">
        <v>292.88650000000001</v>
      </c>
      <c r="E677" s="5">
        <v>1336245</v>
      </c>
      <c r="F677" s="5" t="s">
        <v>610</v>
      </c>
      <c r="G677" s="9">
        <f t="shared" si="10"/>
        <v>1.1551915161675197E-2</v>
      </c>
    </row>
    <row r="678" spans="1:7">
      <c r="A678" s="5">
        <v>293.53379999999999</v>
      </c>
      <c r="B678" s="5">
        <v>296.3974</v>
      </c>
      <c r="C678" s="5">
        <v>285.98239999999998</v>
      </c>
      <c r="D678" s="5">
        <v>286.67869999999999</v>
      </c>
      <c r="E678" s="5">
        <v>2020037</v>
      </c>
      <c r="F678" s="5" t="s">
        <v>609</v>
      </c>
      <c r="G678" s="9">
        <f t="shared" si="10"/>
        <v>2.3912135781277044E-2</v>
      </c>
    </row>
    <row r="679" spans="1:7">
      <c r="A679" s="5">
        <v>285.3057</v>
      </c>
      <c r="B679" s="5">
        <v>288.85579999999999</v>
      </c>
      <c r="C679" s="5">
        <v>284.43279999999999</v>
      </c>
      <c r="D679" s="5">
        <v>288.82639999999998</v>
      </c>
      <c r="E679" s="5">
        <v>1076204</v>
      </c>
      <c r="F679" s="5" t="s">
        <v>608</v>
      </c>
      <c r="G679" s="9">
        <f t="shared" ref="G679:G742" si="11">A679/D679-1</f>
        <v>-1.2189675182046944E-2</v>
      </c>
    </row>
    <row r="680" spans="1:7">
      <c r="A680" s="5">
        <v>287.12979999999999</v>
      </c>
      <c r="B680" s="5">
        <v>287.46809999999999</v>
      </c>
      <c r="C680" s="5">
        <v>284.49169999999998</v>
      </c>
      <c r="D680" s="5">
        <v>286.38440000000003</v>
      </c>
      <c r="E680" s="5">
        <v>841697</v>
      </c>
      <c r="F680" s="5" t="s">
        <v>607</v>
      </c>
      <c r="G680" s="9">
        <f t="shared" si="11"/>
        <v>2.6027954036600409E-3</v>
      </c>
    </row>
    <row r="681" spans="1:7">
      <c r="A681" s="5">
        <v>286.12950000000001</v>
      </c>
      <c r="B681" s="5">
        <v>286.45310000000001</v>
      </c>
      <c r="C681" s="5">
        <v>284.68779999999998</v>
      </c>
      <c r="D681" s="5">
        <v>285.63909999999998</v>
      </c>
      <c r="E681" s="5">
        <v>1235241</v>
      </c>
      <c r="F681" s="5" t="s">
        <v>606</v>
      </c>
      <c r="G681" s="9">
        <f t="shared" si="11"/>
        <v>1.7168517895485014E-3</v>
      </c>
    </row>
    <row r="682" spans="1:7">
      <c r="A682" s="5">
        <v>285.98239999999998</v>
      </c>
      <c r="B682" s="5">
        <v>286.07060000000001</v>
      </c>
      <c r="C682" s="5">
        <v>283.2364</v>
      </c>
      <c r="D682" s="5">
        <v>284.98200000000003</v>
      </c>
      <c r="E682" s="5">
        <v>920096</v>
      </c>
      <c r="F682" s="5" t="s">
        <v>605</v>
      </c>
      <c r="G682" s="9">
        <f t="shared" si="11"/>
        <v>3.5103971478898099E-3</v>
      </c>
    </row>
    <row r="683" spans="1:7">
      <c r="A683" s="5">
        <v>284.50150000000002</v>
      </c>
      <c r="B683" s="5">
        <v>288.39490000000001</v>
      </c>
      <c r="C683" s="5">
        <v>283.93270000000001</v>
      </c>
      <c r="D683" s="5">
        <v>286.87479999999999</v>
      </c>
      <c r="E683" s="5">
        <v>1126702</v>
      </c>
      <c r="F683" s="5" t="s">
        <v>604</v>
      </c>
      <c r="G683" s="9">
        <f t="shared" si="11"/>
        <v>-8.2729469441022996E-3</v>
      </c>
    </row>
    <row r="684" spans="1:7">
      <c r="A684" s="5">
        <v>284.92320000000001</v>
      </c>
      <c r="B684" s="5">
        <v>286.56099999999998</v>
      </c>
      <c r="C684" s="5">
        <v>283.88369999999998</v>
      </c>
      <c r="D684" s="5">
        <v>284.36419999999998</v>
      </c>
      <c r="E684" s="5">
        <v>792928</v>
      </c>
      <c r="F684" s="5" t="s">
        <v>603</v>
      </c>
      <c r="G684" s="9">
        <f t="shared" si="11"/>
        <v>1.9657889424899988E-3</v>
      </c>
    </row>
    <row r="685" spans="1:7">
      <c r="A685" s="5">
        <v>282.67739999999998</v>
      </c>
      <c r="B685" s="5">
        <v>282.75580000000002</v>
      </c>
      <c r="C685" s="5">
        <v>279.04880000000003</v>
      </c>
      <c r="D685" s="5">
        <v>280.53949999999998</v>
      </c>
      <c r="E685" s="5">
        <v>1125529</v>
      </c>
      <c r="F685" s="5" t="s">
        <v>602</v>
      </c>
      <c r="G685" s="9">
        <f t="shared" si="11"/>
        <v>7.6206737375663636E-3</v>
      </c>
    </row>
    <row r="686" spans="1:7">
      <c r="A686" s="5">
        <v>282.12819999999999</v>
      </c>
      <c r="B686" s="5">
        <v>283.19720000000001</v>
      </c>
      <c r="C686" s="5">
        <v>280.71600000000001</v>
      </c>
      <c r="D686" s="5">
        <v>282.51069999999999</v>
      </c>
      <c r="E686" s="5">
        <v>1113434</v>
      </c>
      <c r="F686" s="5" t="s">
        <v>601</v>
      </c>
      <c r="G686" s="9">
        <f t="shared" si="11"/>
        <v>-1.3539310192498544E-3</v>
      </c>
    </row>
    <row r="687" spans="1:7">
      <c r="A687" s="5">
        <v>282.47140000000002</v>
      </c>
      <c r="B687" s="5">
        <v>284.30540000000002</v>
      </c>
      <c r="C687" s="5">
        <v>281.25049999999999</v>
      </c>
      <c r="D687" s="5">
        <v>281.70650000000001</v>
      </c>
      <c r="E687" s="5">
        <v>1317759</v>
      </c>
      <c r="F687" s="5" t="s">
        <v>600</v>
      </c>
      <c r="G687" s="9">
        <f t="shared" si="11"/>
        <v>2.715237312593155E-3</v>
      </c>
    </row>
    <row r="688" spans="1:7">
      <c r="A688" s="5">
        <v>281.55939999999998</v>
      </c>
      <c r="B688" s="5">
        <v>284.52109999999999</v>
      </c>
      <c r="C688" s="5">
        <v>279.8922</v>
      </c>
      <c r="D688" s="5">
        <v>282.72640000000001</v>
      </c>
      <c r="E688" s="5">
        <v>1132749</v>
      </c>
      <c r="F688" s="5" t="s">
        <v>599</v>
      </c>
      <c r="G688" s="9">
        <f t="shared" si="11"/>
        <v>-4.1276654744658581E-3</v>
      </c>
    </row>
    <row r="689" spans="1:7">
      <c r="A689" s="5">
        <v>282.01049999999998</v>
      </c>
      <c r="B689" s="5">
        <v>282.58909999999997</v>
      </c>
      <c r="C689" s="5">
        <v>274.7337</v>
      </c>
      <c r="D689" s="5">
        <v>278.86250000000001</v>
      </c>
      <c r="E689" s="5">
        <v>1247816</v>
      </c>
      <c r="F689" s="5" t="s">
        <v>598</v>
      </c>
      <c r="G689" s="9">
        <f t="shared" si="11"/>
        <v>1.1288717557936145E-2</v>
      </c>
    </row>
    <row r="690" spans="1:7">
      <c r="A690" s="5">
        <v>279.96080000000001</v>
      </c>
      <c r="B690" s="5">
        <v>280.16680000000002</v>
      </c>
      <c r="C690" s="5">
        <v>275.50850000000003</v>
      </c>
      <c r="D690" s="5">
        <v>277.16579999999999</v>
      </c>
      <c r="E690" s="5">
        <v>1881350</v>
      </c>
      <c r="F690" s="5" t="s">
        <v>597</v>
      </c>
      <c r="G690" s="9">
        <f t="shared" si="11"/>
        <v>1.0084216739583374E-2</v>
      </c>
    </row>
    <row r="691" spans="1:7">
      <c r="A691" s="5">
        <v>275.29270000000002</v>
      </c>
      <c r="B691" s="5">
        <v>275.47899999999998</v>
      </c>
      <c r="C691" s="5">
        <v>273.35090000000002</v>
      </c>
      <c r="D691" s="5">
        <v>275.02789999999999</v>
      </c>
      <c r="E691" s="5">
        <v>887007</v>
      </c>
      <c r="F691" s="5" t="s">
        <v>596</v>
      </c>
      <c r="G691" s="9">
        <f t="shared" si="11"/>
        <v>9.6281140931542275E-4</v>
      </c>
    </row>
    <row r="692" spans="1:7">
      <c r="A692" s="5">
        <v>272.90960000000001</v>
      </c>
      <c r="B692" s="5">
        <v>273.66269999999997</v>
      </c>
      <c r="C692" s="5">
        <v>271.18819999999999</v>
      </c>
      <c r="D692" s="5">
        <v>272.08800000000002</v>
      </c>
      <c r="E692" s="5">
        <v>1122468</v>
      </c>
      <c r="F692" s="5" t="s">
        <v>595</v>
      </c>
      <c r="G692" s="9">
        <f t="shared" si="11"/>
        <v>3.019611302225611E-3</v>
      </c>
    </row>
    <row r="693" spans="1:7">
      <c r="A693" s="5">
        <v>271.32510000000002</v>
      </c>
      <c r="B693" s="5">
        <v>273.9855</v>
      </c>
      <c r="C693" s="5">
        <v>270.19060000000002</v>
      </c>
      <c r="D693" s="5">
        <v>271.14909999999998</v>
      </c>
      <c r="E693" s="5">
        <v>824574</v>
      </c>
      <c r="F693" s="5" t="s">
        <v>594</v>
      </c>
      <c r="G693" s="9">
        <f t="shared" si="11"/>
        <v>6.4908937555041568E-4</v>
      </c>
    </row>
    <row r="694" spans="1:7">
      <c r="A694" s="5">
        <v>272.00979999999998</v>
      </c>
      <c r="B694" s="5">
        <v>274.16149999999999</v>
      </c>
      <c r="C694" s="5">
        <v>270.62090000000001</v>
      </c>
      <c r="D694" s="5">
        <v>273.06610000000001</v>
      </c>
      <c r="E694" s="5">
        <v>861363</v>
      </c>
      <c r="F694" s="5" t="s">
        <v>593</v>
      </c>
      <c r="G694" s="9">
        <f t="shared" si="11"/>
        <v>-3.8682941602784515E-3</v>
      </c>
    </row>
    <row r="695" spans="1:7">
      <c r="A695" s="5">
        <v>270.62090000000001</v>
      </c>
      <c r="B695" s="5">
        <v>271.07080000000002</v>
      </c>
      <c r="C695" s="5">
        <v>266.74779999999998</v>
      </c>
      <c r="D695" s="5">
        <v>268.13659999999999</v>
      </c>
      <c r="E695" s="5">
        <v>854028</v>
      </c>
      <c r="F695" s="5" t="s">
        <v>592</v>
      </c>
      <c r="G695" s="9">
        <f t="shared" si="11"/>
        <v>9.2650537076996997E-3</v>
      </c>
    </row>
    <row r="696" spans="1:7">
      <c r="A696" s="5">
        <v>268.2638</v>
      </c>
      <c r="B696" s="5">
        <v>271.56970000000001</v>
      </c>
      <c r="C696" s="5">
        <v>265.85660000000001</v>
      </c>
      <c r="D696" s="5">
        <v>267.13900000000001</v>
      </c>
      <c r="E696" s="5">
        <v>826348</v>
      </c>
      <c r="F696" s="5" t="s">
        <v>591</v>
      </c>
      <c r="G696" s="9">
        <f t="shared" si="11"/>
        <v>4.2105420773455027E-3</v>
      </c>
    </row>
    <row r="697" spans="1:7">
      <c r="A697" s="5">
        <v>266.36630000000002</v>
      </c>
      <c r="B697" s="5">
        <v>274.36689999999999</v>
      </c>
      <c r="C697" s="5">
        <v>266.18049999999999</v>
      </c>
      <c r="D697" s="5">
        <v>271.92180000000002</v>
      </c>
      <c r="E697" s="5">
        <v>1453742</v>
      </c>
      <c r="F697" s="5" t="s">
        <v>590</v>
      </c>
      <c r="G697" s="9">
        <f t="shared" si="11"/>
        <v>-2.0430506123451653E-2</v>
      </c>
    </row>
    <row r="698" spans="1:7">
      <c r="A698" s="5">
        <v>272.01960000000003</v>
      </c>
      <c r="B698" s="5">
        <v>272.60640000000001</v>
      </c>
      <c r="C698" s="5">
        <v>269.35919999999999</v>
      </c>
      <c r="D698" s="5">
        <v>271.20780000000002</v>
      </c>
      <c r="E698" s="5">
        <v>1220447</v>
      </c>
      <c r="F698" s="5" t="s">
        <v>589</v>
      </c>
      <c r="G698" s="9">
        <f t="shared" si="11"/>
        <v>2.9932767420406403E-3</v>
      </c>
    </row>
    <row r="699" spans="1:7">
      <c r="A699" s="5">
        <v>270.75790000000001</v>
      </c>
      <c r="B699" s="5">
        <v>271.53050000000002</v>
      </c>
      <c r="C699" s="5">
        <v>267.92149999999998</v>
      </c>
      <c r="D699" s="5">
        <v>268.25400000000002</v>
      </c>
      <c r="E699" s="5">
        <v>1135409</v>
      </c>
      <c r="F699" s="5" t="s">
        <v>588</v>
      </c>
      <c r="G699" s="9">
        <f t="shared" si="11"/>
        <v>9.3340639841343886E-3</v>
      </c>
    </row>
    <row r="700" spans="1:7">
      <c r="A700" s="5">
        <v>268.4203</v>
      </c>
      <c r="B700" s="5">
        <v>271.40339999999998</v>
      </c>
      <c r="C700" s="5">
        <v>267.9264</v>
      </c>
      <c r="D700" s="5">
        <v>268.7919</v>
      </c>
      <c r="E700" s="5">
        <v>2433415</v>
      </c>
      <c r="F700" s="5" t="s">
        <v>587</v>
      </c>
      <c r="G700" s="9">
        <f t="shared" si="11"/>
        <v>-1.3824821358083828E-3</v>
      </c>
    </row>
    <row r="701" spans="1:7">
      <c r="A701" s="5">
        <v>269.17340000000002</v>
      </c>
      <c r="B701" s="5">
        <v>269.3152</v>
      </c>
      <c r="C701" s="5">
        <v>261.94549999999998</v>
      </c>
      <c r="D701" s="5">
        <v>264.2439</v>
      </c>
      <c r="E701" s="5">
        <v>1092517</v>
      </c>
      <c r="F701" s="5" t="s">
        <v>586</v>
      </c>
      <c r="G701" s="9">
        <f t="shared" si="11"/>
        <v>1.865511370366546E-2</v>
      </c>
    </row>
    <row r="702" spans="1:7">
      <c r="A702" s="5">
        <v>267.0412</v>
      </c>
      <c r="B702" s="5">
        <v>267.27589999999998</v>
      </c>
      <c r="C702" s="5">
        <v>263.43180000000001</v>
      </c>
      <c r="D702" s="5">
        <v>263.5104</v>
      </c>
      <c r="E702" s="5">
        <v>1534982</v>
      </c>
      <c r="F702" s="5" t="s">
        <v>585</v>
      </c>
      <c r="G702" s="9">
        <f t="shared" si="11"/>
        <v>1.3399091648754746E-2</v>
      </c>
    </row>
    <row r="703" spans="1:7">
      <c r="A703" s="5">
        <v>269.6429</v>
      </c>
      <c r="B703" s="5">
        <v>270.30799999999999</v>
      </c>
      <c r="C703" s="5">
        <v>262.65949999999998</v>
      </c>
      <c r="D703" s="5">
        <v>264.71339999999998</v>
      </c>
      <c r="E703" s="5">
        <v>2193289</v>
      </c>
      <c r="F703" s="5" t="s">
        <v>584</v>
      </c>
      <c r="G703" s="9">
        <f t="shared" si="11"/>
        <v>1.8622026689997684E-2</v>
      </c>
    </row>
    <row r="704" spans="1:7">
      <c r="A704" s="5">
        <v>260.85980000000001</v>
      </c>
      <c r="B704" s="5">
        <v>264.53739999999999</v>
      </c>
      <c r="C704" s="5">
        <v>255.8913</v>
      </c>
      <c r="D704" s="5">
        <v>255.90100000000001</v>
      </c>
      <c r="E704" s="5">
        <v>1430219</v>
      </c>
      <c r="F704" s="5" t="s">
        <v>583</v>
      </c>
      <c r="G704" s="9">
        <f t="shared" si="11"/>
        <v>1.937780626101504E-2</v>
      </c>
    </row>
    <row r="705" spans="1:7">
      <c r="A705" s="5">
        <v>258.88409999999999</v>
      </c>
      <c r="B705" s="5">
        <v>263.62779999999998</v>
      </c>
      <c r="C705" s="5">
        <v>255.11859999999999</v>
      </c>
      <c r="D705" s="5">
        <v>261.87700000000001</v>
      </c>
      <c r="E705" s="5">
        <v>1610352</v>
      </c>
      <c r="F705" s="5" t="s">
        <v>582</v>
      </c>
      <c r="G705" s="9">
        <f t="shared" si="11"/>
        <v>-1.1428647800303282E-2</v>
      </c>
    </row>
    <row r="706" spans="1:7">
      <c r="A706" s="5">
        <v>262.46390000000002</v>
      </c>
      <c r="B706" s="5">
        <v>267.37860000000001</v>
      </c>
      <c r="C706" s="5">
        <v>260.4588</v>
      </c>
      <c r="D706" s="5">
        <v>261.07499999999999</v>
      </c>
      <c r="E706" s="5">
        <v>1869250</v>
      </c>
      <c r="F706" s="5" t="s">
        <v>581</v>
      </c>
      <c r="G706" s="9">
        <f t="shared" si="11"/>
        <v>5.3199272239778939E-3</v>
      </c>
    </row>
    <row r="707" spans="1:7">
      <c r="A707" s="5">
        <v>259.76440000000002</v>
      </c>
      <c r="B707" s="5">
        <v>260.75709999999998</v>
      </c>
      <c r="C707" s="5">
        <v>257.07470000000001</v>
      </c>
      <c r="D707" s="5">
        <v>257.68110000000001</v>
      </c>
      <c r="E707" s="5">
        <v>677538</v>
      </c>
      <c r="F707" s="5" t="s">
        <v>580</v>
      </c>
      <c r="G707" s="9">
        <f t="shared" si="11"/>
        <v>8.0847993896331349E-3</v>
      </c>
    </row>
    <row r="708" spans="1:7">
      <c r="A708" s="5">
        <v>258.88409999999999</v>
      </c>
      <c r="B708" s="5">
        <v>263.7647</v>
      </c>
      <c r="C708" s="5">
        <v>257.8664</v>
      </c>
      <c r="D708" s="5">
        <v>262.48340000000002</v>
      </c>
      <c r="E708" s="5">
        <v>897769</v>
      </c>
      <c r="F708" s="5" t="s">
        <v>579</v>
      </c>
      <c r="G708" s="9">
        <f t="shared" si="11"/>
        <v>-1.3712486199127349E-2</v>
      </c>
    </row>
    <row r="709" spans="1:7">
      <c r="A709" s="5">
        <v>261.53469999999999</v>
      </c>
      <c r="B709" s="5">
        <v>265.58879999999999</v>
      </c>
      <c r="C709" s="5">
        <v>261.00650000000002</v>
      </c>
      <c r="D709" s="5">
        <v>264.55689999999998</v>
      </c>
      <c r="E709" s="5">
        <v>714800</v>
      </c>
      <c r="F709" s="5" t="s">
        <v>578</v>
      </c>
      <c r="G709" s="9">
        <f t="shared" si="11"/>
        <v>-1.1423629472525509E-2</v>
      </c>
    </row>
    <row r="710" spans="1:7">
      <c r="A710" s="5">
        <v>265.57409999999999</v>
      </c>
      <c r="B710" s="5">
        <v>265.89690000000002</v>
      </c>
      <c r="C710" s="5">
        <v>257.84739999999999</v>
      </c>
      <c r="D710" s="5">
        <v>259.26560000000001</v>
      </c>
      <c r="E710" s="5">
        <v>1383423</v>
      </c>
      <c r="F710" s="5" t="s">
        <v>577</v>
      </c>
      <c r="G710" s="9">
        <f t="shared" si="11"/>
        <v>2.4332190618423732E-2</v>
      </c>
    </row>
    <row r="711" spans="1:7">
      <c r="A711" s="5">
        <v>256.34120000000001</v>
      </c>
      <c r="B711" s="5">
        <v>256.351</v>
      </c>
      <c r="C711" s="5">
        <v>252.00829999999999</v>
      </c>
      <c r="D711" s="5">
        <v>252.32130000000001</v>
      </c>
      <c r="E711" s="5">
        <v>1395119</v>
      </c>
      <c r="F711" s="5" t="s">
        <v>576</v>
      </c>
      <c r="G711" s="9">
        <f t="shared" si="11"/>
        <v>1.5931671246145251E-2</v>
      </c>
    </row>
    <row r="712" spans="1:7">
      <c r="A712" s="5">
        <v>254.26769999999999</v>
      </c>
      <c r="B712" s="5">
        <v>256.87909999999999</v>
      </c>
      <c r="C712" s="5">
        <v>253.8716</v>
      </c>
      <c r="D712" s="5">
        <v>255.8228</v>
      </c>
      <c r="E712" s="5">
        <v>746093</v>
      </c>
      <c r="F712" s="5" t="s">
        <v>575</v>
      </c>
      <c r="G712" s="9">
        <f t="shared" si="11"/>
        <v>-6.0788170561810739E-3</v>
      </c>
    </row>
    <row r="713" spans="1:7">
      <c r="A713" s="5">
        <v>257.11380000000003</v>
      </c>
      <c r="B713" s="5">
        <v>259.27539999999999</v>
      </c>
      <c r="C713" s="5">
        <v>255.99889999999999</v>
      </c>
      <c r="D713" s="5">
        <v>256.6737</v>
      </c>
      <c r="E713" s="5">
        <v>1321740</v>
      </c>
      <c r="F713" s="5" t="s">
        <v>574</v>
      </c>
      <c r="G713" s="9">
        <f t="shared" si="11"/>
        <v>1.7146283394053885E-3</v>
      </c>
    </row>
    <row r="714" spans="1:7">
      <c r="A714" s="5">
        <v>256.8596</v>
      </c>
      <c r="B714" s="5">
        <v>259.51990000000001</v>
      </c>
      <c r="C714" s="5">
        <v>256.214</v>
      </c>
      <c r="D714" s="5">
        <v>258.42450000000002</v>
      </c>
      <c r="E714" s="5">
        <v>787829</v>
      </c>
      <c r="F714" s="5" t="s">
        <v>573</v>
      </c>
      <c r="G714" s="9">
        <f t="shared" si="11"/>
        <v>-6.0555403996138679E-3</v>
      </c>
    </row>
    <row r="715" spans="1:7">
      <c r="A715" s="5">
        <v>256.5564</v>
      </c>
      <c r="B715" s="5">
        <v>256.64440000000002</v>
      </c>
      <c r="C715" s="5">
        <v>251.72470000000001</v>
      </c>
      <c r="D715" s="5">
        <v>253.31899999999999</v>
      </c>
      <c r="E715" s="5">
        <v>1603873</v>
      </c>
      <c r="F715" s="5" t="s">
        <v>572</v>
      </c>
      <c r="G715" s="9">
        <f t="shared" si="11"/>
        <v>1.2779933601506421E-2</v>
      </c>
    </row>
    <row r="716" spans="1:7">
      <c r="A716" s="5">
        <v>257.57350000000002</v>
      </c>
      <c r="B716" s="5">
        <v>259.13839999999999</v>
      </c>
      <c r="C716" s="5">
        <v>255.67609999999999</v>
      </c>
      <c r="D716" s="5">
        <v>256.49770000000001</v>
      </c>
      <c r="E716" s="5">
        <v>1036770</v>
      </c>
      <c r="F716" s="5" t="s">
        <v>571</v>
      </c>
      <c r="G716" s="9">
        <f t="shared" si="11"/>
        <v>4.1941896555017788E-3</v>
      </c>
    </row>
    <row r="717" spans="1:7">
      <c r="A717" s="5">
        <v>255.91079999999999</v>
      </c>
      <c r="B717" s="5">
        <v>257.21170000000001</v>
      </c>
      <c r="C717" s="5">
        <v>254.8545</v>
      </c>
      <c r="D717" s="5">
        <v>255.72499999999999</v>
      </c>
      <c r="E717" s="5">
        <v>1086409</v>
      </c>
      <c r="F717" s="5" t="s">
        <v>570</v>
      </c>
      <c r="G717" s="9">
        <f t="shared" si="11"/>
        <v>7.2656173624019438E-4</v>
      </c>
    </row>
    <row r="718" spans="1:7">
      <c r="A718" s="5">
        <v>255.49029999999999</v>
      </c>
      <c r="B718" s="5">
        <v>257.13339999999999</v>
      </c>
      <c r="C718" s="5">
        <v>254.07210000000001</v>
      </c>
      <c r="D718" s="5">
        <v>255.3631</v>
      </c>
      <c r="E718" s="5">
        <v>1021976</v>
      </c>
      <c r="F718" s="5" t="s">
        <v>569</v>
      </c>
      <c r="G718" s="9">
        <f t="shared" si="11"/>
        <v>4.9811425378210039E-4</v>
      </c>
    </row>
    <row r="719" spans="1:7">
      <c r="A719" s="5">
        <v>257.3877</v>
      </c>
      <c r="B719" s="5">
        <v>257.71050000000002</v>
      </c>
      <c r="C719" s="5">
        <v>254.83500000000001</v>
      </c>
      <c r="D719" s="5">
        <v>255.8032</v>
      </c>
      <c r="E719" s="5">
        <v>851088</v>
      </c>
      <c r="F719" s="5" t="s">
        <v>568</v>
      </c>
      <c r="G719" s="9">
        <f t="shared" si="11"/>
        <v>6.1942149277256497E-3</v>
      </c>
    </row>
    <row r="720" spans="1:7">
      <c r="A720" s="5">
        <v>257.4366</v>
      </c>
      <c r="B720" s="5">
        <v>259.87200000000001</v>
      </c>
      <c r="C720" s="5">
        <v>253.6319</v>
      </c>
      <c r="D720" s="5">
        <v>255.4316</v>
      </c>
      <c r="E720" s="5">
        <v>1009704</v>
      </c>
      <c r="F720" s="5" t="s">
        <v>567</v>
      </c>
      <c r="G720" s="9">
        <f t="shared" si="11"/>
        <v>7.8494595030529357E-3</v>
      </c>
    </row>
    <row r="721" spans="1:7">
      <c r="A721" s="5">
        <v>259.46120000000002</v>
      </c>
      <c r="B721" s="5">
        <v>259.96980000000002</v>
      </c>
      <c r="C721" s="5">
        <v>256.40960000000001</v>
      </c>
      <c r="D721" s="5">
        <v>256.9769</v>
      </c>
      <c r="E721" s="5">
        <v>999357</v>
      </c>
      <c r="F721" s="5" t="s">
        <v>566</v>
      </c>
      <c r="G721" s="9">
        <f t="shared" si="11"/>
        <v>9.6674059030208426E-3</v>
      </c>
    </row>
    <row r="722" spans="1:7">
      <c r="A722" s="5">
        <v>258.85480000000001</v>
      </c>
      <c r="B722" s="5">
        <v>262.93329999999997</v>
      </c>
      <c r="C722" s="5">
        <v>256.83999999999997</v>
      </c>
      <c r="D722" s="5">
        <v>259.76440000000002</v>
      </c>
      <c r="E722" s="5">
        <v>798976</v>
      </c>
      <c r="F722" s="5" t="s">
        <v>565</v>
      </c>
      <c r="G722" s="9">
        <f t="shared" si="11"/>
        <v>-3.5016345580841657E-3</v>
      </c>
    </row>
    <row r="723" spans="1:7">
      <c r="A723" s="5">
        <v>261.13369999999998</v>
      </c>
      <c r="B723" s="5">
        <v>261.58359999999999</v>
      </c>
      <c r="C723" s="5">
        <v>258.33640000000003</v>
      </c>
      <c r="D723" s="5">
        <v>259.34379999999999</v>
      </c>
      <c r="E723" s="5">
        <v>1087607</v>
      </c>
      <c r="F723" s="5" t="s">
        <v>564</v>
      </c>
      <c r="G723" s="9">
        <f t="shared" si="11"/>
        <v>6.9016494707025977E-3</v>
      </c>
    </row>
    <row r="724" spans="1:7">
      <c r="A724" s="5">
        <v>258.54180000000002</v>
      </c>
      <c r="B724" s="5">
        <v>259.07979999999998</v>
      </c>
      <c r="C724" s="5">
        <v>256.0967</v>
      </c>
      <c r="D724" s="5">
        <v>257.78870000000001</v>
      </c>
      <c r="E724" s="5">
        <v>1061069</v>
      </c>
      <c r="F724" s="5" t="s">
        <v>563</v>
      </c>
      <c r="G724" s="9">
        <f t="shared" si="11"/>
        <v>2.9213848395992503E-3</v>
      </c>
    </row>
    <row r="725" spans="1:7">
      <c r="A725" s="5">
        <v>258.56139999999999</v>
      </c>
      <c r="B725" s="5">
        <v>264.02879999999999</v>
      </c>
      <c r="C725" s="5">
        <v>257.46600000000001</v>
      </c>
      <c r="D725" s="5">
        <v>263.68639999999999</v>
      </c>
      <c r="E725" s="5">
        <v>1132063</v>
      </c>
      <c r="F725" s="5" t="s">
        <v>562</v>
      </c>
      <c r="G725" s="9">
        <f t="shared" si="11"/>
        <v>-1.9435966360039858E-2</v>
      </c>
    </row>
    <row r="726" spans="1:7">
      <c r="A726" s="5">
        <v>262.33670000000001</v>
      </c>
      <c r="B726" s="5">
        <v>266.88470000000001</v>
      </c>
      <c r="C726" s="5">
        <v>261.74009999999998</v>
      </c>
      <c r="D726" s="5">
        <v>265.12419999999997</v>
      </c>
      <c r="E726" s="5">
        <v>1368190</v>
      </c>
      <c r="F726" s="5" t="s">
        <v>561</v>
      </c>
      <c r="G726" s="9">
        <f t="shared" si="11"/>
        <v>-1.05139402589427E-2</v>
      </c>
    </row>
    <row r="727" spans="1:7">
      <c r="A727" s="5">
        <v>266.47390000000001</v>
      </c>
      <c r="B727" s="5">
        <v>267.71609999999998</v>
      </c>
      <c r="C727" s="5">
        <v>259.64699999999999</v>
      </c>
      <c r="D727" s="5">
        <v>262.86489999999998</v>
      </c>
      <c r="E727" s="5">
        <v>1851545</v>
      </c>
      <c r="F727" s="5" t="s">
        <v>560</v>
      </c>
      <c r="G727" s="9">
        <f t="shared" si="11"/>
        <v>1.3729486135273472E-2</v>
      </c>
    </row>
    <row r="728" spans="1:7">
      <c r="A728" s="5">
        <v>265.52519999999998</v>
      </c>
      <c r="B728" s="5">
        <v>275.02710000000002</v>
      </c>
      <c r="C728" s="5">
        <v>264.8014</v>
      </c>
      <c r="D728" s="5">
        <v>274.99290000000002</v>
      </c>
      <c r="E728" s="5">
        <v>1790208</v>
      </c>
      <c r="F728" s="5" t="s">
        <v>559</v>
      </c>
      <c r="G728" s="9">
        <f t="shared" si="11"/>
        <v>-3.4428888891313347E-2</v>
      </c>
    </row>
    <row r="729" spans="1:7">
      <c r="A729" s="5">
        <v>276.92950000000002</v>
      </c>
      <c r="B729" s="5">
        <v>277.7706</v>
      </c>
      <c r="C729" s="5">
        <v>273.92680000000001</v>
      </c>
      <c r="D729" s="5">
        <v>274.20069999999998</v>
      </c>
      <c r="E729" s="5">
        <v>1535366</v>
      </c>
      <c r="F729" s="5" t="s">
        <v>558</v>
      </c>
      <c r="G729" s="9">
        <f t="shared" si="11"/>
        <v>9.9518345503859518E-3</v>
      </c>
    </row>
    <row r="730" spans="1:7">
      <c r="A730" s="5">
        <v>276.28390000000002</v>
      </c>
      <c r="B730" s="5">
        <v>276.36219999999997</v>
      </c>
      <c r="C730" s="5">
        <v>269.97539999999998</v>
      </c>
      <c r="D730" s="5">
        <v>270.37639999999999</v>
      </c>
      <c r="E730" s="5">
        <v>2020418</v>
      </c>
      <c r="F730" s="5" t="s">
        <v>557</v>
      </c>
      <c r="G730" s="9">
        <f t="shared" si="11"/>
        <v>2.1849170267819407E-2</v>
      </c>
    </row>
    <row r="731" spans="1:7">
      <c r="A731" s="5">
        <v>272.83139999999997</v>
      </c>
      <c r="B731" s="5">
        <v>274.3082</v>
      </c>
      <c r="C731" s="5">
        <v>261.14350000000002</v>
      </c>
      <c r="D731" s="5">
        <v>263.70600000000002</v>
      </c>
      <c r="E731" s="5">
        <v>4669325</v>
      </c>
      <c r="F731" s="5" t="s">
        <v>556</v>
      </c>
      <c r="G731" s="9">
        <f t="shared" si="11"/>
        <v>3.4604445860162203E-2</v>
      </c>
    </row>
    <row r="732" spans="1:7">
      <c r="A732" s="5">
        <v>248.24279999999999</v>
      </c>
      <c r="B732" s="5">
        <v>248.3895</v>
      </c>
      <c r="C732" s="5">
        <v>243.4992</v>
      </c>
      <c r="D732" s="5">
        <v>243.62629999999999</v>
      </c>
      <c r="E732" s="5">
        <v>1727700</v>
      </c>
      <c r="F732" s="5" t="s">
        <v>555</v>
      </c>
      <c r="G732" s="9">
        <f t="shared" si="11"/>
        <v>1.8949103606630269E-2</v>
      </c>
    </row>
    <row r="733" spans="1:7">
      <c r="A733" s="5">
        <v>244.06649999999999</v>
      </c>
      <c r="B733" s="5">
        <v>248.58510000000001</v>
      </c>
      <c r="C733" s="5">
        <v>243.80240000000001</v>
      </c>
      <c r="D733" s="5">
        <v>246.3356</v>
      </c>
      <c r="E733" s="5">
        <v>1209682</v>
      </c>
      <c r="F733" s="5" t="s">
        <v>554</v>
      </c>
      <c r="G733" s="9">
        <f t="shared" si="11"/>
        <v>-9.2114172697734809E-3</v>
      </c>
    </row>
    <row r="734" spans="1:7">
      <c r="A734" s="5">
        <v>248.5949</v>
      </c>
      <c r="B734" s="5">
        <v>250.29669999999999</v>
      </c>
      <c r="C734" s="5">
        <v>244.03710000000001</v>
      </c>
      <c r="D734" s="5">
        <v>245.91499999999999</v>
      </c>
      <c r="E734" s="5">
        <v>1040957</v>
      </c>
      <c r="F734" s="5" t="s">
        <v>553</v>
      </c>
      <c r="G734" s="9">
        <f t="shared" si="11"/>
        <v>1.0897667893377871E-2</v>
      </c>
    </row>
    <row r="735" spans="1:7">
      <c r="A735" s="5">
        <v>246.87350000000001</v>
      </c>
      <c r="B735" s="5">
        <v>249.16220000000001</v>
      </c>
      <c r="C735" s="5">
        <v>245.3673</v>
      </c>
      <c r="D735" s="5">
        <v>248.61449999999999</v>
      </c>
      <c r="E735" s="5">
        <v>1099045</v>
      </c>
      <c r="F735" s="5" t="s">
        <v>552</v>
      </c>
      <c r="G735" s="9">
        <f t="shared" si="11"/>
        <v>-7.002809570640478E-3</v>
      </c>
    </row>
    <row r="736" spans="1:7">
      <c r="A736" s="5">
        <v>247.40170000000001</v>
      </c>
      <c r="B736" s="5">
        <v>248.42859999999999</v>
      </c>
      <c r="C736" s="5">
        <v>243.83170000000001</v>
      </c>
      <c r="D736" s="5">
        <v>246.17910000000001</v>
      </c>
      <c r="E736" s="5">
        <v>1178597</v>
      </c>
      <c r="F736" s="5" t="s">
        <v>551</v>
      </c>
      <c r="G736" s="9">
        <f t="shared" si="11"/>
        <v>4.9663029883528775E-3</v>
      </c>
    </row>
    <row r="737" spans="1:7">
      <c r="A737" s="5">
        <v>250.14019999999999</v>
      </c>
      <c r="B737" s="5">
        <v>252.94630000000001</v>
      </c>
      <c r="C737" s="5">
        <v>248.24279999999999</v>
      </c>
      <c r="D737" s="5">
        <v>251.9008</v>
      </c>
      <c r="E737" s="5">
        <v>941544</v>
      </c>
      <c r="F737" s="5" t="s">
        <v>550</v>
      </c>
      <c r="G737" s="9">
        <f t="shared" si="11"/>
        <v>-6.9892592639643203E-3</v>
      </c>
    </row>
    <row r="738" spans="1:7">
      <c r="A738" s="5">
        <v>251.84209999999999</v>
      </c>
      <c r="B738" s="5">
        <v>256.928</v>
      </c>
      <c r="C738" s="5">
        <v>250.26740000000001</v>
      </c>
      <c r="D738" s="5">
        <v>250.87379999999999</v>
      </c>
      <c r="E738" s="5">
        <v>1493824</v>
      </c>
      <c r="F738" s="5" t="s">
        <v>549</v>
      </c>
      <c r="G738" s="9">
        <f t="shared" si="11"/>
        <v>3.8597095432046924E-3</v>
      </c>
    </row>
    <row r="739" spans="1:7">
      <c r="A739" s="5">
        <v>250.59989999999999</v>
      </c>
      <c r="B739" s="5">
        <v>250.96180000000001</v>
      </c>
      <c r="C739" s="5">
        <v>246.60939999999999</v>
      </c>
      <c r="D739" s="5">
        <v>249.0839</v>
      </c>
      <c r="E739" s="5">
        <v>1157129</v>
      </c>
      <c r="F739" s="5" t="s">
        <v>548</v>
      </c>
      <c r="G739" s="9">
        <f t="shared" si="11"/>
        <v>6.0863026474211601E-3</v>
      </c>
    </row>
    <row r="740" spans="1:7">
      <c r="A740" s="5">
        <v>247.75380000000001</v>
      </c>
      <c r="B740" s="5">
        <v>248.6438</v>
      </c>
      <c r="C740" s="5">
        <v>243.34270000000001</v>
      </c>
      <c r="D740" s="5">
        <v>244.95650000000001</v>
      </c>
      <c r="E740" s="5">
        <v>1038050</v>
      </c>
      <c r="F740" s="5" t="s">
        <v>547</v>
      </c>
      <c r="G740" s="9">
        <f t="shared" si="11"/>
        <v>1.1419578578237388E-2</v>
      </c>
    </row>
    <row r="741" spans="1:7">
      <c r="A741" s="5">
        <v>246.49209999999999</v>
      </c>
      <c r="B741" s="5">
        <v>250.59020000000001</v>
      </c>
      <c r="C741" s="5">
        <v>245.83680000000001</v>
      </c>
      <c r="D741" s="5">
        <v>250.59020000000001</v>
      </c>
      <c r="E741" s="5">
        <v>2007336</v>
      </c>
      <c r="F741" s="5" t="s">
        <v>546</v>
      </c>
      <c r="G741" s="9">
        <f t="shared" si="11"/>
        <v>-1.6353791967922193E-2</v>
      </c>
    </row>
    <row r="742" spans="1:7">
      <c r="A742" s="5">
        <v>250.77600000000001</v>
      </c>
      <c r="B742" s="5">
        <v>253.8862</v>
      </c>
      <c r="C742" s="5">
        <v>249.7979</v>
      </c>
      <c r="D742" s="5">
        <v>253.8862</v>
      </c>
      <c r="E742" s="5">
        <v>1294059</v>
      </c>
      <c r="F742" s="5" t="s">
        <v>545</v>
      </c>
      <c r="G742" s="9">
        <f t="shared" si="11"/>
        <v>-1.2250370441559966E-2</v>
      </c>
    </row>
    <row r="743" spans="1:7">
      <c r="A743" s="5">
        <v>254.12100000000001</v>
      </c>
      <c r="B743" s="5">
        <v>254.44370000000001</v>
      </c>
      <c r="C743" s="5">
        <v>248.61449999999999</v>
      </c>
      <c r="D743" s="5">
        <v>250.4923</v>
      </c>
      <c r="E743" s="5">
        <v>752115</v>
      </c>
      <c r="F743" s="5" t="s">
        <v>544</v>
      </c>
      <c r="G743" s="9">
        <f t="shared" ref="G743:G806" si="12">A743/D743-1</f>
        <v>1.4486273629967794E-2</v>
      </c>
    </row>
    <row r="744" spans="1:7">
      <c r="A744" s="5">
        <v>250.72710000000001</v>
      </c>
      <c r="B744" s="5">
        <v>252.5515</v>
      </c>
      <c r="C744" s="5">
        <v>249.41650000000001</v>
      </c>
      <c r="D744" s="5">
        <v>252.52670000000001</v>
      </c>
      <c r="E744" s="5">
        <v>938764</v>
      </c>
      <c r="F744" s="5" t="s">
        <v>543</v>
      </c>
      <c r="G744" s="9">
        <f t="shared" si="12"/>
        <v>-7.1263751516176255E-3</v>
      </c>
    </row>
    <row r="745" spans="1:7">
      <c r="A745" s="5">
        <v>253.13310000000001</v>
      </c>
      <c r="B745" s="5">
        <v>257.95010000000002</v>
      </c>
      <c r="C745" s="5">
        <v>250.01310000000001</v>
      </c>
      <c r="D745" s="5">
        <v>257.2312</v>
      </c>
      <c r="E745" s="5">
        <v>1590476</v>
      </c>
      <c r="F745" s="5" t="s">
        <v>542</v>
      </c>
      <c r="G745" s="9">
        <f t="shared" si="12"/>
        <v>-1.5931582171991532E-2</v>
      </c>
    </row>
    <row r="746" spans="1:7">
      <c r="A746" s="5">
        <v>258.02339999999998</v>
      </c>
      <c r="B746" s="5">
        <v>259.1678</v>
      </c>
      <c r="C746" s="5">
        <v>255.0403</v>
      </c>
      <c r="D746" s="5">
        <v>255.27510000000001</v>
      </c>
      <c r="E746" s="5">
        <v>2092655</v>
      </c>
      <c r="F746" s="5" t="s">
        <v>541</v>
      </c>
      <c r="G746" s="9">
        <f t="shared" si="12"/>
        <v>1.0766032409741388E-2</v>
      </c>
    </row>
    <row r="747" spans="1:7">
      <c r="A747" s="5">
        <v>255.27510000000001</v>
      </c>
      <c r="B747" s="5">
        <v>258.38529999999997</v>
      </c>
      <c r="C747" s="5">
        <v>251.7834</v>
      </c>
      <c r="D747" s="5">
        <v>252.94730000000001</v>
      </c>
      <c r="E747" s="5">
        <v>2396619</v>
      </c>
      <c r="F747" s="5" t="s">
        <v>540</v>
      </c>
      <c r="G747" s="9">
        <f t="shared" si="12"/>
        <v>9.2027074414313681E-3</v>
      </c>
    </row>
    <row r="748" spans="1:7">
      <c r="A748" s="5">
        <v>250.6293</v>
      </c>
      <c r="B748" s="5">
        <v>251.01070000000001</v>
      </c>
      <c r="C748" s="5">
        <v>242.84389999999999</v>
      </c>
      <c r="D748" s="5">
        <v>246.2867</v>
      </c>
      <c r="E748" s="5">
        <v>1402112</v>
      </c>
      <c r="F748" s="5" t="s">
        <v>539</v>
      </c>
      <c r="G748" s="9">
        <f t="shared" si="12"/>
        <v>1.7632296019232996E-2</v>
      </c>
    </row>
    <row r="749" spans="1:7">
      <c r="A749" s="5">
        <v>244.34030000000001</v>
      </c>
      <c r="B749" s="5">
        <v>246.67789999999999</v>
      </c>
      <c r="C749" s="5">
        <v>242.75579999999999</v>
      </c>
      <c r="D749" s="5">
        <v>245.3184</v>
      </c>
      <c r="E749" s="5">
        <v>1408705</v>
      </c>
      <c r="F749" s="5" t="s">
        <v>538</v>
      </c>
      <c r="G749" s="9">
        <f t="shared" si="12"/>
        <v>-3.9870633429860414E-3</v>
      </c>
    </row>
    <row r="750" spans="1:7">
      <c r="A750" s="5">
        <v>246.95169999999999</v>
      </c>
      <c r="B750" s="5">
        <v>247.82220000000001</v>
      </c>
      <c r="C750" s="5">
        <v>241.38659999999999</v>
      </c>
      <c r="D750" s="5">
        <v>243.52850000000001</v>
      </c>
      <c r="E750" s="5">
        <v>1368330</v>
      </c>
      <c r="F750" s="5" t="s">
        <v>537</v>
      </c>
      <c r="G750" s="9">
        <f t="shared" si="12"/>
        <v>1.4056670985120645E-2</v>
      </c>
    </row>
    <row r="751" spans="1:7">
      <c r="A751" s="5">
        <v>240.63339999999999</v>
      </c>
      <c r="B751" s="5">
        <v>244.0273</v>
      </c>
      <c r="C751" s="5">
        <v>238.4426</v>
      </c>
      <c r="D751" s="5">
        <v>241.84620000000001</v>
      </c>
      <c r="E751" s="5">
        <v>1083228</v>
      </c>
      <c r="F751" s="5" t="s">
        <v>536</v>
      </c>
      <c r="G751" s="9">
        <f t="shared" si="12"/>
        <v>-5.0147573127053979E-3</v>
      </c>
    </row>
    <row r="752" spans="1:7">
      <c r="A752" s="5">
        <v>239.12719999999999</v>
      </c>
      <c r="B752" s="5">
        <v>239.75319999999999</v>
      </c>
      <c r="C752" s="5">
        <v>236.374</v>
      </c>
      <c r="D752" s="5">
        <v>238.58930000000001</v>
      </c>
      <c r="E752" s="5">
        <v>690293</v>
      </c>
      <c r="F752" s="5" t="s">
        <v>535</v>
      </c>
      <c r="G752" s="9">
        <f t="shared" si="12"/>
        <v>2.2545017735497996E-3</v>
      </c>
    </row>
    <row r="753" spans="1:7">
      <c r="A753" s="5">
        <v>240.11510000000001</v>
      </c>
      <c r="B753" s="5">
        <v>241.73869999999999</v>
      </c>
      <c r="C753" s="5">
        <v>236.3544</v>
      </c>
      <c r="D753" s="5">
        <v>237.48410000000001</v>
      </c>
      <c r="E753" s="5">
        <v>638814</v>
      </c>
      <c r="F753" s="5" t="s">
        <v>534</v>
      </c>
      <c r="G753" s="9">
        <f t="shared" si="12"/>
        <v>1.107863642239626E-2</v>
      </c>
    </row>
    <row r="754" spans="1:7">
      <c r="A754" s="5">
        <v>235.62569999999999</v>
      </c>
      <c r="B754" s="5">
        <v>240.84219999999999</v>
      </c>
      <c r="C754" s="5">
        <v>235.44239999999999</v>
      </c>
      <c r="D754" s="5">
        <v>238.2876</v>
      </c>
      <c r="E754" s="5">
        <v>795829</v>
      </c>
      <c r="F754" s="5" t="s">
        <v>533</v>
      </c>
      <c r="G754" s="9">
        <f t="shared" si="12"/>
        <v>-1.1170954762228513E-2</v>
      </c>
    </row>
    <row r="755" spans="1:7">
      <c r="A755" s="5">
        <v>237.9366</v>
      </c>
      <c r="B755" s="5">
        <v>238.84819999999999</v>
      </c>
      <c r="C755" s="5">
        <v>235.23570000000001</v>
      </c>
      <c r="D755" s="5">
        <v>237.16630000000001</v>
      </c>
      <c r="E755" s="5">
        <v>667563</v>
      </c>
      <c r="F755" s="5" t="s">
        <v>532</v>
      </c>
      <c r="G755" s="9">
        <f t="shared" si="12"/>
        <v>3.2479319363669656E-3</v>
      </c>
    </row>
    <row r="756" spans="1:7">
      <c r="A756" s="5">
        <v>236.77629999999999</v>
      </c>
      <c r="B756" s="5">
        <v>237.00049999999999</v>
      </c>
      <c r="C756" s="5">
        <v>233.63669999999999</v>
      </c>
      <c r="D756" s="5">
        <v>234.7775</v>
      </c>
      <c r="E756" s="5">
        <v>584108</v>
      </c>
      <c r="F756" s="5" t="s">
        <v>531</v>
      </c>
      <c r="G756" s="9">
        <f t="shared" si="12"/>
        <v>8.5135926568771225E-3</v>
      </c>
    </row>
    <row r="757" spans="1:7">
      <c r="A757" s="5">
        <v>235.733</v>
      </c>
      <c r="B757" s="5">
        <v>235.85980000000001</v>
      </c>
      <c r="C757" s="5">
        <v>231.54040000000001</v>
      </c>
      <c r="D757" s="5">
        <v>234.05600000000001</v>
      </c>
      <c r="E757" s="5">
        <v>992828</v>
      </c>
      <c r="F757" s="5" t="s">
        <v>530</v>
      </c>
      <c r="G757" s="9">
        <f t="shared" si="12"/>
        <v>7.1649519773044901E-3</v>
      </c>
    </row>
    <row r="758" spans="1:7">
      <c r="A758" s="5">
        <v>235.5087</v>
      </c>
      <c r="B758" s="5">
        <v>236.71780000000001</v>
      </c>
      <c r="C758" s="5">
        <v>232.72020000000001</v>
      </c>
      <c r="D758" s="5">
        <v>234.00720000000001</v>
      </c>
      <c r="E758" s="5">
        <v>1113703</v>
      </c>
      <c r="F758" s="5" t="s">
        <v>529</v>
      </c>
      <c r="G758" s="9">
        <f t="shared" si="12"/>
        <v>6.4164692368440246E-3</v>
      </c>
    </row>
    <row r="759" spans="1:7">
      <c r="A759" s="5">
        <v>232.6422</v>
      </c>
      <c r="B759" s="5">
        <v>233.73419999999999</v>
      </c>
      <c r="C759" s="5">
        <v>230.69210000000001</v>
      </c>
      <c r="D759" s="5">
        <v>232.92490000000001</v>
      </c>
      <c r="E759" s="5">
        <v>1345420</v>
      </c>
      <c r="F759" s="5" t="s">
        <v>528</v>
      </c>
      <c r="G759" s="9">
        <f t="shared" si="12"/>
        <v>-1.2136959165808259E-3</v>
      </c>
    </row>
    <row r="760" spans="1:7">
      <c r="A760" s="5">
        <v>233.06139999999999</v>
      </c>
      <c r="B760" s="5">
        <v>233.89019999999999</v>
      </c>
      <c r="C760" s="5">
        <v>230.37039999999999</v>
      </c>
      <c r="D760" s="5">
        <v>233.2954</v>
      </c>
      <c r="E760" s="5">
        <v>1377141</v>
      </c>
      <c r="F760" s="5" t="s">
        <v>527</v>
      </c>
      <c r="G760" s="9">
        <f t="shared" si="12"/>
        <v>-1.0030202052848658E-3</v>
      </c>
    </row>
    <row r="761" spans="1:7">
      <c r="A761" s="5">
        <v>233.85120000000001</v>
      </c>
      <c r="B761" s="5">
        <v>237.6636</v>
      </c>
      <c r="C761" s="5">
        <v>229.92179999999999</v>
      </c>
      <c r="D761" s="5">
        <v>236.12299999999999</v>
      </c>
      <c r="E761" s="5">
        <v>3604031</v>
      </c>
      <c r="F761" s="5" t="s">
        <v>526</v>
      </c>
      <c r="G761" s="9">
        <f t="shared" si="12"/>
        <v>-9.621256717896931E-3</v>
      </c>
    </row>
    <row r="762" spans="1:7">
      <c r="A762" s="5">
        <v>238.88229999999999</v>
      </c>
      <c r="B762" s="5">
        <v>244.4205</v>
      </c>
      <c r="C762" s="5">
        <v>238.77510000000001</v>
      </c>
      <c r="D762" s="5">
        <v>243.5625</v>
      </c>
      <c r="E762" s="5">
        <v>1421161</v>
      </c>
      <c r="F762" s="5" t="s">
        <v>525</v>
      </c>
      <c r="G762" s="9">
        <f t="shared" si="12"/>
        <v>-1.9215601744932087E-2</v>
      </c>
    </row>
    <row r="763" spans="1:7">
      <c r="A763" s="5">
        <v>247.4821</v>
      </c>
      <c r="B763" s="5">
        <v>252.11349999999999</v>
      </c>
      <c r="C763" s="5">
        <v>245.16149999999999</v>
      </c>
      <c r="D763" s="5">
        <v>247.09209999999999</v>
      </c>
      <c r="E763" s="5">
        <v>1207281</v>
      </c>
      <c r="F763" s="5" t="s">
        <v>524</v>
      </c>
      <c r="G763" s="9">
        <f t="shared" si="12"/>
        <v>1.5783588386679703E-3</v>
      </c>
    </row>
    <row r="764" spans="1:7">
      <c r="A764" s="5">
        <v>247.60890000000001</v>
      </c>
      <c r="B764" s="5">
        <v>252.2208</v>
      </c>
      <c r="C764" s="5">
        <v>245.61009999999999</v>
      </c>
      <c r="D764" s="5">
        <v>251.28469999999999</v>
      </c>
      <c r="E764" s="5">
        <v>1716727</v>
      </c>
      <c r="F764" s="5" t="s">
        <v>523</v>
      </c>
      <c r="G764" s="9">
        <f t="shared" si="12"/>
        <v>-1.4628029482097293E-2</v>
      </c>
    </row>
    <row r="765" spans="1:7">
      <c r="A765" s="5">
        <v>242.94820000000001</v>
      </c>
      <c r="B765" s="5">
        <v>243.27</v>
      </c>
      <c r="C765" s="5">
        <v>237.3272</v>
      </c>
      <c r="D765" s="5">
        <v>237.90729999999999</v>
      </c>
      <c r="E765" s="5">
        <v>1079723</v>
      </c>
      <c r="F765" s="5" t="s">
        <v>522</v>
      </c>
      <c r="G765" s="9">
        <f t="shared" si="12"/>
        <v>2.1188504934485097E-2</v>
      </c>
    </row>
    <row r="766" spans="1:7">
      <c r="A766" s="5">
        <v>238.52160000000001</v>
      </c>
      <c r="B766" s="5">
        <v>242.97749999999999</v>
      </c>
      <c r="C766" s="5">
        <v>238.45330000000001</v>
      </c>
      <c r="D766" s="5">
        <v>240.04259999999999</v>
      </c>
      <c r="E766" s="5">
        <v>1251859</v>
      </c>
      <c r="F766" s="5" t="s">
        <v>521</v>
      </c>
      <c r="G766" s="9">
        <f t="shared" si="12"/>
        <v>-6.3363752933853768E-3</v>
      </c>
    </row>
    <row r="767" spans="1:7">
      <c r="A767" s="5">
        <v>241.6514</v>
      </c>
      <c r="B767" s="5">
        <v>243.08959999999999</v>
      </c>
      <c r="C767" s="5">
        <v>235.85</v>
      </c>
      <c r="D767" s="5">
        <v>236.59100000000001</v>
      </c>
      <c r="E767" s="5">
        <v>1993859</v>
      </c>
      <c r="F767" s="5" t="s">
        <v>520</v>
      </c>
      <c r="G767" s="9">
        <f t="shared" si="12"/>
        <v>2.1388810225240862E-2</v>
      </c>
    </row>
    <row r="768" spans="1:7">
      <c r="A768" s="5">
        <v>236.03530000000001</v>
      </c>
      <c r="B768" s="5">
        <v>236.084</v>
      </c>
      <c r="C768" s="5">
        <v>231.2089</v>
      </c>
      <c r="D768" s="5">
        <v>231.2089</v>
      </c>
      <c r="E768" s="5">
        <v>1170766</v>
      </c>
      <c r="F768" s="5" t="s">
        <v>519</v>
      </c>
      <c r="G768" s="9">
        <f t="shared" si="12"/>
        <v>2.0874628961082387E-2</v>
      </c>
    </row>
    <row r="769" spans="1:7">
      <c r="A769" s="5">
        <v>229.65860000000001</v>
      </c>
      <c r="B769" s="5">
        <v>231.93039999999999</v>
      </c>
      <c r="C769" s="5">
        <v>228.11799999999999</v>
      </c>
      <c r="D769" s="5">
        <v>231.1114</v>
      </c>
      <c r="E769" s="5">
        <v>968173</v>
      </c>
      <c r="F769" s="5" t="s">
        <v>518</v>
      </c>
      <c r="G769" s="9">
        <f t="shared" si="12"/>
        <v>-6.2861459884713256E-3</v>
      </c>
    </row>
    <row r="770" spans="1:7">
      <c r="A770" s="5">
        <v>231.95959999999999</v>
      </c>
      <c r="B770" s="5">
        <v>235.44049999999999</v>
      </c>
      <c r="C770" s="5">
        <v>231.70609999999999</v>
      </c>
      <c r="D770" s="5">
        <v>234.50450000000001</v>
      </c>
      <c r="E770" s="5">
        <v>1028199</v>
      </c>
      <c r="F770" s="5" t="s">
        <v>517</v>
      </c>
      <c r="G770" s="9">
        <f t="shared" si="12"/>
        <v>-1.0852243773573744E-2</v>
      </c>
    </row>
    <row r="771" spans="1:7">
      <c r="A771" s="5">
        <v>237.0395</v>
      </c>
      <c r="B771" s="5">
        <v>237.9658</v>
      </c>
      <c r="C771" s="5">
        <v>231.87190000000001</v>
      </c>
      <c r="D771" s="5">
        <v>231.87190000000001</v>
      </c>
      <c r="E771" s="5">
        <v>1192116</v>
      </c>
      <c r="F771" s="5" t="s">
        <v>516</v>
      </c>
      <c r="G771" s="9">
        <f t="shared" si="12"/>
        <v>2.2286443506090992E-2</v>
      </c>
    </row>
    <row r="772" spans="1:7">
      <c r="A772" s="5">
        <v>234.75800000000001</v>
      </c>
      <c r="B772" s="5">
        <v>236.42529999999999</v>
      </c>
      <c r="C772" s="5">
        <v>229.7756</v>
      </c>
      <c r="D772" s="5">
        <v>229.7756</v>
      </c>
      <c r="E772" s="5">
        <v>1978948</v>
      </c>
      <c r="F772" s="5" t="s">
        <v>515</v>
      </c>
      <c r="G772" s="9">
        <f t="shared" si="12"/>
        <v>2.1683764507632652E-2</v>
      </c>
    </row>
    <row r="773" spans="1:7">
      <c r="A773" s="5">
        <v>228.0498</v>
      </c>
      <c r="B773" s="5">
        <v>228.0907</v>
      </c>
      <c r="C773" s="5">
        <v>221.25380000000001</v>
      </c>
      <c r="D773" s="5">
        <v>222.43360000000001</v>
      </c>
      <c r="E773" s="5">
        <v>1819037</v>
      </c>
      <c r="F773" s="5" t="s">
        <v>514</v>
      </c>
      <c r="G773" s="9">
        <f t="shared" si="12"/>
        <v>2.524888326224084E-2</v>
      </c>
    </row>
    <row r="774" spans="1:7">
      <c r="A774" s="5">
        <v>221.52680000000001</v>
      </c>
      <c r="B774" s="5">
        <v>223.19409999999999</v>
      </c>
      <c r="C774" s="5">
        <v>220.51769999999999</v>
      </c>
      <c r="D774" s="5">
        <v>221.2441</v>
      </c>
      <c r="E774" s="5">
        <v>881848</v>
      </c>
      <c r="F774" s="5" t="s">
        <v>513</v>
      </c>
      <c r="G774" s="9">
        <f t="shared" si="12"/>
        <v>1.2777741869727244E-3</v>
      </c>
    </row>
    <row r="775" spans="1:7">
      <c r="A775" s="5">
        <v>221.5951</v>
      </c>
      <c r="B775" s="5">
        <v>227.6695</v>
      </c>
      <c r="C775" s="5">
        <v>220.93199999999999</v>
      </c>
      <c r="D775" s="5">
        <v>224.89070000000001</v>
      </c>
      <c r="E775" s="5">
        <v>994738</v>
      </c>
      <c r="F775" s="5" t="s">
        <v>512</v>
      </c>
      <c r="G775" s="9">
        <f t="shared" si="12"/>
        <v>-1.4654229810303399E-2</v>
      </c>
    </row>
    <row r="776" spans="1:7">
      <c r="A776" s="5">
        <v>226.92850000000001</v>
      </c>
      <c r="B776" s="5">
        <v>227.46469999999999</v>
      </c>
      <c r="C776" s="5">
        <v>224.76390000000001</v>
      </c>
      <c r="D776" s="5">
        <v>225.8169</v>
      </c>
      <c r="E776" s="5">
        <v>412960</v>
      </c>
      <c r="F776" s="5" t="s">
        <v>511</v>
      </c>
      <c r="G776" s="9">
        <f t="shared" si="12"/>
        <v>4.9225722255508142E-3</v>
      </c>
    </row>
    <row r="777" spans="1:7">
      <c r="A777" s="5">
        <v>224.53970000000001</v>
      </c>
      <c r="B777" s="5">
        <v>225.01740000000001</v>
      </c>
      <c r="C777" s="5">
        <v>221.3416</v>
      </c>
      <c r="D777" s="5">
        <v>221.78030000000001</v>
      </c>
      <c r="E777" s="5">
        <v>1095581</v>
      </c>
      <c r="F777" s="5" t="s">
        <v>510</v>
      </c>
      <c r="G777" s="9">
        <f t="shared" si="12"/>
        <v>1.2442042868550551E-2</v>
      </c>
    </row>
    <row r="778" spans="1:7">
      <c r="A778" s="5">
        <v>220.8638</v>
      </c>
      <c r="B778" s="5">
        <v>221.23429999999999</v>
      </c>
      <c r="C778" s="5">
        <v>218.31899999999999</v>
      </c>
      <c r="D778" s="5">
        <v>219.21600000000001</v>
      </c>
      <c r="E778" s="5">
        <v>982322</v>
      </c>
      <c r="F778" s="5" t="s">
        <v>509</v>
      </c>
      <c r="G778" s="9">
        <f t="shared" si="12"/>
        <v>7.5167870958323668E-3</v>
      </c>
    </row>
    <row r="779" spans="1:7">
      <c r="A779" s="5">
        <v>219.04050000000001</v>
      </c>
      <c r="B779" s="5">
        <v>221.32210000000001</v>
      </c>
      <c r="C779" s="5">
        <v>217.09530000000001</v>
      </c>
      <c r="D779" s="5">
        <v>217.4512</v>
      </c>
      <c r="E779" s="5">
        <v>1263542</v>
      </c>
      <c r="F779" s="5" t="s">
        <v>508</v>
      </c>
      <c r="G779" s="9">
        <f t="shared" si="12"/>
        <v>7.3087662887121319E-3</v>
      </c>
    </row>
    <row r="780" spans="1:7">
      <c r="A780" s="5">
        <v>218.0265</v>
      </c>
      <c r="B780" s="5">
        <v>218.34819999999999</v>
      </c>
      <c r="C780" s="5">
        <v>215.22810000000001</v>
      </c>
      <c r="D780" s="5">
        <v>216.02760000000001</v>
      </c>
      <c r="E780" s="5">
        <v>1447052</v>
      </c>
      <c r="F780" s="5" t="s">
        <v>507</v>
      </c>
      <c r="G780" s="9">
        <f t="shared" si="12"/>
        <v>9.252984340889725E-3</v>
      </c>
    </row>
    <row r="781" spans="1:7">
      <c r="A781" s="5">
        <v>213.5121</v>
      </c>
      <c r="B781" s="5">
        <v>214.52610000000001</v>
      </c>
      <c r="C781" s="5">
        <v>211.14269999999999</v>
      </c>
      <c r="D781" s="5">
        <v>212.8588</v>
      </c>
      <c r="E781" s="5">
        <v>1557520</v>
      </c>
      <c r="F781" s="5" t="s">
        <v>506</v>
      </c>
      <c r="G781" s="9">
        <f t="shared" si="12"/>
        <v>3.0691707366574672E-3</v>
      </c>
    </row>
    <row r="782" spans="1:7">
      <c r="A782" s="5">
        <v>215.73509999999999</v>
      </c>
      <c r="B782" s="5">
        <v>218.21170000000001</v>
      </c>
      <c r="C782" s="5">
        <v>215.04769999999999</v>
      </c>
      <c r="D782" s="5">
        <v>216.7687</v>
      </c>
      <c r="E782" s="5">
        <v>944776</v>
      </c>
      <c r="F782" s="5" t="s">
        <v>505</v>
      </c>
      <c r="G782" s="9">
        <f t="shared" si="12"/>
        <v>-4.7682160754758396E-3</v>
      </c>
    </row>
    <row r="783" spans="1:7">
      <c r="A783" s="5">
        <v>216.42740000000001</v>
      </c>
      <c r="B783" s="5">
        <v>218.40280000000001</v>
      </c>
      <c r="C783" s="5">
        <v>213.1026</v>
      </c>
      <c r="D783" s="5">
        <v>215.6669</v>
      </c>
      <c r="E783" s="5">
        <v>1596798</v>
      </c>
      <c r="F783" s="5" t="s">
        <v>504</v>
      </c>
      <c r="G783" s="9">
        <f t="shared" si="12"/>
        <v>3.5262713007884194E-3</v>
      </c>
    </row>
    <row r="784" spans="1:7">
      <c r="A784" s="5">
        <v>213.52180000000001</v>
      </c>
      <c r="B784" s="5">
        <v>219.13800000000001</v>
      </c>
      <c r="C784" s="5">
        <v>213.5121</v>
      </c>
      <c r="D784" s="5">
        <v>217.63640000000001</v>
      </c>
      <c r="E784" s="5">
        <v>1356305</v>
      </c>
      <c r="F784" s="5" t="s">
        <v>503</v>
      </c>
      <c r="G784" s="9">
        <f t="shared" si="12"/>
        <v>-1.8905844794345095E-2</v>
      </c>
    </row>
    <row r="785" spans="1:7">
      <c r="A785" s="5">
        <v>218.68950000000001</v>
      </c>
      <c r="B785" s="5">
        <v>219.0307</v>
      </c>
      <c r="C785" s="5">
        <v>212.51750000000001</v>
      </c>
      <c r="D785" s="5">
        <v>215.1404</v>
      </c>
      <c r="E785" s="5">
        <v>2213113</v>
      </c>
      <c r="F785" s="5" t="s">
        <v>502</v>
      </c>
      <c r="G785" s="9">
        <f t="shared" si="12"/>
        <v>1.649666915186554E-2</v>
      </c>
    </row>
    <row r="786" spans="1:7">
      <c r="A786" s="5">
        <v>213.49260000000001</v>
      </c>
      <c r="B786" s="5">
        <v>215.16470000000001</v>
      </c>
      <c r="C786" s="5">
        <v>208.62719999999999</v>
      </c>
      <c r="D786" s="5">
        <v>209.63140000000001</v>
      </c>
      <c r="E786" s="5">
        <v>2117728</v>
      </c>
      <c r="F786" s="5" t="s">
        <v>501</v>
      </c>
      <c r="G786" s="9">
        <f t="shared" si="12"/>
        <v>1.8418996390807907E-2</v>
      </c>
    </row>
    <row r="787" spans="1:7">
      <c r="A787" s="5">
        <v>201.9872</v>
      </c>
      <c r="B787" s="5">
        <v>205.22919999999999</v>
      </c>
      <c r="C787" s="5">
        <v>201.49969999999999</v>
      </c>
      <c r="D787" s="5">
        <v>204.70750000000001</v>
      </c>
      <c r="E787" s="5">
        <v>1147576</v>
      </c>
      <c r="F787" s="5" t="s">
        <v>500</v>
      </c>
      <c r="G787" s="9">
        <f t="shared" si="12"/>
        <v>-1.3288716827668745E-2</v>
      </c>
    </row>
    <row r="788" spans="1:7">
      <c r="A788" s="5">
        <v>204.6003</v>
      </c>
      <c r="B788" s="5">
        <v>208.07140000000001</v>
      </c>
      <c r="C788" s="5">
        <v>202.18219999999999</v>
      </c>
      <c r="D788" s="5">
        <v>207.6619</v>
      </c>
      <c r="E788" s="5">
        <v>1414069</v>
      </c>
      <c r="F788" s="5" t="s">
        <v>499</v>
      </c>
      <c r="G788" s="9">
        <f t="shared" si="12"/>
        <v>-1.4743195550074417E-2</v>
      </c>
    </row>
    <row r="789" spans="1:7">
      <c r="A789" s="5">
        <v>208.1884</v>
      </c>
      <c r="B789" s="5">
        <v>208.1884</v>
      </c>
      <c r="C789" s="5">
        <v>204.30779999999999</v>
      </c>
      <c r="D789" s="5">
        <v>207.8569</v>
      </c>
      <c r="E789" s="5">
        <v>1715489</v>
      </c>
      <c r="F789" s="5" t="s">
        <v>498</v>
      </c>
      <c r="G789" s="9">
        <f t="shared" si="12"/>
        <v>1.5948472242202083E-3</v>
      </c>
    </row>
    <row r="790" spans="1:7">
      <c r="A790" s="5">
        <v>205.71180000000001</v>
      </c>
      <c r="B790" s="5">
        <v>205.98480000000001</v>
      </c>
      <c r="C790" s="5">
        <v>200.79769999999999</v>
      </c>
      <c r="D790" s="5">
        <v>201.34370000000001</v>
      </c>
      <c r="E790" s="5">
        <v>2001463</v>
      </c>
      <c r="F790" s="5" t="s">
        <v>497</v>
      </c>
      <c r="G790" s="9">
        <f t="shared" si="12"/>
        <v>2.1694743863354127E-2</v>
      </c>
    </row>
    <row r="791" spans="1:7">
      <c r="A791" s="5">
        <v>200.3784</v>
      </c>
      <c r="B791" s="5">
        <v>204.66849999999999</v>
      </c>
      <c r="C791" s="5">
        <v>200.3004</v>
      </c>
      <c r="D791" s="5">
        <v>203.95679999999999</v>
      </c>
      <c r="E791" s="5">
        <v>1553500</v>
      </c>
      <c r="F791" s="5" t="s">
        <v>496</v>
      </c>
      <c r="G791" s="9">
        <f t="shared" si="12"/>
        <v>-1.7544891859452516E-2</v>
      </c>
    </row>
    <row r="792" spans="1:7">
      <c r="A792" s="5">
        <v>206.6771</v>
      </c>
      <c r="B792" s="5">
        <v>214.8527</v>
      </c>
      <c r="C792" s="5">
        <v>206.49189999999999</v>
      </c>
      <c r="D792" s="5">
        <v>214.19460000000001</v>
      </c>
      <c r="E792" s="5">
        <v>2410209</v>
      </c>
      <c r="F792" s="5" t="s">
        <v>495</v>
      </c>
      <c r="G792" s="9">
        <f t="shared" si="12"/>
        <v>-3.5096589736622774E-2</v>
      </c>
    </row>
    <row r="793" spans="1:7">
      <c r="A793" s="5">
        <v>214.59440000000001</v>
      </c>
      <c r="B793" s="5">
        <v>216.28120000000001</v>
      </c>
      <c r="C793" s="5">
        <v>206.7064</v>
      </c>
      <c r="D793" s="5">
        <v>209.1927</v>
      </c>
      <c r="E793" s="5">
        <v>4289979</v>
      </c>
      <c r="F793" s="5" t="s">
        <v>494</v>
      </c>
      <c r="G793" s="9">
        <f t="shared" si="12"/>
        <v>2.5821646740063153E-2</v>
      </c>
    </row>
    <row r="794" spans="1:7">
      <c r="A794" s="5">
        <v>223.51589999999999</v>
      </c>
      <c r="B794" s="5">
        <v>224.06190000000001</v>
      </c>
      <c r="C794" s="5">
        <v>220.6395</v>
      </c>
      <c r="D794" s="5">
        <v>222.14109999999999</v>
      </c>
      <c r="E794" s="5">
        <v>2690877</v>
      </c>
      <c r="F794" s="5" t="s">
        <v>493</v>
      </c>
      <c r="G794" s="9">
        <f t="shared" si="12"/>
        <v>6.1888592430665579E-3</v>
      </c>
    </row>
    <row r="795" spans="1:7">
      <c r="A795" s="5">
        <v>223.5061</v>
      </c>
      <c r="B795" s="5">
        <v>225.4659</v>
      </c>
      <c r="C795" s="5">
        <v>222.51159999999999</v>
      </c>
      <c r="D795" s="5">
        <v>222.6481</v>
      </c>
      <c r="E795" s="5">
        <v>1509138</v>
      </c>
      <c r="F795" s="5" t="s">
        <v>492</v>
      </c>
      <c r="G795" s="9">
        <f t="shared" si="12"/>
        <v>3.8536147400314302E-3</v>
      </c>
    </row>
    <row r="796" spans="1:7">
      <c r="A796" s="5">
        <v>222.57980000000001</v>
      </c>
      <c r="B796" s="5">
        <v>224.6859</v>
      </c>
      <c r="C796" s="5">
        <v>221.12710000000001</v>
      </c>
      <c r="D796" s="5">
        <v>223.4769</v>
      </c>
      <c r="E796" s="5">
        <v>1764291</v>
      </c>
      <c r="F796" s="5" t="s">
        <v>491</v>
      </c>
      <c r="G796" s="9">
        <f t="shared" si="12"/>
        <v>-4.0142851453550676E-3</v>
      </c>
    </row>
    <row r="797" spans="1:7">
      <c r="A797" s="5">
        <v>222.88210000000001</v>
      </c>
      <c r="B797" s="5">
        <v>225.50489999999999</v>
      </c>
      <c r="C797" s="5">
        <v>218.94300000000001</v>
      </c>
      <c r="D797" s="5">
        <v>220.1618</v>
      </c>
      <c r="E797" s="5">
        <v>1555155</v>
      </c>
      <c r="F797" s="5" t="s">
        <v>490</v>
      </c>
      <c r="G797" s="9">
        <f t="shared" si="12"/>
        <v>1.2355912787777035E-2</v>
      </c>
    </row>
    <row r="798" spans="1:7">
      <c r="A798" s="5">
        <v>219.0112</v>
      </c>
      <c r="B798" s="5">
        <v>219.762</v>
      </c>
      <c r="C798" s="5">
        <v>214.09710000000001</v>
      </c>
      <c r="D798" s="5">
        <v>214.09710000000001</v>
      </c>
      <c r="E798" s="5">
        <v>1352286</v>
      </c>
      <c r="F798" s="5" t="s">
        <v>489</v>
      </c>
      <c r="G798" s="9">
        <f t="shared" si="12"/>
        <v>2.2952669606454146E-2</v>
      </c>
    </row>
    <row r="799" spans="1:7">
      <c r="A799" s="5">
        <v>214.9941</v>
      </c>
      <c r="B799" s="5">
        <v>217.07089999999999</v>
      </c>
      <c r="C799" s="5">
        <v>213.55109999999999</v>
      </c>
      <c r="D799" s="5">
        <v>215.24760000000001</v>
      </c>
      <c r="E799" s="5">
        <v>1078895</v>
      </c>
      <c r="F799" s="5" t="s">
        <v>488</v>
      </c>
      <c r="G799" s="9">
        <f t="shared" si="12"/>
        <v>-1.1777134797321676E-3</v>
      </c>
    </row>
    <row r="800" spans="1:7">
      <c r="A800" s="5">
        <v>212.8588</v>
      </c>
      <c r="B800" s="5">
        <v>213.14160000000001</v>
      </c>
      <c r="C800" s="5">
        <v>205.05860000000001</v>
      </c>
      <c r="D800" s="5">
        <v>208.3639</v>
      </c>
      <c r="E800" s="5">
        <v>1562839</v>
      </c>
      <c r="F800" s="5" t="s">
        <v>487</v>
      </c>
      <c r="G800" s="9">
        <f t="shared" si="12"/>
        <v>2.1572354904088487E-2</v>
      </c>
    </row>
    <row r="801" spans="1:7">
      <c r="A801" s="5">
        <v>209.08539999999999</v>
      </c>
      <c r="B801" s="5">
        <v>213.7851</v>
      </c>
      <c r="C801" s="5">
        <v>207.3109</v>
      </c>
      <c r="D801" s="5">
        <v>211.19149999999999</v>
      </c>
      <c r="E801" s="5">
        <v>1332111</v>
      </c>
      <c r="F801" s="5" t="s">
        <v>486</v>
      </c>
      <c r="G801" s="9">
        <f t="shared" si="12"/>
        <v>-9.9724657479112189E-3</v>
      </c>
    </row>
    <row r="802" spans="1:7">
      <c r="A802" s="5">
        <v>211.27930000000001</v>
      </c>
      <c r="B802" s="5">
        <v>212.11779999999999</v>
      </c>
      <c r="C802" s="5">
        <v>208.0179</v>
      </c>
      <c r="D802" s="5">
        <v>209.08539999999999</v>
      </c>
      <c r="E802" s="5">
        <v>1610084</v>
      </c>
      <c r="F802" s="5" t="s">
        <v>485</v>
      </c>
      <c r="G802" s="9">
        <f t="shared" si="12"/>
        <v>1.0492841680959097E-2</v>
      </c>
    </row>
    <row r="803" spans="1:7">
      <c r="A803" s="5">
        <v>209.55340000000001</v>
      </c>
      <c r="B803" s="5">
        <v>218.99170000000001</v>
      </c>
      <c r="C803" s="5">
        <v>209.1927</v>
      </c>
      <c r="D803" s="5">
        <v>217.06120000000001</v>
      </c>
      <c r="E803" s="5">
        <v>1771632</v>
      </c>
      <c r="F803" s="5" t="s">
        <v>484</v>
      </c>
      <c r="G803" s="9">
        <f t="shared" si="12"/>
        <v>-3.4588401796359802E-2</v>
      </c>
    </row>
    <row r="804" spans="1:7">
      <c r="A804" s="5">
        <v>210.2457</v>
      </c>
      <c r="B804" s="5">
        <v>211.5523</v>
      </c>
      <c r="C804" s="5">
        <v>206.9306</v>
      </c>
      <c r="D804" s="5">
        <v>207.03790000000001</v>
      </c>
      <c r="E804" s="5">
        <v>1767663</v>
      </c>
      <c r="F804" s="5" t="s">
        <v>483</v>
      </c>
      <c r="G804" s="9">
        <f t="shared" si="12"/>
        <v>1.5493781573325371E-2</v>
      </c>
    </row>
    <row r="805" spans="1:7">
      <c r="A805" s="5">
        <v>203.90799999999999</v>
      </c>
      <c r="B805" s="5">
        <v>211.50790000000001</v>
      </c>
      <c r="C805" s="5">
        <v>203.05</v>
      </c>
      <c r="D805" s="5">
        <v>210.96719999999999</v>
      </c>
      <c r="E805" s="5">
        <v>1607261</v>
      </c>
      <c r="F805" s="5" t="s">
        <v>482</v>
      </c>
      <c r="G805" s="9">
        <f t="shared" si="12"/>
        <v>-3.3461125710537054E-2</v>
      </c>
    </row>
    <row r="806" spans="1:7">
      <c r="A806" s="5">
        <v>208.75389999999999</v>
      </c>
      <c r="B806" s="5">
        <v>211.05500000000001</v>
      </c>
      <c r="C806" s="5">
        <v>198.15530000000001</v>
      </c>
      <c r="D806" s="5">
        <v>199.66659999999999</v>
      </c>
      <c r="E806" s="5">
        <v>1197717</v>
      </c>
      <c r="F806" s="5" t="s">
        <v>481</v>
      </c>
      <c r="G806" s="9">
        <f t="shared" si="12"/>
        <v>4.5512369119321994E-2</v>
      </c>
    </row>
    <row r="807" spans="1:7">
      <c r="A807" s="5">
        <v>203.44</v>
      </c>
      <c r="B807" s="5">
        <v>209.48519999999999</v>
      </c>
      <c r="C807" s="5">
        <v>203.37180000000001</v>
      </c>
      <c r="D807" s="5">
        <v>206.86240000000001</v>
      </c>
      <c r="E807" s="5">
        <v>1958126</v>
      </c>
      <c r="F807" s="5" t="s">
        <v>480</v>
      </c>
      <c r="G807" s="9">
        <f t="shared" ref="G807:G870" si="13">A807/D807-1</f>
        <v>-1.6544330917556804E-2</v>
      </c>
    </row>
    <row r="808" spans="1:7">
      <c r="A808" s="5">
        <v>206.1798</v>
      </c>
      <c r="B808" s="5">
        <v>208.88069999999999</v>
      </c>
      <c r="C808" s="5">
        <v>201.4314</v>
      </c>
      <c r="D808" s="5">
        <v>202.67949999999999</v>
      </c>
      <c r="E808" s="5">
        <v>1717943</v>
      </c>
      <c r="F808" s="5" t="s">
        <v>479</v>
      </c>
      <c r="G808" s="9">
        <f t="shared" si="13"/>
        <v>1.7270123520138903E-2</v>
      </c>
    </row>
    <row r="809" spans="1:7">
      <c r="A809" s="5">
        <v>202.80619999999999</v>
      </c>
      <c r="B809" s="5">
        <v>206.0531</v>
      </c>
      <c r="C809" s="5">
        <v>200.71969999999999</v>
      </c>
      <c r="D809" s="5">
        <v>205.5753</v>
      </c>
      <c r="E809" s="5">
        <v>1030310</v>
      </c>
      <c r="F809" s="5" t="s">
        <v>478</v>
      </c>
      <c r="G809" s="9">
        <f t="shared" si="13"/>
        <v>-1.3470003448857959E-2</v>
      </c>
    </row>
    <row r="810" spans="1:7">
      <c r="A810" s="5">
        <v>203.3133</v>
      </c>
      <c r="B810" s="5">
        <v>204.8733</v>
      </c>
      <c r="C810" s="5">
        <v>201.67519999999999</v>
      </c>
      <c r="D810" s="5">
        <v>204.07380000000001</v>
      </c>
      <c r="E810" s="5">
        <v>1222121</v>
      </c>
      <c r="F810" s="5" t="s">
        <v>477</v>
      </c>
      <c r="G810" s="9">
        <f t="shared" si="13"/>
        <v>-3.7265930266403569E-3</v>
      </c>
    </row>
    <row r="811" spans="1:7">
      <c r="A811" s="5">
        <v>206.14080000000001</v>
      </c>
      <c r="B811" s="5">
        <v>210.9855</v>
      </c>
      <c r="C811" s="5">
        <v>205.85810000000001</v>
      </c>
      <c r="D811" s="5">
        <v>210.35300000000001</v>
      </c>
      <c r="E811" s="5">
        <v>1052543</v>
      </c>
      <c r="F811" s="5" t="s">
        <v>476</v>
      </c>
      <c r="G811" s="9">
        <f t="shared" si="13"/>
        <v>-2.0024435116209438E-2</v>
      </c>
    </row>
    <row r="812" spans="1:7">
      <c r="A812" s="5">
        <v>210.7235</v>
      </c>
      <c r="B812" s="5">
        <v>212.5078</v>
      </c>
      <c r="C812" s="5">
        <v>207.18899999999999</v>
      </c>
      <c r="D812" s="5">
        <v>208.07140000000001</v>
      </c>
      <c r="E812" s="5">
        <v>764085</v>
      </c>
      <c r="F812" s="5" t="s">
        <v>475</v>
      </c>
      <c r="G812" s="9">
        <f t="shared" si="13"/>
        <v>1.2746105423426801E-2</v>
      </c>
    </row>
    <row r="813" spans="1:7">
      <c r="A813" s="5">
        <v>210.41149999999999</v>
      </c>
      <c r="B813" s="5">
        <v>210.548</v>
      </c>
      <c r="C813" s="5">
        <v>206.7064</v>
      </c>
      <c r="D813" s="5">
        <v>206.7064</v>
      </c>
      <c r="E813" s="5">
        <v>1091854</v>
      </c>
      <c r="F813" s="5" t="s">
        <v>474</v>
      </c>
      <c r="G813" s="9">
        <f t="shared" si="13"/>
        <v>1.7924457104375957E-2</v>
      </c>
    </row>
    <row r="814" spans="1:7">
      <c r="A814" s="5">
        <v>204.6003</v>
      </c>
      <c r="B814" s="5">
        <v>205.91659999999999</v>
      </c>
      <c r="C814" s="5">
        <v>198.84180000000001</v>
      </c>
      <c r="D814" s="5">
        <v>200.2517</v>
      </c>
      <c r="E814" s="5">
        <v>962811</v>
      </c>
      <c r="F814" s="5" t="s">
        <v>473</v>
      </c>
      <c r="G814" s="9">
        <f t="shared" si="13"/>
        <v>2.1715670828262645E-2</v>
      </c>
    </row>
    <row r="815" spans="1:7">
      <c r="A815" s="5">
        <v>197.48259999999999</v>
      </c>
      <c r="B815" s="5">
        <v>205.02930000000001</v>
      </c>
      <c r="C815" s="5">
        <v>197.22909999999999</v>
      </c>
      <c r="D815" s="5">
        <v>201.3047</v>
      </c>
      <c r="E815" s="5">
        <v>1486028</v>
      </c>
      <c r="F815" s="5" t="s">
        <v>472</v>
      </c>
      <c r="G815" s="9">
        <f t="shared" si="13"/>
        <v>-1.8986640649721553E-2</v>
      </c>
    </row>
    <row r="816" spans="1:7">
      <c r="A816" s="5">
        <v>200.3492</v>
      </c>
      <c r="B816" s="5">
        <v>201.5094</v>
      </c>
      <c r="C816" s="5">
        <v>196.3613</v>
      </c>
      <c r="D816" s="5">
        <v>199.4716</v>
      </c>
      <c r="E816" s="5">
        <v>1107856</v>
      </c>
      <c r="F816" s="5" t="s">
        <v>471</v>
      </c>
      <c r="G816" s="9">
        <f t="shared" si="13"/>
        <v>4.3996238060957094E-3</v>
      </c>
    </row>
    <row r="817" spans="1:7">
      <c r="A817" s="5">
        <v>200.00299999999999</v>
      </c>
      <c r="B817" s="5">
        <v>201.25659999999999</v>
      </c>
      <c r="C817" s="5">
        <v>196.39789999999999</v>
      </c>
      <c r="D817" s="5">
        <v>198.7398</v>
      </c>
      <c r="E817" s="5">
        <v>1348981</v>
      </c>
      <c r="F817" s="5" t="s">
        <v>470</v>
      </c>
      <c r="G817" s="9">
        <f t="shared" si="13"/>
        <v>6.3560494676959678E-3</v>
      </c>
    </row>
    <row r="818" spans="1:7">
      <c r="A818" s="5">
        <v>196.95179999999999</v>
      </c>
      <c r="B818" s="5">
        <v>201.31489999999999</v>
      </c>
      <c r="C818" s="5">
        <v>195.1249</v>
      </c>
      <c r="D818" s="5">
        <v>200.16820000000001</v>
      </c>
      <c r="E818" s="5">
        <v>1444358</v>
      </c>
      <c r="F818" s="5" t="s">
        <v>469</v>
      </c>
      <c r="G818" s="9">
        <f t="shared" si="13"/>
        <v>-1.6068486402935234E-2</v>
      </c>
    </row>
    <row r="819" spans="1:7">
      <c r="A819" s="5">
        <v>197.5154</v>
      </c>
      <c r="B819" s="5">
        <v>201.08170000000001</v>
      </c>
      <c r="C819" s="5">
        <v>195.26089999999999</v>
      </c>
      <c r="D819" s="5">
        <v>200.34309999999999</v>
      </c>
      <c r="E819" s="5">
        <v>1103157</v>
      </c>
      <c r="F819" s="5" t="s">
        <v>468</v>
      </c>
      <c r="G819" s="9">
        <f t="shared" si="13"/>
        <v>-1.4114286940753118E-2</v>
      </c>
    </row>
    <row r="820" spans="1:7">
      <c r="A820" s="5">
        <v>201.08170000000001</v>
      </c>
      <c r="B820" s="5">
        <v>202.2089</v>
      </c>
      <c r="C820" s="5">
        <v>196.874</v>
      </c>
      <c r="D820" s="5">
        <v>201.55779999999999</v>
      </c>
      <c r="E820" s="5">
        <v>1331927</v>
      </c>
      <c r="F820" s="5" t="s">
        <v>467</v>
      </c>
      <c r="G820" s="9">
        <f t="shared" si="13"/>
        <v>-2.3621015907098197E-3</v>
      </c>
    </row>
    <row r="821" spans="1:7">
      <c r="A821" s="5">
        <v>202.97649999999999</v>
      </c>
      <c r="B821" s="5">
        <v>206.08609999999999</v>
      </c>
      <c r="C821" s="5">
        <v>202.3449</v>
      </c>
      <c r="D821" s="5">
        <v>206.05699999999999</v>
      </c>
      <c r="E821" s="5">
        <v>1201052</v>
      </c>
      <c r="F821" s="5" t="s">
        <v>466</v>
      </c>
      <c r="G821" s="9">
        <f t="shared" si="13"/>
        <v>-1.4949746914688644E-2</v>
      </c>
    </row>
    <row r="822" spans="1:7">
      <c r="A822" s="5">
        <v>206.46510000000001</v>
      </c>
      <c r="B822" s="5">
        <v>215.065</v>
      </c>
      <c r="C822" s="5">
        <v>206.37280000000001</v>
      </c>
      <c r="D822" s="5">
        <v>213.4324</v>
      </c>
      <c r="E822" s="5">
        <v>1000256</v>
      </c>
      <c r="F822" s="5" t="s">
        <v>465</v>
      </c>
      <c r="G822" s="9">
        <f t="shared" si="13"/>
        <v>-3.2644059664793112E-2</v>
      </c>
    </row>
    <row r="823" spans="1:7">
      <c r="A823" s="5">
        <v>211.79990000000001</v>
      </c>
      <c r="B823" s="5">
        <v>213.70439999999999</v>
      </c>
      <c r="C823" s="5">
        <v>208.64179999999999</v>
      </c>
      <c r="D823" s="5">
        <v>212.54820000000001</v>
      </c>
      <c r="E823" s="5">
        <v>1003193</v>
      </c>
      <c r="F823" s="5" t="s">
        <v>464</v>
      </c>
      <c r="G823" s="9">
        <f t="shared" si="13"/>
        <v>-3.5206132067926443E-3</v>
      </c>
    </row>
    <row r="824" spans="1:7">
      <c r="A824" s="5">
        <v>214.63740000000001</v>
      </c>
      <c r="B824" s="5">
        <v>215.065</v>
      </c>
      <c r="C824" s="5">
        <v>210.2646</v>
      </c>
      <c r="D824" s="5">
        <v>213.0729</v>
      </c>
      <c r="E824" s="5">
        <v>1090254</v>
      </c>
      <c r="F824" s="5" t="s">
        <v>463</v>
      </c>
      <c r="G824" s="9">
        <f t="shared" si="13"/>
        <v>7.3425574064087673E-3</v>
      </c>
    </row>
    <row r="825" spans="1:7">
      <c r="A825" s="5">
        <v>214.99690000000001</v>
      </c>
      <c r="B825" s="5">
        <v>218.64099999999999</v>
      </c>
      <c r="C825" s="5">
        <v>213.09229999999999</v>
      </c>
      <c r="D825" s="5">
        <v>217.95099999999999</v>
      </c>
      <c r="E825" s="5">
        <v>2324047</v>
      </c>
      <c r="F825" s="5" t="s">
        <v>462</v>
      </c>
      <c r="G825" s="9">
        <f t="shared" si="13"/>
        <v>-1.3553963964377247E-2</v>
      </c>
    </row>
    <row r="826" spans="1:7">
      <c r="A826" s="5">
        <v>220.31229999999999</v>
      </c>
      <c r="B826" s="5">
        <v>224.11179999999999</v>
      </c>
      <c r="C826" s="5">
        <v>219.50579999999999</v>
      </c>
      <c r="D826" s="5">
        <v>219.79730000000001</v>
      </c>
      <c r="E826" s="5">
        <v>1661872</v>
      </c>
      <c r="F826" s="5" t="s">
        <v>461</v>
      </c>
      <c r="G826" s="9">
        <f t="shared" si="13"/>
        <v>2.3430679084774919E-3</v>
      </c>
    </row>
    <row r="827" spans="1:7">
      <c r="A827" s="5">
        <v>219.79730000000001</v>
      </c>
      <c r="B827" s="5">
        <v>221.58529999999999</v>
      </c>
      <c r="C827" s="5">
        <v>217.4263</v>
      </c>
      <c r="D827" s="5">
        <v>217.4263</v>
      </c>
      <c r="E827" s="5">
        <v>1394806</v>
      </c>
      <c r="F827" s="5" t="s">
        <v>460</v>
      </c>
      <c r="G827" s="9">
        <f t="shared" si="13"/>
        <v>1.0904844538126346E-2</v>
      </c>
    </row>
    <row r="828" spans="1:7">
      <c r="A828" s="5">
        <v>219.46690000000001</v>
      </c>
      <c r="B828" s="5">
        <v>222.4599</v>
      </c>
      <c r="C828" s="5">
        <v>217.98990000000001</v>
      </c>
      <c r="D828" s="5">
        <v>219.66130000000001</v>
      </c>
      <c r="E828" s="5">
        <v>1502782</v>
      </c>
      <c r="F828" s="5" t="s">
        <v>459</v>
      </c>
      <c r="G828" s="9">
        <f t="shared" si="13"/>
        <v>-8.8499885960791058E-4</v>
      </c>
    </row>
    <row r="829" spans="1:7">
      <c r="A829" s="5">
        <v>225.27789999999999</v>
      </c>
      <c r="B829" s="5">
        <v>225.99700000000001</v>
      </c>
      <c r="C829" s="5">
        <v>223.4025</v>
      </c>
      <c r="D829" s="5">
        <v>223.84950000000001</v>
      </c>
      <c r="E829" s="5">
        <v>2594907</v>
      </c>
      <c r="F829" s="5" t="s">
        <v>458</v>
      </c>
      <c r="G829" s="9">
        <f t="shared" si="13"/>
        <v>6.3810729977060721E-3</v>
      </c>
    </row>
    <row r="830" spans="1:7">
      <c r="A830" s="5">
        <v>223.49959999999999</v>
      </c>
      <c r="B830" s="5">
        <v>223.5094</v>
      </c>
      <c r="C830" s="5">
        <v>214.27789999999999</v>
      </c>
      <c r="D830" s="5">
        <v>214.75399999999999</v>
      </c>
      <c r="E830" s="5">
        <v>3123780</v>
      </c>
      <c r="F830" s="5" t="s">
        <v>457</v>
      </c>
      <c r="G830" s="9">
        <f t="shared" si="13"/>
        <v>4.0723804911666273E-2</v>
      </c>
    </row>
    <row r="831" spans="1:7">
      <c r="A831" s="5">
        <v>214.05439999999999</v>
      </c>
      <c r="B831" s="5">
        <v>214.21950000000001</v>
      </c>
      <c r="C831" s="5">
        <v>203.2681</v>
      </c>
      <c r="D831" s="5">
        <v>203.2681</v>
      </c>
      <c r="E831" s="5">
        <v>2596506</v>
      </c>
      <c r="F831" s="5" t="s">
        <v>456</v>
      </c>
      <c r="G831" s="9">
        <f t="shared" si="13"/>
        <v>5.3064401152959961E-2</v>
      </c>
    </row>
    <row r="832" spans="1:7">
      <c r="A832" s="5">
        <v>205.2407</v>
      </c>
      <c r="B832" s="5">
        <v>205.6294</v>
      </c>
      <c r="C832" s="5">
        <v>197.13640000000001</v>
      </c>
      <c r="D832" s="5">
        <v>197.13640000000001</v>
      </c>
      <c r="E832" s="5">
        <v>1087370</v>
      </c>
      <c r="F832" s="5" t="s">
        <v>455</v>
      </c>
      <c r="G832" s="9">
        <f t="shared" si="13"/>
        <v>4.1110114621145444E-2</v>
      </c>
    </row>
    <row r="833" spans="1:7">
      <c r="A833" s="5">
        <v>197.00040000000001</v>
      </c>
      <c r="B833" s="5">
        <v>199.66640000000001</v>
      </c>
      <c r="C833" s="5">
        <v>196.13550000000001</v>
      </c>
      <c r="D833" s="5">
        <v>199.1576</v>
      </c>
      <c r="E833" s="5">
        <v>1273408</v>
      </c>
      <c r="F833" s="5" t="s">
        <v>454</v>
      </c>
      <c r="G833" s="9">
        <f t="shared" si="13"/>
        <v>-1.0831622795213436E-2</v>
      </c>
    </row>
    <row r="834" spans="1:7">
      <c r="A834" s="5">
        <v>198.00120000000001</v>
      </c>
      <c r="B834" s="5">
        <v>203.0932</v>
      </c>
      <c r="C834" s="5">
        <v>196.20349999999999</v>
      </c>
      <c r="D834" s="5">
        <v>203.0932</v>
      </c>
      <c r="E834" s="5">
        <v>862854</v>
      </c>
      <c r="F834" s="5" t="s">
        <v>453</v>
      </c>
      <c r="G834" s="9">
        <f t="shared" si="13"/>
        <v>-2.5072232846791498E-2</v>
      </c>
    </row>
    <row r="835" spans="1:7">
      <c r="A835" s="5">
        <v>200.83869999999999</v>
      </c>
      <c r="B835" s="5">
        <v>200.95529999999999</v>
      </c>
      <c r="C835" s="5">
        <v>196.33199999999999</v>
      </c>
      <c r="D835" s="5">
        <v>199.1285</v>
      </c>
      <c r="E835" s="5">
        <v>874389</v>
      </c>
      <c r="F835" s="5" t="s">
        <v>452</v>
      </c>
      <c r="G835" s="9">
        <f t="shared" si="13"/>
        <v>8.5884240578320004E-3</v>
      </c>
    </row>
    <row r="836" spans="1:7">
      <c r="A836" s="5">
        <v>199.4006</v>
      </c>
      <c r="B836" s="5">
        <v>203.822</v>
      </c>
      <c r="C836" s="5">
        <v>199.03129999999999</v>
      </c>
      <c r="D836" s="5">
        <v>201.791</v>
      </c>
      <c r="E836" s="5">
        <v>1416293</v>
      </c>
      <c r="F836" s="5" t="s">
        <v>451</v>
      </c>
      <c r="G836" s="9">
        <f t="shared" si="13"/>
        <v>-1.1845919788295856E-2</v>
      </c>
    </row>
    <row r="837" spans="1:7">
      <c r="A837" s="5">
        <v>199.46860000000001</v>
      </c>
      <c r="B837" s="5">
        <v>201.82990000000001</v>
      </c>
      <c r="C837" s="5">
        <v>198.62819999999999</v>
      </c>
      <c r="D837" s="5">
        <v>201.39259999999999</v>
      </c>
      <c r="E837" s="5">
        <v>733234</v>
      </c>
      <c r="F837" s="5" t="s">
        <v>450</v>
      </c>
      <c r="G837" s="9">
        <f t="shared" si="13"/>
        <v>-9.5534791248534923E-3</v>
      </c>
    </row>
    <row r="838" spans="1:7">
      <c r="A838" s="5">
        <v>200.95529999999999</v>
      </c>
      <c r="B838" s="5">
        <v>202.8211</v>
      </c>
      <c r="C838" s="5">
        <v>198.89519999999999</v>
      </c>
      <c r="D838" s="5">
        <v>199.2062</v>
      </c>
      <c r="E838" s="5">
        <v>630386</v>
      </c>
      <c r="F838" s="5" t="s">
        <v>449</v>
      </c>
      <c r="G838" s="9">
        <f t="shared" si="13"/>
        <v>8.7803492059985722E-3</v>
      </c>
    </row>
    <row r="839" spans="1:7">
      <c r="A839" s="5">
        <v>201.1497</v>
      </c>
      <c r="B839" s="5">
        <v>210.57550000000001</v>
      </c>
      <c r="C839" s="5">
        <v>200.97479999999999</v>
      </c>
      <c r="D839" s="5">
        <v>210.57550000000001</v>
      </c>
      <c r="E839" s="5">
        <v>968343</v>
      </c>
      <c r="F839" s="5" t="s">
        <v>448</v>
      </c>
      <c r="G839" s="9">
        <f t="shared" si="13"/>
        <v>-4.4762092456149927E-2</v>
      </c>
    </row>
    <row r="840" spans="1:7">
      <c r="A840" s="5">
        <v>210.5658</v>
      </c>
      <c r="B840" s="5">
        <v>210.77959999999999</v>
      </c>
      <c r="C840" s="5">
        <v>207.0967</v>
      </c>
      <c r="D840" s="5">
        <v>208.10730000000001</v>
      </c>
      <c r="E840" s="5">
        <v>725933</v>
      </c>
      <c r="F840" s="5" t="s">
        <v>447</v>
      </c>
      <c r="G840" s="9">
        <f t="shared" si="13"/>
        <v>1.1813617302228074E-2</v>
      </c>
    </row>
    <row r="841" spans="1:7">
      <c r="A841" s="5">
        <v>206.49420000000001</v>
      </c>
      <c r="B841" s="5">
        <v>206.89259999999999</v>
      </c>
      <c r="C841" s="5">
        <v>202.66560000000001</v>
      </c>
      <c r="D841" s="5">
        <v>203.0446</v>
      </c>
      <c r="E841" s="5">
        <v>1530548</v>
      </c>
      <c r="F841" s="5" t="s">
        <v>446</v>
      </c>
      <c r="G841" s="9">
        <f t="shared" si="13"/>
        <v>1.6989370808186965E-2</v>
      </c>
    </row>
    <row r="842" spans="1:7">
      <c r="A842" s="5">
        <v>203.22919999999999</v>
      </c>
      <c r="B842" s="5">
        <v>205.9306</v>
      </c>
      <c r="C842" s="5">
        <v>202.46639999999999</v>
      </c>
      <c r="D842" s="5">
        <v>205.435</v>
      </c>
      <c r="E842" s="5">
        <v>907814</v>
      </c>
      <c r="F842" s="5" t="s">
        <v>445</v>
      </c>
      <c r="G842" s="9">
        <f t="shared" si="13"/>
        <v>-1.073721615109402E-2</v>
      </c>
    </row>
    <row r="843" spans="1:7">
      <c r="A843" s="5">
        <v>206.3485</v>
      </c>
      <c r="B843" s="5">
        <v>209.88560000000001</v>
      </c>
      <c r="C843" s="5">
        <v>205.55170000000001</v>
      </c>
      <c r="D843" s="5">
        <v>209.0693</v>
      </c>
      <c r="E843" s="5">
        <v>784275</v>
      </c>
      <c r="F843" s="5" t="s">
        <v>444</v>
      </c>
      <c r="G843" s="9">
        <f t="shared" si="13"/>
        <v>-1.3013866693962206E-2</v>
      </c>
    </row>
    <row r="844" spans="1:7">
      <c r="A844" s="5">
        <v>211.97479999999999</v>
      </c>
      <c r="B844" s="5">
        <v>214.6763</v>
      </c>
      <c r="C844" s="5">
        <v>211.2072</v>
      </c>
      <c r="D844" s="5">
        <v>214.5694</v>
      </c>
      <c r="E844" s="5">
        <v>915456</v>
      </c>
      <c r="F844" s="5" t="s">
        <v>443</v>
      </c>
      <c r="G844" s="9">
        <f t="shared" si="13"/>
        <v>-1.2092124972153617E-2</v>
      </c>
    </row>
    <row r="845" spans="1:7">
      <c r="A845" s="5">
        <v>214.5985</v>
      </c>
      <c r="B845" s="5">
        <v>216.85300000000001</v>
      </c>
      <c r="C845" s="5">
        <v>213.4033</v>
      </c>
      <c r="D845" s="5">
        <v>216.1242</v>
      </c>
      <c r="E845" s="5">
        <v>960750</v>
      </c>
      <c r="F845" s="5" t="s">
        <v>442</v>
      </c>
      <c r="G845" s="9">
        <f t="shared" si="13"/>
        <v>-7.059366790021615E-3</v>
      </c>
    </row>
    <row r="846" spans="1:7">
      <c r="A846" s="5">
        <v>215.17189999999999</v>
      </c>
      <c r="B846" s="5">
        <v>216.78489999999999</v>
      </c>
      <c r="C846" s="5">
        <v>213.42269999999999</v>
      </c>
      <c r="D846" s="5">
        <v>215.4537</v>
      </c>
      <c r="E846" s="5">
        <v>1018821</v>
      </c>
      <c r="F846" s="5" t="s">
        <v>441</v>
      </c>
      <c r="G846" s="9">
        <f t="shared" si="13"/>
        <v>-1.3079376218649852E-3</v>
      </c>
    </row>
    <row r="847" spans="1:7">
      <c r="A847" s="5">
        <v>217.82470000000001</v>
      </c>
      <c r="B847" s="5">
        <v>219.85560000000001</v>
      </c>
      <c r="C847" s="5">
        <v>215.71600000000001</v>
      </c>
      <c r="D847" s="5">
        <v>216.69749999999999</v>
      </c>
      <c r="E847" s="5">
        <v>1178571</v>
      </c>
      <c r="F847" s="5" t="s">
        <v>440</v>
      </c>
      <c r="G847" s="9">
        <f t="shared" si="13"/>
        <v>5.2017212935082657E-3</v>
      </c>
    </row>
    <row r="848" spans="1:7">
      <c r="A848" s="5">
        <v>218.22309999999999</v>
      </c>
      <c r="B848" s="5">
        <v>219.0804</v>
      </c>
      <c r="C848" s="5">
        <v>215.26900000000001</v>
      </c>
      <c r="D848" s="5">
        <v>215.7063</v>
      </c>
      <c r="E848" s="5">
        <v>1468142</v>
      </c>
      <c r="F848" s="5" t="s">
        <v>439</v>
      </c>
      <c r="G848" s="9">
        <f t="shared" si="13"/>
        <v>1.1667716705539011E-2</v>
      </c>
    </row>
    <row r="849" spans="1:7">
      <c r="A849" s="5">
        <v>216.8141</v>
      </c>
      <c r="B849" s="5">
        <v>217.01820000000001</v>
      </c>
      <c r="C849" s="5">
        <v>212.32470000000001</v>
      </c>
      <c r="D849" s="5">
        <v>212.51900000000001</v>
      </c>
      <c r="E849" s="5">
        <v>1084384</v>
      </c>
      <c r="F849" s="5" t="s">
        <v>438</v>
      </c>
      <c r="G849" s="9">
        <f t="shared" si="13"/>
        <v>2.0210428244062939E-2</v>
      </c>
    </row>
    <row r="850" spans="1:7">
      <c r="A850" s="5">
        <v>211.8485</v>
      </c>
      <c r="B850" s="5">
        <v>217.2611</v>
      </c>
      <c r="C850" s="5">
        <v>211.55699999999999</v>
      </c>
      <c r="D850" s="5">
        <v>214.8706</v>
      </c>
      <c r="E850" s="5">
        <v>1697200</v>
      </c>
      <c r="F850" s="5" t="s">
        <v>437</v>
      </c>
      <c r="G850" s="9">
        <f t="shared" si="13"/>
        <v>-1.4064744083183034E-2</v>
      </c>
    </row>
    <row r="851" spans="1:7">
      <c r="A851" s="5">
        <v>213.00489999999999</v>
      </c>
      <c r="B851" s="5">
        <v>213.0729</v>
      </c>
      <c r="C851" s="5">
        <v>210.18680000000001</v>
      </c>
      <c r="D851" s="5">
        <v>212.67449999999999</v>
      </c>
      <c r="E851" s="5">
        <v>1360115</v>
      </c>
      <c r="F851" s="5" t="s">
        <v>436</v>
      </c>
      <c r="G851" s="9">
        <f t="shared" si="13"/>
        <v>1.5535477925185948E-3</v>
      </c>
    </row>
    <row r="852" spans="1:7">
      <c r="A852" s="5">
        <v>208.875</v>
      </c>
      <c r="B852" s="5">
        <v>212.11089999999999</v>
      </c>
      <c r="C852" s="5">
        <v>208.0685</v>
      </c>
      <c r="D852" s="5">
        <v>210.94479999999999</v>
      </c>
      <c r="E852" s="5">
        <v>1329412</v>
      </c>
      <c r="F852" s="5" t="s">
        <v>435</v>
      </c>
      <c r="G852" s="9">
        <f t="shared" si="13"/>
        <v>-9.812045615725018E-3</v>
      </c>
    </row>
    <row r="853" spans="1:7">
      <c r="A853" s="5">
        <v>211.178</v>
      </c>
      <c r="B853" s="5">
        <v>212.15459999999999</v>
      </c>
      <c r="C853" s="5">
        <v>209.44829999999999</v>
      </c>
      <c r="D853" s="5">
        <v>211.46950000000001</v>
      </c>
      <c r="E853" s="5">
        <v>1319255</v>
      </c>
      <c r="F853" s="5" t="s">
        <v>434</v>
      </c>
      <c r="G853" s="9">
        <f t="shared" si="13"/>
        <v>-1.3784493744961601E-3</v>
      </c>
    </row>
    <row r="854" spans="1:7">
      <c r="A854" s="5">
        <v>209.69130000000001</v>
      </c>
      <c r="B854" s="5">
        <v>209.88560000000001</v>
      </c>
      <c r="C854" s="5">
        <v>206.05789999999999</v>
      </c>
      <c r="D854" s="5">
        <v>206.4845</v>
      </c>
      <c r="E854" s="5">
        <v>1152355</v>
      </c>
      <c r="F854" s="5" t="s">
        <v>433</v>
      </c>
      <c r="G854" s="9">
        <f t="shared" si="13"/>
        <v>1.5530463545689877E-2</v>
      </c>
    </row>
    <row r="855" spans="1:7">
      <c r="A855" s="5">
        <v>208.17529999999999</v>
      </c>
      <c r="B855" s="5">
        <v>210.41030000000001</v>
      </c>
      <c r="C855" s="5">
        <v>207.8741</v>
      </c>
      <c r="D855" s="5">
        <v>210.1771</v>
      </c>
      <c r="E855" s="5">
        <v>979896</v>
      </c>
      <c r="F855" s="5" t="s">
        <v>432</v>
      </c>
      <c r="G855" s="9">
        <f t="shared" si="13"/>
        <v>-9.5243487516004643E-3</v>
      </c>
    </row>
    <row r="856" spans="1:7">
      <c r="A856" s="5">
        <v>209.79810000000001</v>
      </c>
      <c r="B856" s="5">
        <v>211.4015</v>
      </c>
      <c r="C856" s="5">
        <v>206.9024</v>
      </c>
      <c r="D856" s="5">
        <v>208.67089999999999</v>
      </c>
      <c r="E856" s="5">
        <v>1032590</v>
      </c>
      <c r="F856" s="5" t="s">
        <v>431</v>
      </c>
      <c r="G856" s="9">
        <f t="shared" si="13"/>
        <v>5.4018073435251335E-3</v>
      </c>
    </row>
    <row r="857" spans="1:7">
      <c r="A857" s="5">
        <v>207.22300000000001</v>
      </c>
      <c r="B857" s="5">
        <v>210.2646</v>
      </c>
      <c r="C857" s="5">
        <v>206.30959999999999</v>
      </c>
      <c r="D857" s="5">
        <v>207.3785</v>
      </c>
      <c r="E857" s="5">
        <v>852627</v>
      </c>
      <c r="F857" s="5" t="s">
        <v>430</v>
      </c>
      <c r="G857" s="9">
        <f t="shared" si="13"/>
        <v>-7.4983665134031874E-4</v>
      </c>
    </row>
    <row r="858" spans="1:7">
      <c r="A858" s="5">
        <v>207.4563</v>
      </c>
      <c r="B858" s="5">
        <v>209.0153</v>
      </c>
      <c r="C858" s="5">
        <v>205.1241</v>
      </c>
      <c r="D858" s="5">
        <v>206.47479999999999</v>
      </c>
      <c r="E858" s="5">
        <v>1564228</v>
      </c>
      <c r="F858" s="5" t="s">
        <v>429</v>
      </c>
      <c r="G858" s="9">
        <f t="shared" si="13"/>
        <v>4.7536067355435918E-3</v>
      </c>
    </row>
    <row r="859" spans="1:7">
      <c r="A859" s="5">
        <v>208.6806</v>
      </c>
      <c r="B859" s="5">
        <v>211.83879999999999</v>
      </c>
      <c r="C859" s="5">
        <v>208.34049999999999</v>
      </c>
      <c r="D859" s="5">
        <v>211.58609999999999</v>
      </c>
      <c r="E859" s="5">
        <v>1981752</v>
      </c>
      <c r="F859" s="5" t="s">
        <v>428</v>
      </c>
      <c r="G859" s="9">
        <f t="shared" si="13"/>
        <v>-1.3731998463036965E-2</v>
      </c>
    </row>
    <row r="860" spans="1:7">
      <c r="A860" s="5">
        <v>212.83969999999999</v>
      </c>
      <c r="B860" s="5">
        <v>214.5694</v>
      </c>
      <c r="C860" s="5">
        <v>204.75479999999999</v>
      </c>
      <c r="D860" s="5">
        <v>205.81399999999999</v>
      </c>
      <c r="E860" s="5">
        <v>3674494</v>
      </c>
      <c r="F860" s="5" t="s">
        <v>427</v>
      </c>
      <c r="G860" s="9">
        <f t="shared" si="13"/>
        <v>3.4136161777138518E-2</v>
      </c>
    </row>
    <row r="861" spans="1:7">
      <c r="A861" s="5">
        <v>205.81399999999999</v>
      </c>
      <c r="B861" s="5">
        <v>214.7637</v>
      </c>
      <c r="C861" s="5">
        <v>200.18279999999999</v>
      </c>
      <c r="D861" s="5">
        <v>213.44220000000001</v>
      </c>
      <c r="E861" s="5">
        <v>3773520</v>
      </c>
      <c r="F861" s="5" t="s">
        <v>426</v>
      </c>
      <c r="G861" s="9">
        <f t="shared" si="13"/>
        <v>-3.5738949467350012E-2</v>
      </c>
    </row>
    <row r="862" spans="1:7">
      <c r="A862" s="5">
        <v>198.63290000000001</v>
      </c>
      <c r="B862" s="5">
        <v>199.28389999999999</v>
      </c>
      <c r="C862" s="5">
        <v>195.30950000000001</v>
      </c>
      <c r="D862" s="5">
        <v>196.80600000000001</v>
      </c>
      <c r="E862" s="5">
        <v>2307712</v>
      </c>
      <c r="F862" s="5" t="s">
        <v>425</v>
      </c>
      <c r="G862" s="9">
        <f t="shared" si="13"/>
        <v>9.2827454447526048E-3</v>
      </c>
    </row>
    <row r="863" spans="1:7">
      <c r="A863" s="5">
        <v>195.81479999999999</v>
      </c>
      <c r="B863" s="5">
        <v>196.20840000000001</v>
      </c>
      <c r="C863" s="5">
        <v>192.95429999999999</v>
      </c>
      <c r="D863" s="5">
        <v>193.9102</v>
      </c>
      <c r="E863" s="5">
        <v>1387987</v>
      </c>
      <c r="F863" s="5" t="s">
        <v>424</v>
      </c>
      <c r="G863" s="9">
        <f t="shared" si="13"/>
        <v>9.8220722788175951E-3</v>
      </c>
    </row>
    <row r="864" spans="1:7">
      <c r="A864" s="5">
        <v>193.78389999999999</v>
      </c>
      <c r="B864" s="5">
        <v>195.4359</v>
      </c>
      <c r="C864" s="5">
        <v>191.4615</v>
      </c>
      <c r="D864" s="5">
        <v>193.0454</v>
      </c>
      <c r="E864" s="5">
        <v>1800412</v>
      </c>
      <c r="F864" s="5" t="s">
        <v>423</v>
      </c>
      <c r="G864" s="9">
        <f t="shared" si="13"/>
        <v>3.8255249801342206E-3</v>
      </c>
    </row>
    <row r="865" spans="1:7">
      <c r="A865" s="5">
        <v>194.58070000000001</v>
      </c>
      <c r="B865" s="5">
        <v>194.8674</v>
      </c>
      <c r="C865" s="5">
        <v>190.8201</v>
      </c>
      <c r="D865" s="5">
        <v>192.03479999999999</v>
      </c>
      <c r="E865" s="5">
        <v>1420902</v>
      </c>
      <c r="F865" s="5" t="s">
        <v>422</v>
      </c>
      <c r="G865" s="9">
        <f t="shared" si="13"/>
        <v>1.3257492912742919E-2</v>
      </c>
    </row>
    <row r="866" spans="1:7">
      <c r="A866" s="5">
        <v>192.45259999999999</v>
      </c>
      <c r="B866" s="5">
        <v>194.12889999999999</v>
      </c>
      <c r="C866" s="5">
        <v>189.72200000000001</v>
      </c>
      <c r="D866" s="5">
        <v>191.47120000000001</v>
      </c>
      <c r="E866" s="5">
        <v>1613748</v>
      </c>
      <c r="F866" s="5" t="s">
        <v>421</v>
      </c>
      <c r="G866" s="9">
        <f t="shared" si="13"/>
        <v>5.1255750212040319E-3</v>
      </c>
    </row>
    <row r="867" spans="1:7">
      <c r="A867" s="5">
        <v>191.72380000000001</v>
      </c>
      <c r="B867" s="5">
        <v>191.88900000000001</v>
      </c>
      <c r="C867" s="5">
        <v>186.45699999999999</v>
      </c>
      <c r="D867" s="5">
        <v>187.0498</v>
      </c>
      <c r="E867" s="5">
        <v>2960610</v>
      </c>
      <c r="F867" s="5" t="s">
        <v>420</v>
      </c>
      <c r="G867" s="9">
        <f t="shared" si="13"/>
        <v>2.4987997848701315E-2</v>
      </c>
    </row>
    <row r="868" spans="1:7">
      <c r="A868" s="5">
        <v>183.92080000000001</v>
      </c>
      <c r="B868" s="5">
        <v>189.31389999999999</v>
      </c>
      <c r="C868" s="5">
        <v>183.50290000000001</v>
      </c>
      <c r="D868" s="5">
        <v>189.31389999999999</v>
      </c>
      <c r="E868" s="5">
        <v>2065953</v>
      </c>
      <c r="F868" s="5" t="s">
        <v>419</v>
      </c>
      <c r="G868" s="9">
        <f t="shared" si="13"/>
        <v>-2.848760709065723E-2</v>
      </c>
    </row>
    <row r="869" spans="1:7">
      <c r="A869" s="5">
        <v>189.25559999999999</v>
      </c>
      <c r="B869" s="5">
        <v>190.76669999999999</v>
      </c>
      <c r="C869" s="5">
        <v>187.8563</v>
      </c>
      <c r="D869" s="5">
        <v>190.4897</v>
      </c>
      <c r="E869" s="5">
        <v>1904031</v>
      </c>
      <c r="F869" s="5" t="s">
        <v>418</v>
      </c>
      <c r="G869" s="9">
        <f t="shared" si="13"/>
        <v>-6.4785655077413962E-3</v>
      </c>
    </row>
    <row r="870" spans="1:7">
      <c r="A870" s="5">
        <v>186.94290000000001</v>
      </c>
      <c r="B870" s="5">
        <v>187.58420000000001</v>
      </c>
      <c r="C870" s="5">
        <v>185.15</v>
      </c>
      <c r="D870" s="5">
        <v>186.2724</v>
      </c>
      <c r="E870" s="5">
        <v>1314277</v>
      </c>
      <c r="F870" s="5" t="s">
        <v>417</v>
      </c>
      <c r="G870" s="9">
        <f t="shared" si="13"/>
        <v>3.5995670856230344E-3</v>
      </c>
    </row>
    <row r="871" spans="1:7">
      <c r="A871" s="5">
        <v>188.69200000000001</v>
      </c>
      <c r="B871" s="5">
        <v>190.16900000000001</v>
      </c>
      <c r="C871" s="5">
        <v>185.92259999999999</v>
      </c>
      <c r="D871" s="5">
        <v>187.215</v>
      </c>
      <c r="E871" s="5">
        <v>1056709</v>
      </c>
      <c r="F871" s="5" t="s">
        <v>416</v>
      </c>
      <c r="G871" s="9">
        <f t="shared" ref="G871:G934" si="14">A871/D871-1</f>
        <v>7.8893251074967363E-3</v>
      </c>
    </row>
    <row r="872" spans="1:7">
      <c r="A872" s="5">
        <v>190.1885</v>
      </c>
      <c r="B872" s="5">
        <v>193.67699999999999</v>
      </c>
      <c r="C872" s="5">
        <v>189.4743</v>
      </c>
      <c r="D872" s="5">
        <v>191.09219999999999</v>
      </c>
      <c r="E872" s="5">
        <v>1061937</v>
      </c>
      <c r="F872" s="5" t="s">
        <v>415</v>
      </c>
      <c r="G872" s="9">
        <f t="shared" si="14"/>
        <v>-4.729130754682731E-3</v>
      </c>
    </row>
    <row r="873" spans="1:7">
      <c r="A873" s="5">
        <v>191.8502</v>
      </c>
      <c r="B873" s="5">
        <v>193.86160000000001</v>
      </c>
      <c r="C873" s="5">
        <v>190.72290000000001</v>
      </c>
      <c r="D873" s="5">
        <v>191.2963</v>
      </c>
      <c r="E873" s="5">
        <v>1120553</v>
      </c>
      <c r="F873" s="5" t="s">
        <v>414</v>
      </c>
      <c r="G873" s="9">
        <f t="shared" si="14"/>
        <v>2.8955081724006959E-3</v>
      </c>
    </row>
    <row r="874" spans="1:7">
      <c r="A874" s="5">
        <v>195.20259999999999</v>
      </c>
      <c r="B874" s="5">
        <v>197.5154</v>
      </c>
      <c r="C874" s="5">
        <v>194.06569999999999</v>
      </c>
      <c r="D874" s="5">
        <v>195.5428</v>
      </c>
      <c r="E874" s="5">
        <v>854635</v>
      </c>
      <c r="F874" s="5" t="s">
        <v>413</v>
      </c>
      <c r="G874" s="9">
        <f t="shared" si="14"/>
        <v>-1.7397725715291301E-3</v>
      </c>
    </row>
    <row r="875" spans="1:7">
      <c r="A875" s="5">
        <v>195.99950000000001</v>
      </c>
      <c r="B875" s="5">
        <v>196.29</v>
      </c>
      <c r="C875" s="5">
        <v>192.9676</v>
      </c>
      <c r="D875" s="5">
        <v>194.84309999999999</v>
      </c>
      <c r="E875" s="5">
        <v>2043101</v>
      </c>
      <c r="F875" s="5" t="s">
        <v>412</v>
      </c>
      <c r="G875" s="9">
        <f t="shared" si="14"/>
        <v>5.9350318281736758E-3</v>
      </c>
    </row>
    <row r="876" spans="1:7">
      <c r="A876" s="5">
        <v>195.08600000000001</v>
      </c>
      <c r="B876" s="5">
        <v>197.81659999999999</v>
      </c>
      <c r="C876" s="5">
        <v>193.63810000000001</v>
      </c>
      <c r="D876" s="5">
        <v>196.75739999999999</v>
      </c>
      <c r="E876" s="5">
        <v>1278806</v>
      </c>
      <c r="F876" s="5" t="s">
        <v>411</v>
      </c>
      <c r="G876" s="9">
        <f t="shared" si="14"/>
        <v>-8.4947249760363164E-3</v>
      </c>
    </row>
    <row r="877" spans="1:7">
      <c r="A877" s="5">
        <v>196.31039999999999</v>
      </c>
      <c r="B877" s="5">
        <v>196.8254</v>
      </c>
      <c r="C877" s="5">
        <v>191.50030000000001</v>
      </c>
      <c r="D877" s="5">
        <v>195.33869999999999</v>
      </c>
      <c r="E877" s="5">
        <v>1090346</v>
      </c>
      <c r="F877" s="5" t="s">
        <v>410</v>
      </c>
      <c r="G877" s="9">
        <f t="shared" si="14"/>
        <v>4.9744367091619779E-3</v>
      </c>
    </row>
    <row r="878" spans="1:7">
      <c r="A878" s="5">
        <v>198.0984</v>
      </c>
      <c r="B878" s="5">
        <v>198.38990000000001</v>
      </c>
      <c r="C878" s="5">
        <v>191.66550000000001</v>
      </c>
      <c r="D878" s="5">
        <v>193.3563</v>
      </c>
      <c r="E878" s="5">
        <v>1976558</v>
      </c>
      <c r="F878" s="5" t="s">
        <v>409</v>
      </c>
      <c r="G878" s="9">
        <f t="shared" si="14"/>
        <v>2.4525190024840215E-2</v>
      </c>
    </row>
    <row r="879" spans="1:7">
      <c r="A879" s="5">
        <v>193.30779999999999</v>
      </c>
      <c r="B879" s="5">
        <v>193.6284</v>
      </c>
      <c r="C879" s="5">
        <v>188.61429999999999</v>
      </c>
      <c r="D879" s="5">
        <v>191.685</v>
      </c>
      <c r="E879" s="5">
        <v>2424867</v>
      </c>
      <c r="F879" s="5" t="s">
        <v>408</v>
      </c>
      <c r="G879" s="9">
        <f t="shared" si="14"/>
        <v>8.4659728199909523E-3</v>
      </c>
    </row>
    <row r="880" spans="1:7">
      <c r="A880" s="5">
        <v>193.7936</v>
      </c>
      <c r="B880" s="5">
        <v>194.7841</v>
      </c>
      <c r="C880" s="5">
        <v>191.02420000000001</v>
      </c>
      <c r="D880" s="5">
        <v>193.09399999999999</v>
      </c>
      <c r="E880" s="5">
        <v>904584</v>
      </c>
      <c r="F880" s="5" t="s">
        <v>407</v>
      </c>
      <c r="G880" s="9">
        <f t="shared" si="14"/>
        <v>3.6231058448217279E-3</v>
      </c>
    </row>
    <row r="881" spans="1:7">
      <c r="A881" s="5">
        <v>191.5343</v>
      </c>
      <c r="B881" s="5">
        <v>198.8355</v>
      </c>
      <c r="C881" s="5">
        <v>191.38910000000001</v>
      </c>
      <c r="D881" s="5">
        <v>197.84780000000001</v>
      </c>
      <c r="E881" s="5">
        <v>1313379</v>
      </c>
      <c r="F881" s="5" t="s">
        <v>406</v>
      </c>
      <c r="G881" s="9">
        <f t="shared" si="14"/>
        <v>-3.1910893120873696E-2</v>
      </c>
    </row>
    <row r="882" spans="1:7">
      <c r="A882" s="5">
        <v>196.69550000000001</v>
      </c>
      <c r="B882" s="5">
        <v>199.0292</v>
      </c>
      <c r="C882" s="5">
        <v>195.35230000000001</v>
      </c>
      <c r="D882" s="5">
        <v>198.10929999999999</v>
      </c>
      <c r="E882" s="5">
        <v>1126109</v>
      </c>
      <c r="F882" s="5" t="s">
        <v>405</v>
      </c>
      <c r="G882" s="9">
        <f t="shared" si="14"/>
        <v>-7.1364645677914895E-3</v>
      </c>
    </row>
    <row r="883" spans="1:7">
      <c r="A883" s="5">
        <v>197.95429999999999</v>
      </c>
      <c r="B883" s="5">
        <v>198.5547</v>
      </c>
      <c r="C883" s="5">
        <v>193.59690000000001</v>
      </c>
      <c r="D883" s="5">
        <v>195.64</v>
      </c>
      <c r="E883" s="5">
        <v>1546242</v>
      </c>
      <c r="F883" s="5" t="s">
        <v>404</v>
      </c>
      <c r="G883" s="9">
        <f t="shared" si="14"/>
        <v>1.1829380494786434E-2</v>
      </c>
    </row>
    <row r="884" spans="1:7">
      <c r="A884" s="5">
        <v>193.7227</v>
      </c>
      <c r="B884" s="5">
        <v>194.95769999999999</v>
      </c>
      <c r="C884" s="5">
        <v>190.84780000000001</v>
      </c>
      <c r="D884" s="5">
        <v>191.1567</v>
      </c>
      <c r="E884" s="5">
        <v>1293016</v>
      </c>
      <c r="F884" s="5" t="s">
        <v>403</v>
      </c>
      <c r="G884" s="9">
        <f t="shared" si="14"/>
        <v>1.3423542046917536E-2</v>
      </c>
    </row>
    <row r="885" spans="1:7">
      <c r="A885" s="5">
        <v>190.51759999999999</v>
      </c>
      <c r="B885" s="5">
        <v>192.89</v>
      </c>
      <c r="C885" s="5">
        <v>187.21559999999999</v>
      </c>
      <c r="D885" s="5">
        <v>188.04839999999999</v>
      </c>
      <c r="E885" s="5">
        <v>1300861</v>
      </c>
      <c r="F885" s="5" t="s">
        <v>402</v>
      </c>
      <c r="G885" s="9">
        <f t="shared" si="14"/>
        <v>1.3130662106138669E-2</v>
      </c>
    </row>
    <row r="886" spans="1:7">
      <c r="A886" s="5">
        <v>189.5009</v>
      </c>
      <c r="B886" s="5">
        <v>191.97980000000001</v>
      </c>
      <c r="C886" s="5">
        <v>188.20330000000001</v>
      </c>
      <c r="D886" s="5">
        <v>191.16640000000001</v>
      </c>
      <c r="E886" s="5">
        <v>1411417</v>
      </c>
      <c r="F886" s="5" t="s">
        <v>401</v>
      </c>
      <c r="G886" s="9">
        <f t="shared" si="14"/>
        <v>-8.7123050912712996E-3</v>
      </c>
    </row>
    <row r="887" spans="1:7">
      <c r="A887" s="5">
        <v>187.9419</v>
      </c>
      <c r="B887" s="5">
        <v>193.4419</v>
      </c>
      <c r="C887" s="5">
        <v>187.79660000000001</v>
      </c>
      <c r="D887" s="5">
        <v>189.94630000000001</v>
      </c>
      <c r="E887" s="5">
        <v>2265203</v>
      </c>
      <c r="F887" s="5" t="s">
        <v>400</v>
      </c>
      <c r="G887" s="9">
        <f t="shared" si="14"/>
        <v>-1.0552456141551647E-2</v>
      </c>
    </row>
    <row r="888" spans="1:7">
      <c r="A888" s="5">
        <v>189.5009</v>
      </c>
      <c r="B888" s="5">
        <v>191.3794</v>
      </c>
      <c r="C888" s="5">
        <v>187.52549999999999</v>
      </c>
      <c r="D888" s="5">
        <v>190.4111</v>
      </c>
      <c r="E888" s="5">
        <v>1438496</v>
      </c>
      <c r="F888" s="5" t="s">
        <v>399</v>
      </c>
      <c r="G888" s="9">
        <f t="shared" si="14"/>
        <v>-4.7801835082094124E-3</v>
      </c>
    </row>
    <row r="889" spans="1:7">
      <c r="A889" s="5">
        <v>196.0951</v>
      </c>
      <c r="B889" s="5">
        <v>199.22280000000001</v>
      </c>
      <c r="C889" s="5">
        <v>193.0643</v>
      </c>
      <c r="D889" s="5">
        <v>197.13120000000001</v>
      </c>
      <c r="E889" s="5">
        <v>1651915</v>
      </c>
      <c r="F889" s="5" t="s">
        <v>398</v>
      </c>
      <c r="G889" s="9">
        <f t="shared" si="14"/>
        <v>-5.2558904932349382E-3</v>
      </c>
    </row>
    <row r="890" spans="1:7">
      <c r="A890" s="5">
        <v>194.22630000000001</v>
      </c>
      <c r="B890" s="5">
        <v>200.0556</v>
      </c>
      <c r="C890" s="5">
        <v>192.00880000000001</v>
      </c>
      <c r="D890" s="5">
        <v>199.3681</v>
      </c>
      <c r="E890" s="5">
        <v>1792829</v>
      </c>
      <c r="F890" s="5" t="s">
        <v>397</v>
      </c>
      <c r="G890" s="9">
        <f t="shared" si="14"/>
        <v>-2.579048503747583E-2</v>
      </c>
    </row>
    <row r="891" spans="1:7">
      <c r="A891" s="5">
        <v>200.53970000000001</v>
      </c>
      <c r="B891" s="5">
        <v>205.4588</v>
      </c>
      <c r="C891" s="5">
        <v>199.44550000000001</v>
      </c>
      <c r="D891" s="5">
        <v>203.72550000000001</v>
      </c>
      <c r="E891" s="5">
        <v>1762455</v>
      </c>
      <c r="F891" s="5" t="s">
        <v>396</v>
      </c>
      <c r="G891" s="9">
        <f t="shared" si="14"/>
        <v>-1.5637708583363441E-2</v>
      </c>
    </row>
    <row r="892" spans="1:7">
      <c r="A892" s="5">
        <v>209.54509999999999</v>
      </c>
      <c r="B892" s="5">
        <v>212.10149999999999</v>
      </c>
      <c r="C892" s="5">
        <v>207.38579999999999</v>
      </c>
      <c r="D892" s="5">
        <v>208.3638</v>
      </c>
      <c r="E892" s="5">
        <v>1346739</v>
      </c>
      <c r="F892" s="5" t="s">
        <v>395</v>
      </c>
      <c r="G892" s="9">
        <f t="shared" si="14"/>
        <v>5.6694109053492259E-3</v>
      </c>
    </row>
    <row r="893" spans="1:7">
      <c r="A893" s="5">
        <v>212.03370000000001</v>
      </c>
      <c r="B893" s="5">
        <v>218.50210000000001</v>
      </c>
      <c r="C893" s="5">
        <v>211.79169999999999</v>
      </c>
      <c r="D893" s="5">
        <v>218.06639999999999</v>
      </c>
      <c r="E893" s="5">
        <v>983845</v>
      </c>
      <c r="F893" s="5" t="s">
        <v>394</v>
      </c>
      <c r="G893" s="9">
        <f t="shared" si="14"/>
        <v>-2.7664509525538894E-2</v>
      </c>
    </row>
    <row r="894" spans="1:7">
      <c r="A894" s="5">
        <v>219.4898</v>
      </c>
      <c r="B894" s="5">
        <v>222.68530000000001</v>
      </c>
      <c r="C894" s="5">
        <v>219.13149999999999</v>
      </c>
      <c r="D894" s="5">
        <v>222.28829999999999</v>
      </c>
      <c r="E894" s="5">
        <v>660368</v>
      </c>
      <c r="F894" s="5" t="s">
        <v>393</v>
      </c>
      <c r="G894" s="9">
        <f t="shared" si="14"/>
        <v>-1.2589506510239157E-2</v>
      </c>
    </row>
    <row r="895" spans="1:7">
      <c r="A895" s="5">
        <v>223.3922</v>
      </c>
      <c r="B895" s="5">
        <v>223.70689999999999</v>
      </c>
      <c r="C895" s="5">
        <v>218.48159999999999</v>
      </c>
      <c r="D895" s="5">
        <v>218.84110000000001</v>
      </c>
      <c r="E895" s="5">
        <v>739912</v>
      </c>
      <c r="F895" s="5" t="s">
        <v>392</v>
      </c>
      <c r="G895" s="9">
        <f t="shared" si="14"/>
        <v>2.0796367775522961E-2</v>
      </c>
    </row>
    <row r="896" spans="1:7">
      <c r="A896" s="5">
        <v>220.9229</v>
      </c>
      <c r="B896" s="5">
        <v>224.11840000000001</v>
      </c>
      <c r="C896" s="5">
        <v>220.04660000000001</v>
      </c>
      <c r="D896" s="5">
        <v>223.7311</v>
      </c>
      <c r="E896" s="5">
        <v>794663</v>
      </c>
      <c r="F896" s="5" t="s">
        <v>391</v>
      </c>
      <c r="G896" s="9">
        <f t="shared" si="14"/>
        <v>-1.2551674755990505E-2</v>
      </c>
    </row>
    <row r="897" spans="1:7">
      <c r="A897" s="5">
        <v>221.7654</v>
      </c>
      <c r="B897" s="5">
        <v>225.048</v>
      </c>
      <c r="C897" s="5">
        <v>221.46520000000001</v>
      </c>
      <c r="D897" s="5">
        <v>225.048</v>
      </c>
      <c r="E897" s="5">
        <v>747297</v>
      </c>
      <c r="F897" s="5" t="s">
        <v>390</v>
      </c>
      <c r="G897" s="9">
        <f t="shared" si="14"/>
        <v>-1.4586221606057381E-2</v>
      </c>
    </row>
    <row r="898" spans="1:7">
      <c r="A898" s="5">
        <v>226.96530000000001</v>
      </c>
      <c r="B898" s="5">
        <v>227.12020000000001</v>
      </c>
      <c r="C898" s="5">
        <v>217.0932</v>
      </c>
      <c r="D898" s="5">
        <v>222.114</v>
      </c>
      <c r="E898" s="5">
        <v>1011524</v>
      </c>
      <c r="F898" s="5" t="s">
        <v>389</v>
      </c>
      <c r="G898" s="9">
        <f t="shared" si="14"/>
        <v>2.1841486804073718E-2</v>
      </c>
    </row>
    <row r="899" spans="1:7">
      <c r="A899" s="5">
        <v>220.77770000000001</v>
      </c>
      <c r="B899" s="5">
        <v>228.53399999999999</v>
      </c>
      <c r="C899" s="5">
        <v>218.44399999999999</v>
      </c>
      <c r="D899" s="5">
        <v>227.982</v>
      </c>
      <c r="E899" s="5">
        <v>1156634</v>
      </c>
      <c r="F899" s="5" t="s">
        <v>388</v>
      </c>
      <c r="G899" s="9">
        <f t="shared" si="14"/>
        <v>-3.1600301778210493E-2</v>
      </c>
    </row>
    <row r="900" spans="1:7">
      <c r="A900" s="5">
        <v>227.0718</v>
      </c>
      <c r="B900" s="5">
        <v>227.8271</v>
      </c>
      <c r="C900" s="5">
        <v>224.18620000000001</v>
      </c>
      <c r="D900" s="5">
        <v>227.02340000000001</v>
      </c>
      <c r="E900" s="5">
        <v>2090074</v>
      </c>
      <c r="F900" s="5" t="s">
        <v>387</v>
      </c>
      <c r="G900" s="9">
        <f t="shared" si="14"/>
        <v>2.1319388221652247E-4</v>
      </c>
    </row>
    <row r="901" spans="1:7">
      <c r="A901" s="5">
        <v>229.00839999999999</v>
      </c>
      <c r="B901" s="5">
        <v>231.0129</v>
      </c>
      <c r="C901" s="5">
        <v>228.68889999999999</v>
      </c>
      <c r="D901" s="5">
        <v>229.55070000000001</v>
      </c>
      <c r="E901" s="5">
        <v>1021253</v>
      </c>
      <c r="F901" s="5" t="s">
        <v>386</v>
      </c>
      <c r="G901" s="9">
        <f t="shared" si="14"/>
        <v>-2.3624410642181237E-3</v>
      </c>
    </row>
    <row r="902" spans="1:7">
      <c r="A902" s="5">
        <v>227.49789999999999</v>
      </c>
      <c r="B902" s="5">
        <v>229.81219999999999</v>
      </c>
      <c r="C902" s="5">
        <v>225.4547</v>
      </c>
      <c r="D902" s="5">
        <v>228.46619999999999</v>
      </c>
      <c r="E902" s="5">
        <v>907891</v>
      </c>
      <c r="F902" s="5" t="s">
        <v>385</v>
      </c>
      <c r="G902" s="9">
        <f t="shared" si="14"/>
        <v>-4.2382636906466153E-3</v>
      </c>
    </row>
    <row r="903" spans="1:7">
      <c r="A903" s="5">
        <v>227.56559999999999</v>
      </c>
      <c r="B903" s="5">
        <v>229.08590000000001</v>
      </c>
      <c r="C903" s="5">
        <v>223.702</v>
      </c>
      <c r="D903" s="5">
        <v>224.98990000000001</v>
      </c>
      <c r="E903" s="5">
        <v>1115441</v>
      </c>
      <c r="F903" s="5" t="s">
        <v>384</v>
      </c>
      <c r="G903" s="9">
        <f t="shared" si="14"/>
        <v>1.1448069446672759E-2</v>
      </c>
    </row>
    <row r="904" spans="1:7">
      <c r="A904" s="5">
        <v>225.8904</v>
      </c>
      <c r="B904" s="5">
        <v>226.8297</v>
      </c>
      <c r="C904" s="5">
        <v>222.3948</v>
      </c>
      <c r="D904" s="5">
        <v>225.0093</v>
      </c>
      <c r="E904" s="5">
        <v>771823</v>
      </c>
      <c r="F904" s="5" t="s">
        <v>383</v>
      </c>
      <c r="G904" s="9">
        <f t="shared" si="14"/>
        <v>3.9158381453565649E-3</v>
      </c>
    </row>
    <row r="905" spans="1:7">
      <c r="A905" s="5">
        <v>225.6677</v>
      </c>
      <c r="B905" s="5">
        <v>228.09819999999999</v>
      </c>
      <c r="C905" s="5">
        <v>223.28569999999999</v>
      </c>
      <c r="D905" s="5">
        <v>227.55600000000001</v>
      </c>
      <c r="E905" s="5">
        <v>925038</v>
      </c>
      <c r="F905" s="5" t="s">
        <v>382</v>
      </c>
      <c r="G905" s="9">
        <f t="shared" si="14"/>
        <v>-8.2981771519977654E-3</v>
      </c>
    </row>
    <row r="906" spans="1:7">
      <c r="A906" s="5">
        <v>224.8931</v>
      </c>
      <c r="B906" s="5">
        <v>226.65539999999999</v>
      </c>
      <c r="C906" s="5">
        <v>219.49950000000001</v>
      </c>
      <c r="D906" s="5">
        <v>225.65799999999999</v>
      </c>
      <c r="E906" s="5">
        <v>1086644</v>
      </c>
      <c r="F906" s="5" t="s">
        <v>381</v>
      </c>
      <c r="G906" s="9">
        <f t="shared" si="14"/>
        <v>-3.3896427336942425E-3</v>
      </c>
    </row>
    <row r="907" spans="1:7">
      <c r="A907" s="5">
        <v>223.1985</v>
      </c>
      <c r="B907" s="5">
        <v>224.90280000000001</v>
      </c>
      <c r="C907" s="5">
        <v>220.0224</v>
      </c>
      <c r="D907" s="5">
        <v>221.3974</v>
      </c>
      <c r="E907" s="5">
        <v>1920280</v>
      </c>
      <c r="F907" s="5" t="s">
        <v>380</v>
      </c>
      <c r="G907" s="9">
        <f t="shared" si="14"/>
        <v>8.1351452185074447E-3</v>
      </c>
    </row>
    <row r="908" spans="1:7">
      <c r="A908" s="5">
        <v>224.85429999999999</v>
      </c>
      <c r="B908" s="5">
        <v>229.85319999999999</v>
      </c>
      <c r="C908" s="5">
        <v>223.8715</v>
      </c>
      <c r="D908" s="5">
        <v>228.65020000000001</v>
      </c>
      <c r="E908" s="5">
        <v>1101346</v>
      </c>
      <c r="F908" s="5" t="s">
        <v>379</v>
      </c>
      <c r="G908" s="9">
        <f t="shared" si="14"/>
        <v>-1.6601341262767355E-2</v>
      </c>
    </row>
    <row r="909" spans="1:7">
      <c r="A909" s="5">
        <v>231.55510000000001</v>
      </c>
      <c r="B909" s="5">
        <v>231.92310000000001</v>
      </c>
      <c r="C909" s="5">
        <v>228.1951</v>
      </c>
      <c r="D909" s="5">
        <v>230.03489999999999</v>
      </c>
      <c r="E909" s="5">
        <v>1058353</v>
      </c>
      <c r="F909" s="5" t="s">
        <v>378</v>
      </c>
      <c r="G909" s="9">
        <f t="shared" si="14"/>
        <v>6.608562439873289E-3</v>
      </c>
    </row>
    <row r="910" spans="1:7">
      <c r="A910" s="5">
        <v>226.44239999999999</v>
      </c>
      <c r="B910" s="5">
        <v>227.84719999999999</v>
      </c>
      <c r="C910" s="5">
        <v>224.1378</v>
      </c>
      <c r="D910" s="5">
        <v>224.62190000000001</v>
      </c>
      <c r="E910" s="5">
        <v>985628</v>
      </c>
      <c r="F910" s="5" t="s">
        <v>377</v>
      </c>
      <c r="G910" s="9">
        <f t="shared" si="14"/>
        <v>8.1047306607235914E-3</v>
      </c>
    </row>
    <row r="911" spans="1:7">
      <c r="A911" s="5">
        <v>225.88079999999999</v>
      </c>
      <c r="B911" s="5">
        <v>228.40809999999999</v>
      </c>
      <c r="C911" s="5">
        <v>223.2276</v>
      </c>
      <c r="D911" s="5">
        <v>224.37020000000001</v>
      </c>
      <c r="E911" s="5">
        <v>1261311</v>
      </c>
      <c r="F911" s="5" t="s">
        <v>376</v>
      </c>
      <c r="G911" s="9">
        <f t="shared" si="14"/>
        <v>6.732623138010263E-3</v>
      </c>
    </row>
    <row r="912" spans="1:7">
      <c r="A912" s="5">
        <v>220.77770000000001</v>
      </c>
      <c r="B912" s="5">
        <v>221.2619</v>
      </c>
      <c r="C912" s="5">
        <v>216.94309999999999</v>
      </c>
      <c r="D912" s="5">
        <v>216.94309999999999</v>
      </c>
      <c r="E912" s="5">
        <v>1375532</v>
      </c>
      <c r="F912" s="5" t="s">
        <v>375</v>
      </c>
      <c r="G912" s="9">
        <f t="shared" si="14"/>
        <v>1.7675602496691534E-2</v>
      </c>
    </row>
    <row r="913" spans="1:7">
      <c r="A913" s="5">
        <v>219.53819999999999</v>
      </c>
      <c r="B913" s="5">
        <v>225.68709999999999</v>
      </c>
      <c r="C913" s="5">
        <v>218.87979999999999</v>
      </c>
      <c r="D913" s="5">
        <v>219.9837</v>
      </c>
      <c r="E913" s="5">
        <v>1429598</v>
      </c>
      <c r="F913" s="5" t="s">
        <v>374</v>
      </c>
      <c r="G913" s="9">
        <f t="shared" si="14"/>
        <v>-2.0251500452079796E-3</v>
      </c>
    </row>
    <row r="914" spans="1:7">
      <c r="A914" s="5">
        <v>220.3032</v>
      </c>
      <c r="B914" s="5">
        <v>225.9776</v>
      </c>
      <c r="C914" s="5">
        <v>216.9238</v>
      </c>
      <c r="D914" s="5">
        <v>224.16679999999999</v>
      </c>
      <c r="E914" s="5">
        <v>1857965</v>
      </c>
      <c r="F914" s="5" t="s">
        <v>373</v>
      </c>
      <c r="G914" s="9">
        <f t="shared" si="14"/>
        <v>-1.723538008304526E-2</v>
      </c>
    </row>
    <row r="915" spans="1:7">
      <c r="A915" s="5">
        <v>221.75569999999999</v>
      </c>
      <c r="B915" s="5">
        <v>229.00839999999999</v>
      </c>
      <c r="C915" s="5">
        <v>220.62280000000001</v>
      </c>
      <c r="D915" s="5">
        <v>228.0401</v>
      </c>
      <c r="E915" s="5">
        <v>2011184</v>
      </c>
      <c r="F915" s="5" t="s">
        <v>372</v>
      </c>
      <c r="G915" s="9">
        <f t="shared" si="14"/>
        <v>-2.7558311016351977E-2</v>
      </c>
    </row>
    <row r="916" spans="1:7">
      <c r="A916" s="5">
        <v>232.47499999999999</v>
      </c>
      <c r="B916" s="5">
        <v>233.55959999999999</v>
      </c>
      <c r="C916" s="5">
        <v>227.7303</v>
      </c>
      <c r="D916" s="5">
        <v>232.3588</v>
      </c>
      <c r="E916" s="5">
        <v>1506275</v>
      </c>
      <c r="F916" s="5" t="s">
        <v>371</v>
      </c>
      <c r="G916" s="9">
        <f t="shared" si="14"/>
        <v>5.0008865599227015E-4</v>
      </c>
    </row>
    <row r="917" spans="1:7">
      <c r="A917" s="5">
        <v>233.71449999999999</v>
      </c>
      <c r="B917" s="5">
        <v>238.97730000000001</v>
      </c>
      <c r="C917" s="5">
        <v>230.37379999999999</v>
      </c>
      <c r="D917" s="5">
        <v>236.2902</v>
      </c>
      <c r="E917" s="5">
        <v>1879912</v>
      </c>
      <c r="F917" s="5" t="s">
        <v>370</v>
      </c>
      <c r="G917" s="9">
        <f t="shared" si="14"/>
        <v>-1.0900579033747526E-2</v>
      </c>
    </row>
    <row r="918" spans="1:7">
      <c r="A918" s="5">
        <v>238.17850000000001</v>
      </c>
      <c r="B918" s="5">
        <v>239.90209999999999</v>
      </c>
      <c r="C918" s="5">
        <v>228.626</v>
      </c>
      <c r="D918" s="5">
        <v>230.916</v>
      </c>
      <c r="E918" s="5">
        <v>1654373</v>
      </c>
      <c r="F918" s="5" t="s">
        <v>369</v>
      </c>
      <c r="G918" s="9">
        <f t="shared" si="14"/>
        <v>3.145083060506848E-2</v>
      </c>
    </row>
    <row r="919" spans="1:7">
      <c r="A919" s="5">
        <v>230.33500000000001</v>
      </c>
      <c r="B919" s="5">
        <v>232.4847</v>
      </c>
      <c r="C919" s="5">
        <v>229.0181</v>
      </c>
      <c r="D919" s="5">
        <v>229.46360000000001</v>
      </c>
      <c r="E919" s="5">
        <v>1148056</v>
      </c>
      <c r="F919" s="5" t="s">
        <v>368</v>
      </c>
      <c r="G919" s="9">
        <f t="shared" si="14"/>
        <v>3.7975522043582899E-3</v>
      </c>
    </row>
    <row r="920" spans="1:7">
      <c r="A920" s="5">
        <v>229.46360000000001</v>
      </c>
      <c r="B920" s="5">
        <v>236.0094</v>
      </c>
      <c r="C920" s="5">
        <v>222.86930000000001</v>
      </c>
      <c r="D920" s="5">
        <v>234.0437</v>
      </c>
      <c r="E920" s="5">
        <v>1911608</v>
      </c>
      <c r="F920" s="5" t="s">
        <v>367</v>
      </c>
      <c r="G920" s="9">
        <f t="shared" si="14"/>
        <v>-1.956942229164893E-2</v>
      </c>
    </row>
    <row r="921" spans="1:7">
      <c r="A921" s="5">
        <v>233.61770000000001</v>
      </c>
      <c r="B921" s="5">
        <v>241.13669999999999</v>
      </c>
      <c r="C921" s="5">
        <v>233.1722</v>
      </c>
      <c r="D921" s="5">
        <v>240.95760000000001</v>
      </c>
      <c r="E921" s="5">
        <v>3090497</v>
      </c>
      <c r="F921" s="5" t="s">
        <v>366</v>
      </c>
      <c r="G921" s="9">
        <f t="shared" si="14"/>
        <v>-3.0461375777315225E-2</v>
      </c>
    </row>
    <row r="922" spans="1:7">
      <c r="A922" s="5">
        <v>244.11429999999999</v>
      </c>
      <c r="B922" s="5">
        <v>245.5813</v>
      </c>
      <c r="C922" s="5">
        <v>239.36949999999999</v>
      </c>
      <c r="D922" s="5">
        <v>243.48490000000001</v>
      </c>
      <c r="E922" s="5">
        <v>1628331</v>
      </c>
      <c r="F922" s="5" t="s">
        <v>365</v>
      </c>
      <c r="G922" s="9">
        <f t="shared" si="14"/>
        <v>2.5849652278231439E-3</v>
      </c>
    </row>
    <row r="923" spans="1:7">
      <c r="A923" s="5">
        <v>241.2577</v>
      </c>
      <c r="B923" s="5">
        <v>243.9932</v>
      </c>
      <c r="C923" s="5">
        <v>238.4109</v>
      </c>
      <c r="D923" s="5">
        <v>240.61859999999999</v>
      </c>
      <c r="E923" s="5">
        <v>1751153</v>
      </c>
      <c r="F923" s="5" t="s">
        <v>364</v>
      </c>
      <c r="G923" s="9">
        <f t="shared" si="14"/>
        <v>2.6560706445803994E-3</v>
      </c>
    </row>
    <row r="924" spans="1:7">
      <c r="A924" s="5">
        <v>241.01570000000001</v>
      </c>
      <c r="B924" s="5">
        <v>245.47649999999999</v>
      </c>
      <c r="C924" s="5">
        <v>241.01570000000001</v>
      </c>
      <c r="D924" s="5">
        <v>244.5016</v>
      </c>
      <c r="E924" s="5">
        <v>1354079</v>
      </c>
      <c r="F924" s="5" t="s">
        <v>363</v>
      </c>
      <c r="G924" s="9">
        <f t="shared" si="14"/>
        <v>-1.4257166415270861E-2</v>
      </c>
    </row>
    <row r="925" spans="1:7">
      <c r="A925" s="5">
        <v>245.7895</v>
      </c>
      <c r="B925" s="5">
        <v>246.48670000000001</v>
      </c>
      <c r="C925" s="5">
        <v>238.9725</v>
      </c>
      <c r="D925" s="5">
        <v>239.7568</v>
      </c>
      <c r="E925" s="5">
        <v>1800351</v>
      </c>
      <c r="F925" s="5" t="s">
        <v>362</v>
      </c>
      <c r="G925" s="9">
        <f t="shared" si="14"/>
        <v>2.5161747237200327E-2</v>
      </c>
    </row>
    <row r="926" spans="1:7">
      <c r="A926" s="5">
        <v>240.4443</v>
      </c>
      <c r="B926" s="5">
        <v>256.68310000000002</v>
      </c>
      <c r="C926" s="5">
        <v>238.6336</v>
      </c>
      <c r="D926" s="5">
        <v>254.70769999999999</v>
      </c>
      <c r="E926" s="5">
        <v>3099542</v>
      </c>
      <c r="F926" s="5" t="s">
        <v>361</v>
      </c>
      <c r="G926" s="9">
        <f t="shared" si="14"/>
        <v>-5.5999092292851715E-2</v>
      </c>
    </row>
    <row r="927" spans="1:7">
      <c r="A927" s="5">
        <v>261.47629999999998</v>
      </c>
      <c r="B927" s="5">
        <v>269.678</v>
      </c>
      <c r="C927" s="5">
        <v>261.35039999999998</v>
      </c>
      <c r="D927" s="5">
        <v>268.49669999999998</v>
      </c>
      <c r="E927" s="5">
        <v>1354432</v>
      </c>
      <c r="F927" s="5" t="s">
        <v>360</v>
      </c>
      <c r="G927" s="9">
        <f t="shared" si="14"/>
        <v>-2.6147062515107233E-2</v>
      </c>
    </row>
    <row r="928" spans="1:7">
      <c r="A928" s="5">
        <v>267.6155</v>
      </c>
      <c r="B928" s="5">
        <v>270.43329999999997</v>
      </c>
      <c r="C928" s="5">
        <v>262.98689999999999</v>
      </c>
      <c r="D928" s="5">
        <v>262.98689999999999</v>
      </c>
      <c r="E928" s="5">
        <v>1459547</v>
      </c>
      <c r="F928" s="5" t="s">
        <v>359</v>
      </c>
      <c r="G928" s="9">
        <f t="shared" si="14"/>
        <v>1.7600116203506655E-2</v>
      </c>
    </row>
    <row r="929" spans="1:7">
      <c r="A929" s="5">
        <v>263.06439999999998</v>
      </c>
      <c r="B929" s="5">
        <v>265.15600000000001</v>
      </c>
      <c r="C929" s="5">
        <v>252.13200000000001</v>
      </c>
      <c r="D929" s="5">
        <v>252.13200000000001</v>
      </c>
      <c r="E929" s="5">
        <v>2345382</v>
      </c>
      <c r="F929" s="5" t="s">
        <v>358</v>
      </c>
      <c r="G929" s="9">
        <f t="shared" si="14"/>
        <v>4.3359827392000838E-2</v>
      </c>
    </row>
    <row r="930" spans="1:7">
      <c r="A930" s="5">
        <v>250.75700000000001</v>
      </c>
      <c r="B930" s="5">
        <v>254.3107</v>
      </c>
      <c r="C930" s="5">
        <v>249.54660000000001</v>
      </c>
      <c r="D930" s="5">
        <v>252.17070000000001</v>
      </c>
      <c r="E930" s="5">
        <v>590816</v>
      </c>
      <c r="F930" s="5" t="s">
        <v>357</v>
      </c>
      <c r="G930" s="9">
        <f t="shared" si="14"/>
        <v>-5.6061231538795386E-3</v>
      </c>
    </row>
    <row r="931" spans="1:7">
      <c r="A931" s="5">
        <v>253.4102</v>
      </c>
      <c r="B931" s="5">
        <v>257.12959999999998</v>
      </c>
      <c r="C931" s="5">
        <v>252.89699999999999</v>
      </c>
      <c r="D931" s="5">
        <v>257.1189</v>
      </c>
      <c r="E931" s="5">
        <v>913008</v>
      </c>
      <c r="F931" s="5" t="s">
        <v>356</v>
      </c>
      <c r="G931" s="9">
        <f t="shared" si="14"/>
        <v>-1.4424066064377183E-2</v>
      </c>
    </row>
    <row r="932" spans="1:7">
      <c r="A932" s="5">
        <v>255.28870000000001</v>
      </c>
      <c r="B932" s="5">
        <v>255.7414</v>
      </c>
      <c r="C932" s="5">
        <v>251.2799</v>
      </c>
      <c r="D932" s="5">
        <v>251.2799</v>
      </c>
      <c r="E932" s="5">
        <v>864939</v>
      </c>
      <c r="F932" s="5" t="s">
        <v>355</v>
      </c>
      <c r="G932" s="9">
        <f t="shared" si="14"/>
        <v>1.5953524336805414E-2</v>
      </c>
    </row>
    <row r="933" spans="1:7">
      <c r="A933" s="5">
        <v>254.10740000000001</v>
      </c>
      <c r="B933" s="5">
        <v>256.95429999999999</v>
      </c>
      <c r="C933" s="5">
        <v>252.25790000000001</v>
      </c>
      <c r="D933" s="5">
        <v>255.23060000000001</v>
      </c>
      <c r="E933" s="5">
        <v>945887</v>
      </c>
      <c r="F933" s="5" t="s">
        <v>354</v>
      </c>
      <c r="G933" s="9">
        <f t="shared" si="14"/>
        <v>-4.4007262452072649E-3</v>
      </c>
    </row>
    <row r="934" spans="1:7">
      <c r="A934" s="5">
        <v>254.9982</v>
      </c>
      <c r="B934" s="5">
        <v>259.92700000000002</v>
      </c>
      <c r="C934" s="5">
        <v>254.60120000000001</v>
      </c>
      <c r="D934" s="5">
        <v>259.03609999999998</v>
      </c>
      <c r="E934" s="5">
        <v>1046488</v>
      </c>
      <c r="F934" s="5" t="s">
        <v>353</v>
      </c>
      <c r="G934" s="9">
        <f t="shared" si="14"/>
        <v>-1.5588174775639341E-2</v>
      </c>
    </row>
    <row r="935" spans="1:7">
      <c r="A935" s="5">
        <v>260.9341</v>
      </c>
      <c r="B935" s="5">
        <v>262.81259999999997</v>
      </c>
      <c r="C935" s="5">
        <v>258.28570000000002</v>
      </c>
      <c r="D935" s="5">
        <v>261.30200000000002</v>
      </c>
      <c r="E935" s="5">
        <v>1097170</v>
      </c>
      <c r="F935" s="5" t="s">
        <v>352</v>
      </c>
      <c r="G935" s="9">
        <f t="shared" ref="G935:G998" si="15">A935/D935-1</f>
        <v>-1.4079494225073264E-3</v>
      </c>
    </row>
    <row r="936" spans="1:7">
      <c r="A936" s="5">
        <v>261.61189999999999</v>
      </c>
      <c r="B936" s="5">
        <v>262.8707</v>
      </c>
      <c r="C936" s="5">
        <v>257.04239999999999</v>
      </c>
      <c r="D936" s="5">
        <v>258.6585</v>
      </c>
      <c r="E936" s="5">
        <v>1372655</v>
      </c>
      <c r="F936" s="5" t="s">
        <v>351</v>
      </c>
      <c r="G936" s="9">
        <f t="shared" si="15"/>
        <v>1.1418144000680419E-2</v>
      </c>
    </row>
    <row r="937" spans="1:7">
      <c r="A937" s="5">
        <v>259.70429999999999</v>
      </c>
      <c r="B937" s="5">
        <v>260.21749999999997</v>
      </c>
      <c r="C937" s="5">
        <v>249.47880000000001</v>
      </c>
      <c r="D937" s="5">
        <v>249.80799999999999</v>
      </c>
      <c r="E937" s="5">
        <v>4085794</v>
      </c>
      <c r="F937" s="5" t="s">
        <v>350</v>
      </c>
      <c r="G937" s="9">
        <f t="shared" si="15"/>
        <v>3.9615624799846261E-2</v>
      </c>
    </row>
    <row r="938" spans="1:7">
      <c r="A938" s="5">
        <v>259.9948</v>
      </c>
      <c r="B938" s="5">
        <v>261.3698</v>
      </c>
      <c r="C938" s="5">
        <v>255.69909999999999</v>
      </c>
      <c r="D938" s="5">
        <v>255.83099999999999</v>
      </c>
      <c r="E938" s="5">
        <v>2199658</v>
      </c>
      <c r="F938" s="5" t="s">
        <v>349</v>
      </c>
      <c r="G938" s="9">
        <f t="shared" si="15"/>
        <v>1.6275588181260403E-2</v>
      </c>
    </row>
    <row r="939" spans="1:7">
      <c r="A939" s="5">
        <v>256.72190000000001</v>
      </c>
      <c r="B939" s="5">
        <v>259.49130000000002</v>
      </c>
      <c r="C939" s="5">
        <v>253.85560000000001</v>
      </c>
      <c r="D939" s="5">
        <v>259.23950000000002</v>
      </c>
      <c r="E939" s="5">
        <v>1264635</v>
      </c>
      <c r="F939" s="5" t="s">
        <v>348</v>
      </c>
      <c r="G939" s="9">
        <f t="shared" si="15"/>
        <v>-9.7114830108838701E-3</v>
      </c>
    </row>
    <row r="940" spans="1:7">
      <c r="A940" s="5">
        <v>260.5274</v>
      </c>
      <c r="B940" s="5">
        <v>262.17349999999999</v>
      </c>
      <c r="C940" s="5">
        <v>258.31959999999998</v>
      </c>
      <c r="D940" s="5">
        <v>259.77210000000002</v>
      </c>
      <c r="E940" s="5">
        <v>1044615</v>
      </c>
      <c r="F940" s="5" t="s">
        <v>347</v>
      </c>
      <c r="G940" s="9">
        <f t="shared" si="15"/>
        <v>2.9075485781575594E-3</v>
      </c>
    </row>
    <row r="941" spans="1:7">
      <c r="A941" s="5">
        <v>258.88119999999998</v>
      </c>
      <c r="B941" s="5">
        <v>262.97719999999998</v>
      </c>
      <c r="C941" s="5">
        <v>258.55200000000002</v>
      </c>
      <c r="D941" s="5">
        <v>259.40410000000003</v>
      </c>
      <c r="E941" s="5">
        <v>1565958</v>
      </c>
      <c r="F941" s="5" t="s">
        <v>346</v>
      </c>
      <c r="G941" s="9">
        <f t="shared" si="15"/>
        <v>-2.0157738447467155E-3</v>
      </c>
    </row>
    <row r="942" spans="1:7">
      <c r="A942" s="5">
        <v>260.61450000000002</v>
      </c>
      <c r="B942" s="5">
        <v>263.81479999999999</v>
      </c>
      <c r="C942" s="5">
        <v>259.09910000000002</v>
      </c>
      <c r="D942" s="5">
        <v>262.31880000000001</v>
      </c>
      <c r="E942" s="5">
        <v>939755</v>
      </c>
      <c r="F942" s="5" t="s">
        <v>345</v>
      </c>
      <c r="G942" s="9">
        <f t="shared" si="15"/>
        <v>-6.4970562536882381E-3</v>
      </c>
    </row>
    <row r="943" spans="1:7">
      <c r="A943" s="5">
        <v>263.65019999999998</v>
      </c>
      <c r="B943" s="5">
        <v>264.7706</v>
      </c>
      <c r="C943" s="5">
        <v>260.67540000000002</v>
      </c>
      <c r="D943" s="5">
        <v>262.89679999999998</v>
      </c>
      <c r="E943" s="5">
        <v>1025358</v>
      </c>
      <c r="F943" s="5" t="s">
        <v>344</v>
      </c>
      <c r="G943" s="9">
        <f t="shared" si="15"/>
        <v>2.865763295711421E-3</v>
      </c>
    </row>
    <row r="944" spans="1:7">
      <c r="A944" s="5">
        <v>260.89749999999998</v>
      </c>
      <c r="B944" s="5">
        <v>261.00380000000001</v>
      </c>
      <c r="C944" s="5">
        <v>255.74469999999999</v>
      </c>
      <c r="D944" s="5">
        <v>258.14479999999998</v>
      </c>
      <c r="E944" s="5">
        <v>1004464</v>
      </c>
      <c r="F944" s="5" t="s">
        <v>343</v>
      </c>
      <c r="G944" s="9">
        <f t="shared" si="15"/>
        <v>1.0663395117778807E-2</v>
      </c>
    </row>
    <row r="945" spans="1:7">
      <c r="A945" s="5">
        <v>256.91820000000001</v>
      </c>
      <c r="B945" s="5">
        <v>257.15960000000001</v>
      </c>
      <c r="C945" s="5">
        <v>253.6439</v>
      </c>
      <c r="D945" s="5">
        <v>254.98650000000001</v>
      </c>
      <c r="E945" s="5">
        <v>829688</v>
      </c>
      <c r="F945" s="5" t="s">
        <v>342</v>
      </c>
      <c r="G945" s="9">
        <f t="shared" si="15"/>
        <v>7.5756951838628073E-3</v>
      </c>
    </row>
    <row r="946" spans="1:7">
      <c r="A946" s="5">
        <v>254.03030000000001</v>
      </c>
      <c r="B946" s="5">
        <v>254.06890000000001</v>
      </c>
      <c r="C946" s="5">
        <v>247.94540000000001</v>
      </c>
      <c r="D946" s="5">
        <v>248.65039999999999</v>
      </c>
      <c r="E946" s="5">
        <v>1177297</v>
      </c>
      <c r="F946" s="5" t="s">
        <v>341</v>
      </c>
      <c r="G946" s="9">
        <f t="shared" si="15"/>
        <v>2.1636401952299433E-2</v>
      </c>
    </row>
    <row r="947" spans="1:7">
      <c r="A947" s="5">
        <v>246.74770000000001</v>
      </c>
      <c r="B947" s="5">
        <v>256.2131</v>
      </c>
      <c r="C947" s="5">
        <v>246.12469999999999</v>
      </c>
      <c r="D947" s="5">
        <v>255.99100000000001</v>
      </c>
      <c r="E947" s="5">
        <v>1777996</v>
      </c>
      <c r="F947" s="5" t="s">
        <v>340</v>
      </c>
      <c r="G947" s="9">
        <f t="shared" si="15"/>
        <v>-3.6107910043712499E-2</v>
      </c>
    </row>
    <row r="948" spans="1:7">
      <c r="A948" s="5">
        <v>257.85509999999999</v>
      </c>
      <c r="B948" s="5">
        <v>259.32319999999999</v>
      </c>
      <c r="C948" s="5">
        <v>256.72500000000002</v>
      </c>
      <c r="D948" s="5">
        <v>257.03410000000002</v>
      </c>
      <c r="E948" s="5">
        <v>1487624</v>
      </c>
      <c r="F948" s="5" t="s">
        <v>339</v>
      </c>
      <c r="G948" s="9">
        <f t="shared" si="15"/>
        <v>3.1941287167731591E-3</v>
      </c>
    </row>
    <row r="949" spans="1:7">
      <c r="A949" s="5">
        <v>256.71530000000001</v>
      </c>
      <c r="B949" s="5">
        <v>258.51179999999999</v>
      </c>
      <c r="C949" s="5">
        <v>254.35380000000001</v>
      </c>
      <c r="D949" s="5">
        <v>257.84539999999998</v>
      </c>
      <c r="E949" s="5">
        <v>1077975</v>
      </c>
      <c r="F949" s="5" t="s">
        <v>338</v>
      </c>
      <c r="G949" s="9">
        <f t="shared" si="15"/>
        <v>-4.3828588758999532E-3</v>
      </c>
    </row>
    <row r="950" spans="1:7">
      <c r="A950" s="5">
        <v>258.2124</v>
      </c>
      <c r="B950" s="5">
        <v>258.64710000000002</v>
      </c>
      <c r="C950" s="5">
        <v>252.6105</v>
      </c>
      <c r="D950" s="5">
        <v>254.61940000000001</v>
      </c>
      <c r="E950" s="5">
        <v>2190133</v>
      </c>
      <c r="F950" s="5" t="s">
        <v>337</v>
      </c>
      <c r="G950" s="9">
        <f t="shared" si="15"/>
        <v>1.4111257822459589E-2</v>
      </c>
    </row>
    <row r="951" spans="1:7">
      <c r="A951" s="5">
        <v>254.98650000000001</v>
      </c>
      <c r="B951" s="5">
        <v>255.00579999999999</v>
      </c>
      <c r="C951" s="5">
        <v>249.75149999999999</v>
      </c>
      <c r="D951" s="5">
        <v>249.75149999999999</v>
      </c>
      <c r="E951" s="5">
        <v>1454437</v>
      </c>
      <c r="F951" s="5" t="s">
        <v>336</v>
      </c>
      <c r="G951" s="9">
        <f t="shared" si="15"/>
        <v>2.0960835070059636E-2</v>
      </c>
    </row>
    <row r="952" spans="1:7">
      <c r="A952" s="5">
        <v>253.20930000000001</v>
      </c>
      <c r="B952" s="5">
        <v>254.5711</v>
      </c>
      <c r="C952" s="5">
        <v>247.74449999999999</v>
      </c>
      <c r="D952" s="5">
        <v>249.19130000000001</v>
      </c>
      <c r="E952" s="5">
        <v>1530221</v>
      </c>
      <c r="F952" s="5" t="s">
        <v>335</v>
      </c>
      <c r="G952" s="9">
        <f t="shared" si="15"/>
        <v>1.6124158427681889E-2</v>
      </c>
    </row>
    <row r="953" spans="1:7">
      <c r="A953" s="5">
        <v>245.65629999999999</v>
      </c>
      <c r="B953" s="5">
        <v>246.1875</v>
      </c>
      <c r="C953" s="5">
        <v>240.18469999999999</v>
      </c>
      <c r="D953" s="5">
        <v>240.85599999999999</v>
      </c>
      <c r="E953" s="5">
        <v>1474554</v>
      </c>
      <c r="F953" s="5" t="s">
        <v>334</v>
      </c>
      <c r="G953" s="9">
        <f t="shared" si="15"/>
        <v>1.9930165742186201E-2</v>
      </c>
    </row>
    <row r="954" spans="1:7">
      <c r="A954" s="5">
        <v>237.45609999999999</v>
      </c>
      <c r="B954" s="5">
        <v>243.1232</v>
      </c>
      <c r="C954" s="5">
        <v>234.9932</v>
      </c>
      <c r="D954" s="5">
        <v>241.6866</v>
      </c>
      <c r="E954" s="5">
        <v>1582867</v>
      </c>
      <c r="F954" s="5" t="s">
        <v>333</v>
      </c>
      <c r="G954" s="9">
        <f t="shared" si="15"/>
        <v>-1.7504073457113467E-2</v>
      </c>
    </row>
    <row r="955" spans="1:7">
      <c r="A955" s="5">
        <v>239.31059999999999</v>
      </c>
      <c r="B955" s="5">
        <v>243.37690000000001</v>
      </c>
      <c r="C955" s="5">
        <v>239.1174</v>
      </c>
      <c r="D955" s="5">
        <v>241.87010000000001</v>
      </c>
      <c r="E955" s="5">
        <v>1261186</v>
      </c>
      <c r="F955" s="5" t="s">
        <v>332</v>
      </c>
      <c r="G955" s="9">
        <f t="shared" si="15"/>
        <v>-1.0582126521632929E-2</v>
      </c>
    </row>
    <row r="956" spans="1:7">
      <c r="A956" s="5">
        <v>239.89009999999999</v>
      </c>
      <c r="B956" s="5">
        <v>240.46960000000001</v>
      </c>
      <c r="C956" s="5">
        <v>235.52440000000001</v>
      </c>
      <c r="D956" s="5">
        <v>237.38849999999999</v>
      </c>
      <c r="E956" s="5">
        <v>1696945</v>
      </c>
      <c r="F956" s="5" t="s">
        <v>331</v>
      </c>
      <c r="G956" s="9">
        <f t="shared" si="15"/>
        <v>1.0537999945237519E-2</v>
      </c>
    </row>
    <row r="957" spans="1:7">
      <c r="A957" s="5">
        <v>241.16499999999999</v>
      </c>
      <c r="B957" s="5">
        <v>244.07230000000001</v>
      </c>
      <c r="C957" s="5">
        <v>237.34020000000001</v>
      </c>
      <c r="D957" s="5">
        <v>244.07230000000001</v>
      </c>
      <c r="E957" s="5">
        <v>1731072</v>
      </c>
      <c r="F957" s="5" t="s">
        <v>330</v>
      </c>
      <c r="G957" s="9">
        <f t="shared" si="15"/>
        <v>-1.1911634380468494E-2</v>
      </c>
    </row>
    <row r="958" spans="1:7">
      <c r="A958" s="5">
        <v>237.32089999999999</v>
      </c>
      <c r="B958" s="5">
        <v>244.20750000000001</v>
      </c>
      <c r="C958" s="5">
        <v>235.89150000000001</v>
      </c>
      <c r="D958" s="5">
        <v>242.63310000000001</v>
      </c>
      <c r="E958" s="5">
        <v>1956903</v>
      </c>
      <c r="F958" s="5" t="s">
        <v>329</v>
      </c>
      <c r="G958" s="9">
        <f t="shared" si="15"/>
        <v>-2.1893962530256661E-2</v>
      </c>
    </row>
    <row r="959" spans="1:7">
      <c r="A959" s="5">
        <v>244.75800000000001</v>
      </c>
      <c r="B959" s="5">
        <v>257.7681</v>
      </c>
      <c r="C959" s="5">
        <v>243.0968</v>
      </c>
      <c r="D959" s="5">
        <v>256.358</v>
      </c>
      <c r="E959" s="5">
        <v>1766555</v>
      </c>
      <c r="F959" s="5" t="s">
        <v>328</v>
      </c>
      <c r="G959" s="9">
        <f t="shared" si="15"/>
        <v>-4.5249221791401117E-2</v>
      </c>
    </row>
    <row r="960" spans="1:7">
      <c r="A960" s="5">
        <v>257.98059999999998</v>
      </c>
      <c r="B960" s="5">
        <v>258.1062</v>
      </c>
      <c r="C960" s="5">
        <v>251.8185</v>
      </c>
      <c r="D960" s="5">
        <v>254.5711</v>
      </c>
      <c r="E960" s="5">
        <v>1113990</v>
      </c>
      <c r="F960" s="5" t="s">
        <v>327</v>
      </c>
      <c r="G960" s="9">
        <f t="shared" si="15"/>
        <v>1.3393114929385108E-2</v>
      </c>
    </row>
    <row r="961" spans="1:7">
      <c r="A961" s="5">
        <v>257.37209999999999</v>
      </c>
      <c r="B961" s="5">
        <v>261.6026</v>
      </c>
      <c r="C961" s="5">
        <v>254.9478</v>
      </c>
      <c r="D961" s="5">
        <v>260.00889999999998</v>
      </c>
      <c r="E961" s="5">
        <v>924943</v>
      </c>
      <c r="F961" s="5" t="s">
        <v>326</v>
      </c>
      <c r="G961" s="9">
        <f t="shared" si="15"/>
        <v>-1.0141191320758636E-2</v>
      </c>
    </row>
    <row r="962" spans="1:7">
      <c r="A962" s="5">
        <v>259.32319999999999</v>
      </c>
      <c r="B962" s="5">
        <v>262.12419999999997</v>
      </c>
      <c r="C962" s="5">
        <v>254.8706</v>
      </c>
      <c r="D962" s="5">
        <v>255.95230000000001</v>
      </c>
      <c r="E962" s="5">
        <v>1816155</v>
      </c>
      <c r="F962" s="5" t="s">
        <v>325</v>
      </c>
      <c r="G962" s="9">
        <f t="shared" si="15"/>
        <v>1.317003207238221E-2</v>
      </c>
    </row>
    <row r="963" spans="1:7">
      <c r="A963" s="5">
        <v>253.65360000000001</v>
      </c>
      <c r="B963" s="5">
        <v>255.64320000000001</v>
      </c>
      <c r="C963" s="5">
        <v>250.47110000000001</v>
      </c>
      <c r="D963" s="5">
        <v>254.1848</v>
      </c>
      <c r="E963" s="5">
        <v>1937753</v>
      </c>
      <c r="F963" s="5" t="s">
        <v>324</v>
      </c>
      <c r="G963" s="9">
        <f t="shared" si="15"/>
        <v>-2.08981811658282E-3</v>
      </c>
    </row>
    <row r="964" spans="1:7">
      <c r="A964" s="5">
        <v>254.3587</v>
      </c>
      <c r="B964" s="5">
        <v>255.4308</v>
      </c>
      <c r="C964" s="5">
        <v>251.43209999999999</v>
      </c>
      <c r="D964" s="5">
        <v>253.161</v>
      </c>
      <c r="E964" s="5">
        <v>1300578</v>
      </c>
      <c r="F964" s="5" t="s">
        <v>323</v>
      </c>
      <c r="G964" s="9">
        <f t="shared" si="15"/>
        <v>4.730981470289608E-3</v>
      </c>
    </row>
    <row r="965" spans="1:7">
      <c r="A965" s="5">
        <v>256.71530000000001</v>
      </c>
      <c r="B965" s="5">
        <v>256.99540000000002</v>
      </c>
      <c r="C965" s="5">
        <v>248.36580000000001</v>
      </c>
      <c r="D965" s="5">
        <v>249.6549</v>
      </c>
      <c r="E965" s="5">
        <v>1433240</v>
      </c>
      <c r="F965" s="5" t="s">
        <v>322</v>
      </c>
      <c r="G965" s="9">
        <f t="shared" si="15"/>
        <v>2.8280638593514595E-2</v>
      </c>
    </row>
    <row r="966" spans="1:7">
      <c r="A966" s="5">
        <v>248.9016</v>
      </c>
      <c r="B966" s="5">
        <v>249.6549</v>
      </c>
      <c r="C966" s="5">
        <v>237.601</v>
      </c>
      <c r="D966" s="5">
        <v>240.74969999999999</v>
      </c>
      <c r="E966" s="5">
        <v>1889867</v>
      </c>
      <c r="F966" s="5" t="s">
        <v>321</v>
      </c>
      <c r="G966" s="9">
        <f t="shared" si="15"/>
        <v>3.386047833081407E-2</v>
      </c>
    </row>
    <row r="967" spans="1:7">
      <c r="A967" s="5">
        <v>244.96090000000001</v>
      </c>
      <c r="B967" s="5">
        <v>248.2448</v>
      </c>
      <c r="C967" s="5">
        <v>242.8843</v>
      </c>
      <c r="D967" s="5">
        <v>244.45859999999999</v>
      </c>
      <c r="E967" s="5">
        <v>1975350</v>
      </c>
      <c r="F967" s="5" t="s">
        <v>320</v>
      </c>
      <c r="G967" s="9">
        <f t="shared" si="15"/>
        <v>2.0547446479690645E-3</v>
      </c>
    </row>
    <row r="968" spans="1:7">
      <c r="A968" s="5">
        <v>241.66730000000001</v>
      </c>
      <c r="B968" s="5">
        <v>243.87909999999999</v>
      </c>
      <c r="C968" s="5">
        <v>238.876</v>
      </c>
      <c r="D968" s="5">
        <v>239.1078</v>
      </c>
      <c r="E968" s="5">
        <v>1678601</v>
      </c>
      <c r="F968" s="5" t="s">
        <v>319</v>
      </c>
      <c r="G968" s="9">
        <f t="shared" si="15"/>
        <v>1.0704376854289155E-2</v>
      </c>
    </row>
    <row r="969" spans="1:7">
      <c r="A969" s="5">
        <v>239.66800000000001</v>
      </c>
      <c r="B969" s="5">
        <v>244.56</v>
      </c>
      <c r="C969" s="5">
        <v>238.36410000000001</v>
      </c>
      <c r="D969" s="5">
        <v>242.39169999999999</v>
      </c>
      <c r="E969" s="5">
        <v>1290927</v>
      </c>
      <c r="F969" s="5" t="s">
        <v>318</v>
      </c>
      <c r="G969" s="9">
        <f t="shared" si="15"/>
        <v>-1.1236770896033033E-2</v>
      </c>
    </row>
    <row r="970" spans="1:7">
      <c r="A970" s="5">
        <v>242.9905</v>
      </c>
      <c r="B970" s="5">
        <v>249.2396</v>
      </c>
      <c r="C970" s="5">
        <v>242.33369999999999</v>
      </c>
      <c r="D970" s="5">
        <v>247.29820000000001</v>
      </c>
      <c r="E970" s="5">
        <v>1374431</v>
      </c>
      <c r="F970" s="5" t="s">
        <v>317</v>
      </c>
      <c r="G970" s="9">
        <f t="shared" si="15"/>
        <v>-1.7419051169802358E-2</v>
      </c>
    </row>
    <row r="971" spans="1:7">
      <c r="A971" s="5">
        <v>250.727</v>
      </c>
      <c r="B971" s="5">
        <v>251.5866</v>
      </c>
      <c r="C971" s="5">
        <v>245.59829999999999</v>
      </c>
      <c r="D971" s="5">
        <v>247.559</v>
      </c>
      <c r="E971" s="5">
        <v>1328980</v>
      </c>
      <c r="F971" s="5" t="s">
        <v>316</v>
      </c>
      <c r="G971" s="9">
        <f t="shared" si="15"/>
        <v>1.2796949414079162E-2</v>
      </c>
    </row>
    <row r="972" spans="1:7">
      <c r="A972" s="5">
        <v>249.88669999999999</v>
      </c>
      <c r="B972" s="5">
        <v>251.01679999999999</v>
      </c>
      <c r="C972" s="5">
        <v>245.3279</v>
      </c>
      <c r="D972" s="5">
        <v>246.0136</v>
      </c>
      <c r="E972" s="5">
        <v>1513436</v>
      </c>
      <c r="F972" s="5" t="s">
        <v>315</v>
      </c>
      <c r="G972" s="9">
        <f t="shared" si="15"/>
        <v>1.5743438574127522E-2</v>
      </c>
    </row>
    <row r="973" spans="1:7">
      <c r="A973" s="5">
        <v>241.8991</v>
      </c>
      <c r="B973" s="5">
        <v>244.25579999999999</v>
      </c>
      <c r="C973" s="5">
        <v>240.16050000000001</v>
      </c>
      <c r="D973" s="5">
        <v>242.93260000000001</v>
      </c>
      <c r="E973" s="5">
        <v>1325884</v>
      </c>
      <c r="F973" s="5" t="s">
        <v>314</v>
      </c>
      <c r="G973" s="9">
        <f t="shared" si="15"/>
        <v>-4.2542664096955063E-3</v>
      </c>
    </row>
    <row r="974" spans="1:7">
      <c r="A974" s="5">
        <v>243.0581</v>
      </c>
      <c r="B974" s="5">
        <v>248.0806</v>
      </c>
      <c r="C974" s="5">
        <v>241.46449999999999</v>
      </c>
      <c r="D974" s="5">
        <v>247.1437</v>
      </c>
      <c r="E974" s="5">
        <v>1307663</v>
      </c>
      <c r="F974" s="5" t="s">
        <v>313</v>
      </c>
      <c r="G974" s="9">
        <f t="shared" si="15"/>
        <v>-1.6531273101438537E-2</v>
      </c>
    </row>
    <row r="975" spans="1:7">
      <c r="A975" s="5">
        <v>246.71870000000001</v>
      </c>
      <c r="B975" s="5">
        <v>250.4469</v>
      </c>
      <c r="C975" s="5">
        <v>245.80119999999999</v>
      </c>
      <c r="D975" s="5">
        <v>246.8733</v>
      </c>
      <c r="E975" s="5">
        <v>1890748</v>
      </c>
      <c r="F975" s="5" t="s">
        <v>312</v>
      </c>
      <c r="G975" s="9">
        <f t="shared" si="15"/>
        <v>-6.2623216038348861E-4</v>
      </c>
    </row>
    <row r="976" spans="1:7">
      <c r="A976" s="5">
        <v>251.3355</v>
      </c>
      <c r="B976" s="5">
        <v>253.5377</v>
      </c>
      <c r="C976" s="5">
        <v>249.05609999999999</v>
      </c>
      <c r="D976" s="5">
        <v>249.05609999999999</v>
      </c>
      <c r="E976" s="5">
        <v>1341488</v>
      </c>
      <c r="F976" s="5" t="s">
        <v>311</v>
      </c>
      <c r="G976" s="9">
        <f t="shared" si="15"/>
        <v>9.1521548759496696E-3</v>
      </c>
    </row>
    <row r="977" spans="1:7">
      <c r="A977" s="5">
        <v>246.3903</v>
      </c>
      <c r="B977" s="5">
        <v>247.3562</v>
      </c>
      <c r="C977" s="5">
        <v>240.006</v>
      </c>
      <c r="D977" s="5">
        <v>240.006</v>
      </c>
      <c r="E977" s="5">
        <v>1134555</v>
      </c>
      <c r="F977" s="5" t="s">
        <v>310</v>
      </c>
      <c r="G977" s="9">
        <f t="shared" si="15"/>
        <v>2.6600584985375431E-2</v>
      </c>
    </row>
    <row r="978" spans="1:7">
      <c r="A978" s="5">
        <v>239.71629999999999</v>
      </c>
      <c r="B978" s="5">
        <v>242.5172</v>
      </c>
      <c r="C978" s="5">
        <v>237.65899999999999</v>
      </c>
      <c r="D978" s="5">
        <v>240.3441</v>
      </c>
      <c r="E978" s="5">
        <v>1261954</v>
      </c>
      <c r="F978" s="5" t="s">
        <v>309</v>
      </c>
      <c r="G978" s="9">
        <f t="shared" si="15"/>
        <v>-2.6120882518023691E-3</v>
      </c>
    </row>
    <row r="979" spans="1:7">
      <c r="A979" s="5">
        <v>242.38200000000001</v>
      </c>
      <c r="B979" s="5">
        <v>244.5745</v>
      </c>
      <c r="C979" s="5">
        <v>240.1412</v>
      </c>
      <c r="D979" s="5">
        <v>240.74010000000001</v>
      </c>
      <c r="E979" s="5">
        <v>792319</v>
      </c>
      <c r="F979" s="5" t="s">
        <v>308</v>
      </c>
      <c r="G979" s="9">
        <f t="shared" si="15"/>
        <v>6.820218152272961E-3</v>
      </c>
    </row>
    <row r="980" spans="1:7">
      <c r="A980" s="5">
        <v>242.1985</v>
      </c>
      <c r="B980" s="5">
        <v>246.07159999999999</v>
      </c>
      <c r="C980" s="5">
        <v>241.7252</v>
      </c>
      <c r="D980" s="5">
        <v>245.16370000000001</v>
      </c>
      <c r="E980" s="5">
        <v>1004798</v>
      </c>
      <c r="F980" s="5" t="s">
        <v>307</v>
      </c>
      <c r="G980" s="9">
        <f t="shared" si="15"/>
        <v>-1.2094775857926843E-2</v>
      </c>
    </row>
    <row r="981" spans="1:7">
      <c r="A981" s="5">
        <v>245.7818</v>
      </c>
      <c r="B981" s="5">
        <v>246.62209999999999</v>
      </c>
      <c r="C981" s="5">
        <v>239.4796</v>
      </c>
      <c r="D981" s="5">
        <v>241.45480000000001</v>
      </c>
      <c r="E981" s="5">
        <v>1602892</v>
      </c>
      <c r="F981" s="5" t="s">
        <v>306</v>
      </c>
      <c r="G981" s="9">
        <f t="shared" si="15"/>
        <v>1.7920538336781755E-2</v>
      </c>
    </row>
    <row r="982" spans="1:7">
      <c r="A982" s="5">
        <v>240.1123</v>
      </c>
      <c r="B982" s="5">
        <v>240.56620000000001</v>
      </c>
      <c r="C982" s="5">
        <v>235.56309999999999</v>
      </c>
      <c r="D982" s="5">
        <v>239.53270000000001</v>
      </c>
      <c r="E982" s="5">
        <v>2323277</v>
      </c>
      <c r="F982" s="5" t="s">
        <v>305</v>
      </c>
      <c r="G982" s="9">
        <f t="shared" si="15"/>
        <v>2.4197113796988745E-3</v>
      </c>
    </row>
    <row r="983" spans="1:7">
      <c r="A983" s="5">
        <v>239.58099999999999</v>
      </c>
      <c r="B983" s="5">
        <v>240.88489999999999</v>
      </c>
      <c r="C983" s="5">
        <v>236.10390000000001</v>
      </c>
      <c r="D983" s="5">
        <v>238.55719999999999</v>
      </c>
      <c r="E983" s="5">
        <v>2021660</v>
      </c>
      <c r="F983" s="5" t="s">
        <v>304</v>
      </c>
      <c r="G983" s="9">
        <f t="shared" si="15"/>
        <v>4.2916332015969783E-3</v>
      </c>
    </row>
    <row r="984" spans="1:7">
      <c r="A984" s="5">
        <v>239.90940000000001</v>
      </c>
      <c r="B984" s="5">
        <v>240.32470000000001</v>
      </c>
      <c r="C984" s="5">
        <v>229.34289999999999</v>
      </c>
      <c r="D984" s="5">
        <v>232.2115</v>
      </c>
      <c r="E984" s="5">
        <v>1903597</v>
      </c>
      <c r="F984" s="5" t="s">
        <v>303</v>
      </c>
      <c r="G984" s="9">
        <f t="shared" si="15"/>
        <v>3.3150382302340686E-2</v>
      </c>
    </row>
    <row r="985" spans="1:7">
      <c r="A985" s="5">
        <v>236.9539</v>
      </c>
      <c r="B985" s="5">
        <v>242.25649999999999</v>
      </c>
      <c r="C985" s="5">
        <v>235.11879999999999</v>
      </c>
      <c r="D985" s="5">
        <v>241.29060000000001</v>
      </c>
      <c r="E985" s="5">
        <v>1730993</v>
      </c>
      <c r="F985" s="5" t="s">
        <v>302</v>
      </c>
      <c r="G985" s="9">
        <f t="shared" si="15"/>
        <v>-1.7972933881386211E-2</v>
      </c>
    </row>
    <row r="986" spans="1:7">
      <c r="A986" s="5">
        <v>239.78389999999999</v>
      </c>
      <c r="B986" s="5">
        <v>246.2551</v>
      </c>
      <c r="C986" s="5">
        <v>236.82830000000001</v>
      </c>
      <c r="D986" s="5">
        <v>243.8211</v>
      </c>
      <c r="E986" s="5">
        <v>1569575</v>
      </c>
      <c r="F986" s="5" t="s">
        <v>301</v>
      </c>
      <c r="G986" s="9">
        <f t="shared" si="15"/>
        <v>-1.6558041941407087E-2</v>
      </c>
    </row>
    <row r="987" spans="1:7">
      <c r="A987" s="5">
        <v>240.7594</v>
      </c>
      <c r="B987" s="5">
        <v>242.4641</v>
      </c>
      <c r="C987" s="5">
        <v>234.27850000000001</v>
      </c>
      <c r="D987" s="5">
        <v>235.97839999999999</v>
      </c>
      <c r="E987" s="5">
        <v>1692442</v>
      </c>
      <c r="F987" s="5" t="s">
        <v>300</v>
      </c>
      <c r="G987" s="9">
        <f t="shared" si="15"/>
        <v>2.0260328911459791E-2</v>
      </c>
    </row>
    <row r="988" spans="1:7">
      <c r="A988" s="5">
        <v>243.31890000000001</v>
      </c>
      <c r="B988" s="5">
        <v>243.84049999999999</v>
      </c>
      <c r="C988" s="5">
        <v>233.73759999999999</v>
      </c>
      <c r="D988" s="5">
        <v>242.0633</v>
      </c>
      <c r="E988" s="5">
        <v>2307262</v>
      </c>
      <c r="F988" s="5" t="s">
        <v>299</v>
      </c>
      <c r="G988" s="9">
        <f t="shared" si="15"/>
        <v>5.1870729681038341E-3</v>
      </c>
    </row>
    <row r="989" spans="1:7">
      <c r="A989" s="5">
        <v>245.9847</v>
      </c>
      <c r="B989" s="5">
        <v>249.59700000000001</v>
      </c>
      <c r="C989" s="5">
        <v>243.81630000000001</v>
      </c>
      <c r="D989" s="5">
        <v>249.59700000000001</v>
      </c>
      <c r="E989" s="5">
        <v>2589517</v>
      </c>
      <c r="F989" s="5" t="s">
        <v>298</v>
      </c>
      <c r="G989" s="9">
        <f t="shared" si="15"/>
        <v>-1.4472529717905247E-2</v>
      </c>
    </row>
    <row r="990" spans="1:7">
      <c r="A990" s="5">
        <v>248.2448</v>
      </c>
      <c r="B990" s="5">
        <v>256.19380000000001</v>
      </c>
      <c r="C990" s="5">
        <v>247.79079999999999</v>
      </c>
      <c r="D990" s="5">
        <v>250.15719999999999</v>
      </c>
      <c r="E990" s="5">
        <v>1339597</v>
      </c>
      <c r="F990" s="5" t="s">
        <v>297</v>
      </c>
      <c r="G990" s="9">
        <f t="shared" si="15"/>
        <v>-7.6447929541904047E-3</v>
      </c>
    </row>
    <row r="991" spans="1:7">
      <c r="A991" s="5">
        <v>249.4811</v>
      </c>
      <c r="B991" s="5">
        <v>254.00129999999999</v>
      </c>
      <c r="C991" s="5">
        <v>249.20099999999999</v>
      </c>
      <c r="D991" s="5">
        <v>251.84739999999999</v>
      </c>
      <c r="E991" s="5">
        <v>1497989</v>
      </c>
      <c r="F991" s="5" t="s">
        <v>296</v>
      </c>
      <c r="G991" s="9">
        <f t="shared" si="15"/>
        <v>-9.3957690252113313E-3</v>
      </c>
    </row>
    <row r="992" spans="1:7">
      <c r="A992" s="5">
        <v>251.5866</v>
      </c>
      <c r="B992" s="5">
        <v>255.13130000000001</v>
      </c>
      <c r="C992" s="5">
        <v>250.61600000000001</v>
      </c>
      <c r="D992" s="5">
        <v>254.3587</v>
      </c>
      <c r="E992" s="5">
        <v>1349756</v>
      </c>
      <c r="F992" s="5" t="s">
        <v>295</v>
      </c>
      <c r="G992" s="9">
        <f t="shared" si="15"/>
        <v>-1.0898388771447554E-2</v>
      </c>
    </row>
    <row r="993" spans="1:7">
      <c r="A993" s="5">
        <v>257.60390000000001</v>
      </c>
      <c r="B993" s="5">
        <v>257.971</v>
      </c>
      <c r="C993" s="5">
        <v>252.33760000000001</v>
      </c>
      <c r="D993" s="5">
        <v>256.74430000000001</v>
      </c>
      <c r="E993" s="5">
        <v>1661271</v>
      </c>
      <c r="F993" s="5" t="s">
        <v>294</v>
      </c>
      <c r="G993" s="9">
        <f t="shared" si="15"/>
        <v>3.3480782241319673E-3</v>
      </c>
    </row>
    <row r="994" spans="1:7">
      <c r="A994" s="5">
        <v>258.74369999999999</v>
      </c>
      <c r="B994" s="5">
        <v>262.58780000000002</v>
      </c>
      <c r="C994" s="5">
        <v>257.971</v>
      </c>
      <c r="D994" s="5">
        <v>259.57429999999999</v>
      </c>
      <c r="E994" s="5">
        <v>1062035</v>
      </c>
      <c r="F994" s="5" t="s">
        <v>293</v>
      </c>
      <c r="G994" s="9">
        <f t="shared" si="15"/>
        <v>-3.1998545310533144E-3</v>
      </c>
    </row>
    <row r="995" spans="1:7">
      <c r="A995" s="5">
        <v>258.87889999999999</v>
      </c>
      <c r="B995" s="5">
        <v>260.76229999999998</v>
      </c>
      <c r="C995" s="5">
        <v>258.03859999999997</v>
      </c>
      <c r="D995" s="5">
        <v>259.33280000000002</v>
      </c>
      <c r="E995" s="5">
        <v>807079</v>
      </c>
      <c r="F995" s="5" t="s">
        <v>292</v>
      </c>
      <c r="G995" s="9">
        <f t="shared" si="15"/>
        <v>-1.7502606689167033E-3</v>
      </c>
    </row>
    <row r="996" spans="1:7">
      <c r="A996" s="5">
        <v>259.01409999999998</v>
      </c>
      <c r="B996" s="5">
        <v>260.51119999999997</v>
      </c>
      <c r="C996" s="5">
        <v>253.96270000000001</v>
      </c>
      <c r="D996" s="5">
        <v>255.6336</v>
      </c>
      <c r="E996" s="5">
        <v>1019672</v>
      </c>
      <c r="F996" s="5" t="s">
        <v>291</v>
      </c>
      <c r="G996" s="9">
        <f t="shared" si="15"/>
        <v>1.322400498213061E-2</v>
      </c>
    </row>
    <row r="997" spans="1:7">
      <c r="A997" s="5">
        <v>254.8416</v>
      </c>
      <c r="B997" s="5">
        <v>254.8802</v>
      </c>
      <c r="C997" s="5">
        <v>249.36519999999999</v>
      </c>
      <c r="D997" s="5">
        <v>253.24789999999999</v>
      </c>
      <c r="E997" s="5">
        <v>1304703</v>
      </c>
      <c r="F997" s="5" t="s">
        <v>290</v>
      </c>
      <c r="G997" s="9">
        <f t="shared" si="15"/>
        <v>6.293043298680967E-3</v>
      </c>
    </row>
    <row r="998" spans="1:7">
      <c r="A998" s="5">
        <v>254.5711</v>
      </c>
      <c r="B998" s="5">
        <v>261.81509999999997</v>
      </c>
      <c r="C998" s="5">
        <v>253.78880000000001</v>
      </c>
      <c r="D998" s="5">
        <v>259.101</v>
      </c>
      <c r="E998" s="5">
        <v>1787345</v>
      </c>
      <c r="F998" s="5" t="s">
        <v>289</v>
      </c>
      <c r="G998" s="9">
        <f t="shared" si="15"/>
        <v>-1.748314363896708E-2</v>
      </c>
    </row>
    <row r="999" spans="1:7">
      <c r="A999" s="5">
        <v>262.23039999999997</v>
      </c>
      <c r="B999" s="5">
        <v>267.5136</v>
      </c>
      <c r="C999" s="5">
        <v>259.8544</v>
      </c>
      <c r="D999" s="5">
        <v>262.10480000000001</v>
      </c>
      <c r="E999" s="5">
        <v>1776128</v>
      </c>
      <c r="F999" s="5" t="s">
        <v>288</v>
      </c>
      <c r="G999" s="9">
        <f t="shared" ref="G999:G1062" si="16">A999/D999-1</f>
        <v>4.7919763392334502E-4</v>
      </c>
    </row>
    <row r="1000" spans="1:7">
      <c r="A1000" s="5">
        <v>262.95479999999998</v>
      </c>
      <c r="B1000" s="5">
        <v>270.85550000000001</v>
      </c>
      <c r="C1000" s="5">
        <v>262.73259999999999</v>
      </c>
      <c r="D1000" s="5">
        <v>267.19490000000002</v>
      </c>
      <c r="E1000" s="5">
        <v>1318504</v>
      </c>
      <c r="F1000" s="5" t="s">
        <v>287</v>
      </c>
      <c r="G1000" s="9">
        <f t="shared" si="16"/>
        <v>-1.5868940612264848E-2</v>
      </c>
    </row>
    <row r="1001" spans="1:7">
      <c r="A1001" s="5">
        <v>268.28629999999998</v>
      </c>
      <c r="B1001" s="5">
        <v>269.56130000000002</v>
      </c>
      <c r="C1001" s="5">
        <v>262.14350000000002</v>
      </c>
      <c r="D1001" s="5">
        <v>263.44740000000002</v>
      </c>
      <c r="E1001" s="5">
        <v>1982390</v>
      </c>
      <c r="F1001" s="5" t="s">
        <v>286</v>
      </c>
      <c r="G1001" s="9">
        <f t="shared" si="16"/>
        <v>1.836761342112303E-2</v>
      </c>
    </row>
    <row r="1002" spans="1:7">
      <c r="A1002" s="5">
        <v>259.25560000000002</v>
      </c>
      <c r="B1002" s="5">
        <v>259.6902</v>
      </c>
      <c r="C1002" s="5">
        <v>255.51769999999999</v>
      </c>
      <c r="D1002" s="5">
        <v>258.27999999999997</v>
      </c>
      <c r="E1002" s="5">
        <v>1169734</v>
      </c>
      <c r="F1002" s="5" t="s">
        <v>285</v>
      </c>
      <c r="G1002" s="9">
        <f t="shared" si="16"/>
        <v>3.7772959578752374E-3</v>
      </c>
    </row>
    <row r="1003" spans="1:7">
      <c r="A1003" s="5">
        <v>258.28969999999998</v>
      </c>
      <c r="B1003" s="5">
        <v>262.0573</v>
      </c>
      <c r="C1003" s="5">
        <v>258.16410000000002</v>
      </c>
      <c r="D1003" s="5">
        <v>260.55950000000001</v>
      </c>
      <c r="E1003" s="5">
        <v>638498</v>
      </c>
      <c r="F1003" s="5" t="s">
        <v>284</v>
      </c>
      <c r="G1003" s="9">
        <f t="shared" si="16"/>
        <v>-8.7112540513780701E-3</v>
      </c>
    </row>
    <row r="1004" spans="1:7">
      <c r="A1004" s="5">
        <v>261.44810000000001</v>
      </c>
      <c r="B1004" s="5">
        <v>264.47120000000001</v>
      </c>
      <c r="C1004" s="5">
        <v>261.01339999999999</v>
      </c>
      <c r="D1004" s="5">
        <v>261.64120000000003</v>
      </c>
      <c r="E1004" s="5">
        <v>820144</v>
      </c>
      <c r="F1004" s="5" t="s">
        <v>283</v>
      </c>
      <c r="G1004" s="9">
        <f t="shared" si="16"/>
        <v>-7.380336124434006E-4</v>
      </c>
    </row>
    <row r="1005" spans="1:7">
      <c r="A1005" s="5">
        <v>261.18239999999997</v>
      </c>
      <c r="B1005" s="5">
        <v>262.46370000000002</v>
      </c>
      <c r="C1005" s="5">
        <v>259.93</v>
      </c>
      <c r="D1005" s="5">
        <v>260.87419999999997</v>
      </c>
      <c r="E1005" s="5">
        <v>498692</v>
      </c>
      <c r="F1005" s="5" t="s">
        <v>282</v>
      </c>
      <c r="G1005" s="9">
        <f t="shared" si="16"/>
        <v>1.1814123435740509E-3</v>
      </c>
    </row>
    <row r="1006" spans="1:7">
      <c r="A1006" s="5">
        <v>260.87419999999997</v>
      </c>
      <c r="B1006" s="5">
        <v>262.73829999999998</v>
      </c>
      <c r="C1006" s="5">
        <v>259.9975</v>
      </c>
      <c r="D1006" s="5">
        <v>260.98009999999999</v>
      </c>
      <c r="E1006" s="5">
        <v>705125</v>
      </c>
      <c r="F1006" s="5" t="s">
        <v>281</v>
      </c>
      <c r="G1006" s="9">
        <f t="shared" si="16"/>
        <v>-4.057780650709164E-4</v>
      </c>
    </row>
    <row r="1007" spans="1:7">
      <c r="A1007" s="5">
        <v>260.51769999999999</v>
      </c>
      <c r="B1007" s="5">
        <v>260.70080000000002</v>
      </c>
      <c r="C1007" s="5">
        <v>258.10930000000002</v>
      </c>
      <c r="D1007" s="5">
        <v>259.48689999999999</v>
      </c>
      <c r="E1007" s="5">
        <v>723190</v>
      </c>
      <c r="F1007" s="5" t="s">
        <v>280</v>
      </c>
      <c r="G1007" s="9">
        <f t="shared" si="16"/>
        <v>3.97245487151765E-3</v>
      </c>
    </row>
    <row r="1008" spans="1:7">
      <c r="A1008" s="5">
        <v>258.42720000000003</v>
      </c>
      <c r="B1008" s="5">
        <v>259.96859999999998</v>
      </c>
      <c r="C1008" s="5">
        <v>254.73740000000001</v>
      </c>
      <c r="D1008" s="5">
        <v>256.24990000000003</v>
      </c>
      <c r="E1008" s="5">
        <v>1501525</v>
      </c>
      <c r="F1008" s="5" t="s">
        <v>279</v>
      </c>
      <c r="G1008" s="9">
        <f t="shared" si="16"/>
        <v>8.4967838036229537E-3</v>
      </c>
    </row>
    <row r="1009" spans="1:7">
      <c r="A1009" s="5">
        <v>254.381</v>
      </c>
      <c r="B1009" s="5">
        <v>254.60249999999999</v>
      </c>
      <c r="C1009" s="5">
        <v>246.62569999999999</v>
      </c>
      <c r="D1009" s="5">
        <v>246.84729999999999</v>
      </c>
      <c r="E1009" s="5">
        <v>1456239</v>
      </c>
      <c r="F1009" s="5" t="s">
        <v>278</v>
      </c>
      <c r="G1009" s="9">
        <f t="shared" si="16"/>
        <v>3.0519677549643021E-2</v>
      </c>
    </row>
    <row r="1010" spans="1:7">
      <c r="A1010" s="5">
        <v>246.83770000000001</v>
      </c>
      <c r="B1010" s="5">
        <v>248.02260000000001</v>
      </c>
      <c r="C1010" s="5">
        <v>240.84549999999999</v>
      </c>
      <c r="D1010" s="5">
        <v>241.2501</v>
      </c>
      <c r="E1010" s="5">
        <v>1421736</v>
      </c>
      <c r="F1010" s="5" t="s">
        <v>277</v>
      </c>
      <c r="G1010" s="9">
        <f t="shared" si="16"/>
        <v>2.3161026669004547E-2</v>
      </c>
    </row>
    <row r="1011" spans="1:7">
      <c r="A1011" s="5">
        <v>238.69710000000001</v>
      </c>
      <c r="B1011" s="5">
        <v>240.01689999999999</v>
      </c>
      <c r="C1011" s="5">
        <v>233.63939999999999</v>
      </c>
      <c r="D1011" s="5">
        <v>238.94759999999999</v>
      </c>
      <c r="E1011" s="5">
        <v>1378594</v>
      </c>
      <c r="F1011" s="5" t="s">
        <v>276</v>
      </c>
      <c r="G1011" s="9">
        <f t="shared" si="16"/>
        <v>-1.0483470016019458E-3</v>
      </c>
    </row>
    <row r="1012" spans="1:7">
      <c r="A1012" s="5">
        <v>242.02080000000001</v>
      </c>
      <c r="B1012" s="5">
        <v>246.5968</v>
      </c>
      <c r="C1012" s="5">
        <v>240.09399999999999</v>
      </c>
      <c r="D1012" s="5">
        <v>241.10560000000001</v>
      </c>
      <c r="E1012" s="5">
        <v>2416467</v>
      </c>
      <c r="F1012" s="5" t="s">
        <v>275</v>
      </c>
      <c r="G1012" s="9">
        <f t="shared" si="16"/>
        <v>3.7958471308836561E-3</v>
      </c>
    </row>
    <row r="1013" spans="1:7">
      <c r="A1013" s="5">
        <v>242.25200000000001</v>
      </c>
      <c r="B1013" s="5">
        <v>246.18260000000001</v>
      </c>
      <c r="C1013" s="5">
        <v>240.77799999999999</v>
      </c>
      <c r="D1013" s="5">
        <v>243.75489999999999</v>
      </c>
      <c r="E1013" s="5">
        <v>1502732</v>
      </c>
      <c r="F1013" s="5" t="s">
        <v>274</v>
      </c>
      <c r="G1013" s="9">
        <f t="shared" si="16"/>
        <v>-6.1656196449794143E-3</v>
      </c>
    </row>
    <row r="1014" spans="1:7">
      <c r="A1014" s="5">
        <v>242.98419999999999</v>
      </c>
      <c r="B1014" s="5">
        <v>245.17099999999999</v>
      </c>
      <c r="C1014" s="5">
        <v>240.27709999999999</v>
      </c>
      <c r="D1014" s="5">
        <v>244.80500000000001</v>
      </c>
      <c r="E1014" s="5">
        <v>1667906</v>
      </c>
      <c r="F1014" s="5" t="s">
        <v>273</v>
      </c>
      <c r="G1014" s="9">
        <f t="shared" si="16"/>
        <v>-7.4377565817692615E-3</v>
      </c>
    </row>
    <row r="1015" spans="1:7">
      <c r="A1015" s="5">
        <v>245.42150000000001</v>
      </c>
      <c r="B1015" s="5">
        <v>249.77600000000001</v>
      </c>
      <c r="C1015" s="5">
        <v>245.00729999999999</v>
      </c>
      <c r="D1015" s="5">
        <v>248.79339999999999</v>
      </c>
      <c r="E1015" s="5">
        <v>1082212</v>
      </c>
      <c r="F1015" s="5" t="s">
        <v>272</v>
      </c>
      <c r="G1015" s="9">
        <f t="shared" si="16"/>
        <v>-1.3553012258363695E-2</v>
      </c>
    </row>
    <row r="1016" spans="1:7">
      <c r="A1016" s="5">
        <v>250.54669999999999</v>
      </c>
      <c r="B1016" s="5">
        <v>252.02070000000001</v>
      </c>
      <c r="C1016" s="5">
        <v>248.9716</v>
      </c>
      <c r="D1016" s="5">
        <v>250.87430000000001</v>
      </c>
      <c r="E1016" s="5">
        <v>895148</v>
      </c>
      <c r="F1016" s="5" t="s">
        <v>271</v>
      </c>
      <c r="G1016" s="9">
        <f t="shared" si="16"/>
        <v>-1.305833239993115E-3</v>
      </c>
    </row>
    <row r="1017" spans="1:7">
      <c r="A1017" s="5">
        <v>250.67189999999999</v>
      </c>
      <c r="B1017" s="5">
        <v>252.4349</v>
      </c>
      <c r="C1017" s="5">
        <v>248.8801</v>
      </c>
      <c r="D1017" s="5">
        <v>251.79910000000001</v>
      </c>
      <c r="E1017" s="5">
        <v>828052</v>
      </c>
      <c r="F1017" s="5" t="s">
        <v>270</v>
      </c>
      <c r="G1017" s="9">
        <f t="shared" si="16"/>
        <v>-4.4765847058231278E-3</v>
      </c>
    </row>
    <row r="1018" spans="1:7">
      <c r="A1018" s="5">
        <v>250.99950000000001</v>
      </c>
      <c r="B1018" s="5">
        <v>253.5043</v>
      </c>
      <c r="C1018" s="5">
        <v>249.4581</v>
      </c>
      <c r="D1018" s="5">
        <v>250.49850000000001</v>
      </c>
      <c r="E1018" s="5">
        <v>1205107</v>
      </c>
      <c r="F1018" s="5" t="s">
        <v>269</v>
      </c>
      <c r="G1018" s="9">
        <f t="shared" si="16"/>
        <v>2.0000119761196533E-3</v>
      </c>
    </row>
    <row r="1019" spans="1:7">
      <c r="A1019" s="5">
        <v>251.7124</v>
      </c>
      <c r="B1019" s="5">
        <v>252.8107</v>
      </c>
      <c r="C1019" s="5">
        <v>250.4118</v>
      </c>
      <c r="D1019" s="5">
        <v>250.88390000000001</v>
      </c>
      <c r="E1019" s="5">
        <v>1310111</v>
      </c>
      <c r="F1019" s="5" t="s">
        <v>268</v>
      </c>
      <c r="G1019" s="9">
        <f t="shared" si="16"/>
        <v>3.3023243021970128E-3</v>
      </c>
    </row>
    <row r="1020" spans="1:7">
      <c r="A1020" s="5">
        <v>251.00909999999999</v>
      </c>
      <c r="B1020" s="5">
        <v>254.69890000000001</v>
      </c>
      <c r="C1020" s="5">
        <v>250.1276</v>
      </c>
      <c r="D1020" s="5">
        <v>250.54669999999999</v>
      </c>
      <c r="E1020" s="5">
        <v>1580904</v>
      </c>
      <c r="F1020" s="5" t="s">
        <v>267</v>
      </c>
      <c r="G1020" s="9">
        <f t="shared" si="16"/>
        <v>1.8455641203816153E-3</v>
      </c>
    </row>
    <row r="1021" spans="1:7">
      <c r="A1021" s="5">
        <v>245.09399999999999</v>
      </c>
      <c r="B1021" s="5">
        <v>248.13829999999999</v>
      </c>
      <c r="C1021" s="5">
        <v>240.34450000000001</v>
      </c>
      <c r="D1021" s="5">
        <v>240.83580000000001</v>
      </c>
      <c r="E1021" s="5">
        <v>1434953</v>
      </c>
      <c r="F1021" s="5" t="s">
        <v>266</v>
      </c>
      <c r="G1021" s="9">
        <f t="shared" si="16"/>
        <v>1.7680926174596934E-2</v>
      </c>
    </row>
    <row r="1022" spans="1:7">
      <c r="A1022" s="5">
        <v>237.83009999999999</v>
      </c>
      <c r="B1022" s="5">
        <v>240.5275</v>
      </c>
      <c r="C1022" s="5">
        <v>235.39269999999999</v>
      </c>
      <c r="D1022" s="5">
        <v>239.73759999999999</v>
      </c>
      <c r="E1022" s="5">
        <v>1624289</v>
      </c>
      <c r="F1022" s="5" t="s">
        <v>265</v>
      </c>
      <c r="G1022" s="9">
        <f t="shared" si="16"/>
        <v>-7.9566159000507009E-3</v>
      </c>
    </row>
    <row r="1023" spans="1:7">
      <c r="A1023" s="5">
        <v>238.3407</v>
      </c>
      <c r="B1023" s="5">
        <v>239.3715</v>
      </c>
      <c r="C1023" s="5">
        <v>230.2483</v>
      </c>
      <c r="D1023" s="5">
        <v>231.69329999999999</v>
      </c>
      <c r="E1023" s="5">
        <v>1751098</v>
      </c>
      <c r="F1023" s="5" t="s">
        <v>264</v>
      </c>
      <c r="G1023" s="9">
        <f t="shared" si="16"/>
        <v>2.8690514572497383E-2</v>
      </c>
    </row>
    <row r="1024" spans="1:7">
      <c r="A1024" s="5">
        <v>230.34460000000001</v>
      </c>
      <c r="B1024" s="5">
        <v>237.94569999999999</v>
      </c>
      <c r="C1024" s="5">
        <v>230.03630000000001</v>
      </c>
      <c r="D1024" s="5">
        <v>231.5103</v>
      </c>
      <c r="E1024" s="5">
        <v>2390605</v>
      </c>
      <c r="F1024" s="5" t="s">
        <v>263</v>
      </c>
      <c r="G1024" s="9">
        <f t="shared" si="16"/>
        <v>-5.0351971380970806E-3</v>
      </c>
    </row>
    <row r="1025" spans="1:7">
      <c r="A1025" s="5">
        <v>227.965</v>
      </c>
      <c r="B1025" s="5">
        <v>235.93219999999999</v>
      </c>
      <c r="C1025" s="5">
        <v>227.44479999999999</v>
      </c>
      <c r="D1025" s="5">
        <v>233.40809999999999</v>
      </c>
      <c r="E1025" s="5">
        <v>2702048</v>
      </c>
      <c r="F1025" s="5" t="s">
        <v>262</v>
      </c>
      <c r="G1025" s="9">
        <f t="shared" si="16"/>
        <v>-2.3320099002562378E-2</v>
      </c>
    </row>
    <row r="1026" spans="1:7">
      <c r="A1026" s="5">
        <v>234.58349999999999</v>
      </c>
      <c r="B1026" s="5">
        <v>237.97049999999999</v>
      </c>
      <c r="C1026" s="5">
        <v>234.05840000000001</v>
      </c>
      <c r="D1026" s="5">
        <v>237.5025</v>
      </c>
      <c r="E1026" s="5">
        <v>2137450</v>
      </c>
      <c r="F1026" s="5" t="s">
        <v>261</v>
      </c>
      <c r="G1026" s="9">
        <f t="shared" si="16"/>
        <v>-1.2290396943190118E-2</v>
      </c>
    </row>
    <row r="1027" spans="1:7">
      <c r="A1027" s="5">
        <v>234.5642</v>
      </c>
      <c r="B1027" s="5">
        <v>241.0574</v>
      </c>
      <c r="C1027" s="5">
        <v>234.5642</v>
      </c>
      <c r="D1027" s="5">
        <v>240.6566</v>
      </c>
      <c r="E1027" s="5">
        <v>1955499</v>
      </c>
      <c r="F1027" s="5" t="s">
        <v>260</v>
      </c>
      <c r="G1027" s="9">
        <f t="shared" si="16"/>
        <v>-2.5315740353682337E-2</v>
      </c>
    </row>
    <row r="1028" spans="1:7">
      <c r="A1028" s="5">
        <v>245.80690000000001</v>
      </c>
      <c r="B1028" s="5">
        <v>247.00149999999999</v>
      </c>
      <c r="C1028" s="5">
        <v>243.4562</v>
      </c>
      <c r="D1028" s="5">
        <v>244.46780000000001</v>
      </c>
      <c r="E1028" s="5">
        <v>1062136</v>
      </c>
      <c r="F1028" s="5" t="s">
        <v>259</v>
      </c>
      <c r="G1028" s="9">
        <f t="shared" si="16"/>
        <v>5.4776130026121805E-3</v>
      </c>
    </row>
    <row r="1029" spans="1:7">
      <c r="A1029" s="5">
        <v>245.2192</v>
      </c>
      <c r="B1029" s="5">
        <v>250.4503</v>
      </c>
      <c r="C1029" s="5">
        <v>244.2944</v>
      </c>
      <c r="D1029" s="5">
        <v>249.90119999999999</v>
      </c>
      <c r="E1029" s="5">
        <v>1402183</v>
      </c>
      <c r="F1029" s="5" t="s">
        <v>258</v>
      </c>
      <c r="G1029" s="9">
        <f t="shared" si="16"/>
        <v>-1.8735404231752351E-2</v>
      </c>
    </row>
    <row r="1030" spans="1:7">
      <c r="A1030" s="5">
        <v>250.76830000000001</v>
      </c>
      <c r="B1030" s="5">
        <v>254.79519999999999</v>
      </c>
      <c r="C1030" s="5">
        <v>250.76830000000001</v>
      </c>
      <c r="D1030" s="5">
        <v>254.5351</v>
      </c>
      <c r="E1030" s="5">
        <v>1110504</v>
      </c>
      <c r="F1030" s="5" t="s">
        <v>257</v>
      </c>
      <c r="G1030" s="9">
        <f t="shared" si="16"/>
        <v>-1.4798744848942169E-2</v>
      </c>
    </row>
    <row r="1031" spans="1:7">
      <c r="A1031" s="5">
        <v>254.0341</v>
      </c>
      <c r="B1031" s="5">
        <v>255.1806</v>
      </c>
      <c r="C1031" s="5">
        <v>246.4042</v>
      </c>
      <c r="D1031" s="5">
        <v>248.0419</v>
      </c>
      <c r="E1031" s="5">
        <v>1721372</v>
      </c>
      <c r="F1031" s="5" t="s">
        <v>256</v>
      </c>
      <c r="G1031" s="9">
        <f t="shared" si="16"/>
        <v>2.4158015238554542E-2</v>
      </c>
    </row>
    <row r="1032" spans="1:7">
      <c r="A1032" s="5">
        <v>250.19030000000001</v>
      </c>
      <c r="B1032" s="5">
        <v>253.55250000000001</v>
      </c>
      <c r="C1032" s="5">
        <v>248.34540000000001</v>
      </c>
      <c r="D1032" s="5">
        <v>252.99369999999999</v>
      </c>
      <c r="E1032" s="5">
        <v>1300369</v>
      </c>
      <c r="F1032" s="5" t="s">
        <v>255</v>
      </c>
      <c r="G1032" s="9">
        <f t="shared" si="16"/>
        <v>-1.1080908338824136E-2</v>
      </c>
    </row>
    <row r="1033" spans="1:7">
      <c r="A1033" s="5">
        <v>252.46379999999999</v>
      </c>
      <c r="B1033" s="5">
        <v>253.04599999999999</v>
      </c>
      <c r="C1033" s="5">
        <v>250.2345</v>
      </c>
      <c r="D1033" s="5">
        <v>252.0881</v>
      </c>
      <c r="E1033" s="5">
        <v>1067187</v>
      </c>
      <c r="F1033" s="5" t="s">
        <v>254</v>
      </c>
      <c r="G1033" s="9">
        <f t="shared" si="16"/>
        <v>1.4903519840880897E-3</v>
      </c>
    </row>
    <row r="1034" spans="1:7">
      <c r="A1034" s="5">
        <v>252.69499999999999</v>
      </c>
      <c r="B1034" s="5">
        <v>254.13050000000001</v>
      </c>
      <c r="C1034" s="5">
        <v>251.5968</v>
      </c>
      <c r="D1034" s="5">
        <v>252.3964</v>
      </c>
      <c r="E1034" s="5">
        <v>1150241</v>
      </c>
      <c r="F1034" s="5" t="s">
        <v>253</v>
      </c>
      <c r="G1034" s="9">
        <f t="shared" si="16"/>
        <v>1.1830596632915746E-3</v>
      </c>
    </row>
    <row r="1035" spans="1:7">
      <c r="A1035" s="5">
        <v>252.30009999999999</v>
      </c>
      <c r="B1035" s="5">
        <v>256.57749999999999</v>
      </c>
      <c r="C1035" s="5">
        <v>251.6979</v>
      </c>
      <c r="D1035" s="5">
        <v>255.3347</v>
      </c>
      <c r="E1035" s="5">
        <v>914873</v>
      </c>
      <c r="F1035" s="5" t="s">
        <v>252</v>
      </c>
      <c r="G1035" s="9">
        <f t="shared" si="16"/>
        <v>-1.1884792783746212E-2</v>
      </c>
    </row>
    <row r="1036" spans="1:7">
      <c r="A1036" s="5">
        <v>254.66030000000001</v>
      </c>
      <c r="B1036" s="5">
        <v>254.8723</v>
      </c>
      <c r="C1036" s="5">
        <v>252.34819999999999</v>
      </c>
      <c r="D1036" s="5">
        <v>253.78370000000001</v>
      </c>
      <c r="E1036" s="5">
        <v>1119498</v>
      </c>
      <c r="F1036" s="5" t="s">
        <v>251</v>
      </c>
      <c r="G1036" s="9">
        <f t="shared" si="16"/>
        <v>3.4541225460893443E-3</v>
      </c>
    </row>
    <row r="1037" spans="1:7">
      <c r="A1037" s="5">
        <v>253.774</v>
      </c>
      <c r="B1037" s="5">
        <v>261.41370000000001</v>
      </c>
      <c r="C1037" s="5">
        <v>252.21340000000001</v>
      </c>
      <c r="D1037" s="5">
        <v>261.41370000000001</v>
      </c>
      <c r="E1037" s="5">
        <v>1397609</v>
      </c>
      <c r="F1037" s="5" t="s">
        <v>250</v>
      </c>
      <c r="G1037" s="9">
        <f t="shared" si="16"/>
        <v>-2.9224558621066987E-2</v>
      </c>
    </row>
    <row r="1038" spans="1:7">
      <c r="A1038" s="5">
        <v>261.1343</v>
      </c>
      <c r="B1038" s="5">
        <v>266.88080000000002</v>
      </c>
      <c r="C1038" s="5">
        <v>260.13240000000002</v>
      </c>
      <c r="D1038" s="5">
        <v>264.89150000000001</v>
      </c>
      <c r="E1038" s="5">
        <v>850584</v>
      </c>
      <c r="F1038" s="5" t="s">
        <v>249</v>
      </c>
      <c r="G1038" s="9">
        <f t="shared" si="16"/>
        <v>-1.4183920586353316E-2</v>
      </c>
    </row>
    <row r="1039" spans="1:7">
      <c r="A1039" s="5">
        <v>265.09379999999999</v>
      </c>
      <c r="B1039" s="5">
        <v>265.99939999999998</v>
      </c>
      <c r="C1039" s="5">
        <v>263.52350000000001</v>
      </c>
      <c r="D1039" s="5">
        <v>264.90109999999999</v>
      </c>
      <c r="E1039" s="5">
        <v>879648</v>
      </c>
      <c r="F1039" s="5" t="s">
        <v>248</v>
      </c>
      <c r="G1039" s="9">
        <f t="shared" si="16"/>
        <v>7.2744129790325296E-4</v>
      </c>
    </row>
    <row r="1040" spans="1:7">
      <c r="A1040" s="5">
        <v>265.4599</v>
      </c>
      <c r="B1040" s="5">
        <v>267.81049999999999</v>
      </c>
      <c r="C1040" s="5">
        <v>264.4579</v>
      </c>
      <c r="D1040" s="5">
        <v>267.67559999999997</v>
      </c>
      <c r="E1040" s="5">
        <v>743817</v>
      </c>
      <c r="F1040" s="5" t="s">
        <v>247</v>
      </c>
      <c r="G1040" s="9">
        <f t="shared" si="16"/>
        <v>-8.2775568636064278E-3</v>
      </c>
    </row>
    <row r="1041" spans="1:7">
      <c r="A1041" s="5">
        <v>266.04750000000001</v>
      </c>
      <c r="B1041" s="5">
        <v>268.22480000000002</v>
      </c>
      <c r="C1041" s="5">
        <v>260.51769999999999</v>
      </c>
      <c r="D1041" s="5">
        <v>261.07650000000001</v>
      </c>
      <c r="E1041" s="5">
        <v>1333393</v>
      </c>
      <c r="F1041" s="5" t="s">
        <v>246</v>
      </c>
      <c r="G1041" s="9">
        <f t="shared" si="16"/>
        <v>1.9040396205709742E-2</v>
      </c>
    </row>
    <row r="1042" spans="1:7">
      <c r="A1042" s="5">
        <v>260.17090000000002</v>
      </c>
      <c r="B1042" s="5">
        <v>263.18630000000002</v>
      </c>
      <c r="C1042" s="5">
        <v>258.69209999999998</v>
      </c>
      <c r="D1042" s="5">
        <v>262.59859999999998</v>
      </c>
      <c r="E1042" s="5">
        <v>942752</v>
      </c>
      <c r="F1042" s="5" t="s">
        <v>245</v>
      </c>
      <c r="G1042" s="9">
        <f t="shared" si="16"/>
        <v>-9.2449083886965155E-3</v>
      </c>
    </row>
    <row r="1043" spans="1:7">
      <c r="A1043" s="5">
        <v>261.90499999999997</v>
      </c>
      <c r="B1043" s="5">
        <v>263.8895</v>
      </c>
      <c r="C1043" s="5">
        <v>258.3116</v>
      </c>
      <c r="D1043" s="5">
        <v>262.76240000000001</v>
      </c>
      <c r="E1043" s="5">
        <v>923860</v>
      </c>
      <c r="F1043" s="5" t="s">
        <v>244</v>
      </c>
      <c r="G1043" s="9">
        <f t="shared" si="16"/>
        <v>-3.2630239334091593E-3</v>
      </c>
    </row>
    <row r="1044" spans="1:7">
      <c r="A1044" s="5">
        <v>262.666</v>
      </c>
      <c r="B1044" s="5">
        <v>263.43680000000001</v>
      </c>
      <c r="C1044" s="5">
        <v>258.2441</v>
      </c>
      <c r="D1044" s="5">
        <v>260.1035</v>
      </c>
      <c r="E1044" s="5">
        <v>1329486</v>
      </c>
      <c r="F1044" s="5" t="s">
        <v>243</v>
      </c>
      <c r="G1044" s="9">
        <f t="shared" si="16"/>
        <v>9.8518474376545484E-3</v>
      </c>
    </row>
    <row r="1045" spans="1:7">
      <c r="A1045" s="5">
        <v>258.57170000000002</v>
      </c>
      <c r="B1045" s="5">
        <v>259.85300000000001</v>
      </c>
      <c r="C1045" s="5">
        <v>256.327</v>
      </c>
      <c r="D1045" s="5">
        <v>256.38479999999998</v>
      </c>
      <c r="E1045" s="5">
        <v>1224359</v>
      </c>
      <c r="F1045" s="5" t="s">
        <v>242</v>
      </c>
      <c r="G1045" s="9">
        <f t="shared" si="16"/>
        <v>8.5297568342586061E-3</v>
      </c>
    </row>
    <row r="1046" spans="1:7">
      <c r="A1046" s="5">
        <v>256.327</v>
      </c>
      <c r="B1046" s="5">
        <v>256.9436</v>
      </c>
      <c r="C1046" s="5">
        <v>248.55250000000001</v>
      </c>
      <c r="D1046" s="5">
        <v>251.15360000000001</v>
      </c>
      <c r="E1046" s="5">
        <v>2393538</v>
      </c>
      <c r="F1046" s="5" t="s">
        <v>241</v>
      </c>
      <c r="G1046" s="9">
        <f t="shared" si="16"/>
        <v>2.0598550050646258E-2</v>
      </c>
    </row>
    <row r="1047" spans="1:7">
      <c r="A1047" s="5">
        <v>258.61020000000002</v>
      </c>
      <c r="B1047" s="5">
        <v>260.46469999999999</v>
      </c>
      <c r="C1047" s="5">
        <v>255.71520000000001</v>
      </c>
      <c r="D1047" s="5">
        <v>258.13819999999998</v>
      </c>
      <c r="E1047" s="5">
        <v>1067010</v>
      </c>
      <c r="F1047" s="5" t="s">
        <v>240</v>
      </c>
      <c r="G1047" s="9">
        <f t="shared" si="16"/>
        <v>1.8284779238408877E-3</v>
      </c>
    </row>
    <row r="1048" spans="1:7">
      <c r="A1048" s="5">
        <v>258.66800000000001</v>
      </c>
      <c r="B1048" s="5">
        <v>264.26530000000002</v>
      </c>
      <c r="C1048" s="5">
        <v>258.48500000000001</v>
      </c>
      <c r="D1048" s="5">
        <v>263.96660000000003</v>
      </c>
      <c r="E1048" s="5">
        <v>899134</v>
      </c>
      <c r="F1048" s="5" t="s">
        <v>239</v>
      </c>
      <c r="G1048" s="9">
        <f t="shared" si="16"/>
        <v>-2.0072994083342399E-2</v>
      </c>
    </row>
    <row r="1049" spans="1:7">
      <c r="A1049" s="5">
        <v>263.17660000000001</v>
      </c>
      <c r="B1049" s="5">
        <v>265.40690000000001</v>
      </c>
      <c r="C1049" s="5">
        <v>262.94540000000001</v>
      </c>
      <c r="D1049" s="5">
        <v>264.93</v>
      </c>
      <c r="E1049" s="5">
        <v>605398</v>
      </c>
      <c r="F1049" s="5" t="s">
        <v>238</v>
      </c>
      <c r="G1049" s="9">
        <f t="shared" si="16"/>
        <v>-6.6183520175140398E-3</v>
      </c>
    </row>
    <row r="1050" spans="1:7">
      <c r="A1050" s="5">
        <v>263.0514</v>
      </c>
      <c r="B1050" s="5">
        <v>266.58699999999999</v>
      </c>
      <c r="C1050" s="5">
        <v>262.64679999999998</v>
      </c>
      <c r="D1050" s="5">
        <v>266.298</v>
      </c>
      <c r="E1050" s="5">
        <v>924005</v>
      </c>
      <c r="F1050" s="5" t="s">
        <v>237</v>
      </c>
      <c r="G1050" s="9">
        <f t="shared" si="16"/>
        <v>-1.2191604893765584E-2</v>
      </c>
    </row>
    <row r="1051" spans="1:7">
      <c r="A1051" s="5">
        <v>265.63330000000002</v>
      </c>
      <c r="B1051" s="5">
        <v>267.40589999999997</v>
      </c>
      <c r="C1051" s="5">
        <v>264.62180000000001</v>
      </c>
      <c r="D1051" s="5">
        <v>265.88369999999998</v>
      </c>
      <c r="E1051" s="5">
        <v>653252</v>
      </c>
      <c r="F1051" s="5" t="s">
        <v>236</v>
      </c>
      <c r="G1051" s="9">
        <f t="shared" si="16"/>
        <v>-9.4176514017207946E-4</v>
      </c>
    </row>
    <row r="1052" spans="1:7">
      <c r="A1052" s="5">
        <v>266.31729999999999</v>
      </c>
      <c r="B1052" s="5">
        <v>266.404</v>
      </c>
      <c r="C1052" s="5">
        <v>261.81630000000001</v>
      </c>
      <c r="D1052" s="5">
        <v>263.50420000000003</v>
      </c>
      <c r="E1052" s="5">
        <v>962569</v>
      </c>
      <c r="F1052" s="5" t="s">
        <v>235</v>
      </c>
      <c r="G1052" s="9">
        <f t="shared" si="16"/>
        <v>1.0675731164816238E-2</v>
      </c>
    </row>
    <row r="1053" spans="1:7">
      <c r="A1053" s="5">
        <v>263.73540000000003</v>
      </c>
      <c r="B1053" s="5">
        <v>264.4194</v>
      </c>
      <c r="C1053" s="5">
        <v>260.02640000000002</v>
      </c>
      <c r="D1053" s="5">
        <v>262.03989999999999</v>
      </c>
      <c r="E1053" s="5">
        <v>1068301</v>
      </c>
      <c r="F1053" s="5" t="s">
        <v>234</v>
      </c>
      <c r="G1053" s="9">
        <f t="shared" si="16"/>
        <v>6.4703886698171953E-3</v>
      </c>
    </row>
    <row r="1054" spans="1:7">
      <c r="A1054" s="5">
        <v>260.94159999999999</v>
      </c>
      <c r="B1054" s="5">
        <v>261.6352</v>
      </c>
      <c r="C1054" s="5">
        <v>254.58330000000001</v>
      </c>
      <c r="D1054" s="5">
        <v>254.58330000000001</v>
      </c>
      <c r="E1054" s="5">
        <v>966414</v>
      </c>
      <c r="F1054" s="5" t="s">
        <v>233</v>
      </c>
      <c r="G1054" s="9">
        <f t="shared" si="16"/>
        <v>2.4975322419027446E-2</v>
      </c>
    </row>
    <row r="1055" spans="1:7">
      <c r="A1055" s="5">
        <v>252.45419999999999</v>
      </c>
      <c r="B1055" s="5">
        <v>254.1979</v>
      </c>
      <c r="C1055" s="5">
        <v>250.2432</v>
      </c>
      <c r="D1055" s="5">
        <v>253.36940000000001</v>
      </c>
      <c r="E1055" s="5">
        <v>1100270</v>
      </c>
      <c r="F1055" s="5" t="s">
        <v>232</v>
      </c>
      <c r="G1055" s="9">
        <f t="shared" si="16"/>
        <v>-3.6121173275068807E-3</v>
      </c>
    </row>
    <row r="1056" spans="1:7">
      <c r="A1056" s="5">
        <v>256.56779999999998</v>
      </c>
      <c r="B1056" s="5">
        <v>256.74130000000002</v>
      </c>
      <c r="C1056" s="5">
        <v>253.83179999999999</v>
      </c>
      <c r="D1056" s="5">
        <v>256.0573</v>
      </c>
      <c r="E1056" s="5">
        <v>1909013</v>
      </c>
      <c r="F1056" s="5" t="s">
        <v>231</v>
      </c>
      <c r="G1056" s="9">
        <f t="shared" si="16"/>
        <v>1.9936943801250884E-3</v>
      </c>
    </row>
    <row r="1057" spans="1:7">
      <c r="A1057" s="5">
        <v>254.1883</v>
      </c>
      <c r="B1057" s="5">
        <v>254.50620000000001</v>
      </c>
      <c r="C1057" s="5">
        <v>248.59100000000001</v>
      </c>
      <c r="D1057" s="5">
        <v>248.83189999999999</v>
      </c>
      <c r="E1057" s="5">
        <v>1083094</v>
      </c>
      <c r="F1057" s="5" t="s">
        <v>230</v>
      </c>
      <c r="G1057" s="9">
        <f t="shared" si="16"/>
        <v>2.1526178918378269E-2</v>
      </c>
    </row>
    <row r="1058" spans="1:7">
      <c r="A1058" s="5">
        <v>247.10740000000001</v>
      </c>
      <c r="B1058" s="5">
        <v>249.82419999999999</v>
      </c>
      <c r="C1058" s="5">
        <v>246.6739</v>
      </c>
      <c r="D1058" s="5">
        <v>248.55250000000001</v>
      </c>
      <c r="E1058" s="5">
        <v>1038829</v>
      </c>
      <c r="F1058" s="5" t="s">
        <v>229</v>
      </c>
      <c r="G1058" s="9">
        <f t="shared" si="16"/>
        <v>-5.8140634272437763E-3</v>
      </c>
    </row>
    <row r="1059" spans="1:7">
      <c r="A1059" s="5">
        <v>248.7259</v>
      </c>
      <c r="B1059" s="5">
        <v>250.75729999999999</v>
      </c>
      <c r="C1059" s="5">
        <v>247.86850000000001</v>
      </c>
      <c r="D1059" s="5">
        <v>250.44069999999999</v>
      </c>
      <c r="E1059" s="5">
        <v>978816</v>
      </c>
      <c r="F1059" s="5" t="s">
        <v>228</v>
      </c>
      <c r="G1059" s="9">
        <f t="shared" si="16"/>
        <v>-6.8471298794484659E-3</v>
      </c>
    </row>
    <row r="1060" spans="1:7">
      <c r="A1060" s="5">
        <v>249.2654</v>
      </c>
      <c r="B1060" s="5">
        <v>253.36940000000001</v>
      </c>
      <c r="C1060" s="5">
        <v>248.71629999999999</v>
      </c>
      <c r="D1060" s="5">
        <v>252.99369999999999</v>
      </c>
      <c r="E1060" s="5">
        <v>1042788</v>
      </c>
      <c r="F1060" s="5" t="s">
        <v>227</v>
      </c>
      <c r="G1060" s="9">
        <f t="shared" si="16"/>
        <v>-1.4736730598429837E-2</v>
      </c>
    </row>
    <row r="1061" spans="1:7">
      <c r="A1061" s="5">
        <v>254.02449999999999</v>
      </c>
      <c r="B1061" s="5">
        <v>257.41559999999998</v>
      </c>
      <c r="C1061" s="5">
        <v>253.0033</v>
      </c>
      <c r="D1061" s="5">
        <v>255.84530000000001</v>
      </c>
      <c r="E1061" s="5">
        <v>669203</v>
      </c>
      <c r="F1061" s="5" t="s">
        <v>226</v>
      </c>
      <c r="G1061" s="9">
        <f t="shared" si="16"/>
        <v>-7.116800660399103E-3</v>
      </c>
    </row>
    <row r="1062" spans="1:7">
      <c r="A1062" s="5">
        <v>256.221</v>
      </c>
      <c r="B1062" s="5">
        <v>259.50619999999998</v>
      </c>
      <c r="C1062" s="5">
        <v>255.58519999999999</v>
      </c>
      <c r="D1062" s="5">
        <v>255.72970000000001</v>
      </c>
      <c r="E1062" s="5">
        <v>657902</v>
      </c>
      <c r="F1062" s="5" t="s">
        <v>225</v>
      </c>
      <c r="G1062" s="9">
        <f t="shared" si="16"/>
        <v>1.9211691094151995E-3</v>
      </c>
    </row>
    <row r="1063" spans="1:7">
      <c r="A1063" s="5">
        <v>254.06309999999999</v>
      </c>
      <c r="B1063" s="5">
        <v>254.1883</v>
      </c>
      <c r="C1063" s="5">
        <v>249.4581</v>
      </c>
      <c r="D1063" s="5">
        <v>250.63339999999999</v>
      </c>
      <c r="E1063" s="5">
        <v>977681</v>
      </c>
      <c r="F1063" s="5" t="s">
        <v>224</v>
      </c>
      <c r="G1063" s="9">
        <f t="shared" ref="G1063:G1126" si="17">A1063/D1063-1</f>
        <v>1.3684129888514418E-2</v>
      </c>
    </row>
    <row r="1064" spans="1:7">
      <c r="A1064" s="5">
        <v>252.87809999999999</v>
      </c>
      <c r="B1064" s="5">
        <v>257.1189</v>
      </c>
      <c r="C1064" s="5">
        <v>252.1267</v>
      </c>
      <c r="D1064" s="5">
        <v>253.5428</v>
      </c>
      <c r="E1064" s="5">
        <v>1358984</v>
      </c>
      <c r="F1064" s="5" t="s">
        <v>223</v>
      </c>
      <c r="G1064" s="9">
        <f t="shared" si="17"/>
        <v>-2.6216481004390779E-3</v>
      </c>
    </row>
    <row r="1065" spans="1:7">
      <c r="A1065" s="5">
        <v>252.7336</v>
      </c>
      <c r="B1065" s="5">
        <v>258.60059999999999</v>
      </c>
      <c r="C1065" s="5">
        <v>249.7567</v>
      </c>
      <c r="D1065" s="5">
        <v>256.51</v>
      </c>
      <c r="E1065" s="5">
        <v>1237137</v>
      </c>
      <c r="F1065" s="5" t="s">
        <v>222</v>
      </c>
      <c r="G1065" s="9">
        <f t="shared" si="17"/>
        <v>-1.4722233051343014E-2</v>
      </c>
    </row>
    <row r="1066" spans="1:7">
      <c r="A1066" s="5">
        <v>258.39830000000001</v>
      </c>
      <c r="B1066" s="5">
        <v>259.41950000000003</v>
      </c>
      <c r="C1066" s="5">
        <v>252.76249999999999</v>
      </c>
      <c r="D1066" s="5">
        <v>255.71039999999999</v>
      </c>
      <c r="E1066" s="5">
        <v>1329845</v>
      </c>
      <c r="F1066" s="5" t="s">
        <v>221</v>
      </c>
      <c r="G1066" s="9">
        <f t="shared" si="17"/>
        <v>1.0511500509951865E-2</v>
      </c>
    </row>
    <row r="1067" spans="1:7">
      <c r="A1067" s="5">
        <v>254.06309999999999</v>
      </c>
      <c r="B1067" s="5">
        <v>260.13240000000002</v>
      </c>
      <c r="C1067" s="5">
        <v>253.87039999999999</v>
      </c>
      <c r="D1067" s="5">
        <v>258.50420000000003</v>
      </c>
      <c r="E1067" s="5">
        <v>989307</v>
      </c>
      <c r="F1067" s="5" t="s">
        <v>220</v>
      </c>
      <c r="G1067" s="9">
        <f t="shared" si="17"/>
        <v>-1.717999165971007E-2</v>
      </c>
    </row>
    <row r="1068" spans="1:7">
      <c r="A1068" s="5">
        <v>258.0804</v>
      </c>
      <c r="B1068" s="5">
        <v>259.3424</v>
      </c>
      <c r="C1068" s="5">
        <v>257.04950000000002</v>
      </c>
      <c r="D1068" s="5">
        <v>258.14780000000002</v>
      </c>
      <c r="E1068" s="5">
        <v>653375</v>
      </c>
      <c r="F1068" s="5" t="s">
        <v>219</v>
      </c>
      <c r="G1068" s="9">
        <f t="shared" si="17"/>
        <v>-2.6109073949120987E-4</v>
      </c>
    </row>
    <row r="1069" spans="1:7">
      <c r="A1069" s="5">
        <v>257.41559999999998</v>
      </c>
      <c r="B1069" s="5">
        <v>263.12459999999999</v>
      </c>
      <c r="C1069" s="5">
        <v>256.66590000000002</v>
      </c>
      <c r="D1069" s="5">
        <v>262.43259999999998</v>
      </c>
      <c r="E1069" s="5">
        <v>1044473</v>
      </c>
      <c r="F1069" s="5" t="s">
        <v>218</v>
      </c>
      <c r="G1069" s="9">
        <f t="shared" si="17"/>
        <v>-1.9117289544058114E-2</v>
      </c>
    </row>
    <row r="1070" spans="1:7">
      <c r="A1070" s="5">
        <v>262.84589999999997</v>
      </c>
      <c r="B1070" s="5">
        <v>265.7869</v>
      </c>
      <c r="C1070" s="5">
        <v>261.3177</v>
      </c>
      <c r="D1070" s="5">
        <v>264.73930000000001</v>
      </c>
      <c r="E1070" s="5">
        <v>683071</v>
      </c>
      <c r="F1070" s="5" t="s">
        <v>217</v>
      </c>
      <c r="G1070" s="9">
        <f t="shared" si="17"/>
        <v>-7.1519415515567397E-3</v>
      </c>
    </row>
    <row r="1071" spans="1:7">
      <c r="A1071" s="5">
        <v>265.88299999999998</v>
      </c>
      <c r="B1071" s="5">
        <v>266.76729999999998</v>
      </c>
      <c r="C1071" s="5">
        <v>264.23950000000002</v>
      </c>
      <c r="D1071" s="5">
        <v>264.91230000000002</v>
      </c>
      <c r="E1071" s="5">
        <v>520194</v>
      </c>
      <c r="F1071" s="5" t="s">
        <v>216</v>
      </c>
      <c r="G1071" s="9">
        <f t="shared" si="17"/>
        <v>3.6642315211485865E-3</v>
      </c>
    </row>
    <row r="1072" spans="1:7">
      <c r="A1072" s="5">
        <v>265.42169999999999</v>
      </c>
      <c r="B1072" s="5">
        <v>266.6327</v>
      </c>
      <c r="C1072" s="5">
        <v>261.3603</v>
      </c>
      <c r="D1072" s="5">
        <v>262.38459999999998</v>
      </c>
      <c r="E1072" s="5">
        <v>963773</v>
      </c>
      <c r="F1072" s="5" t="s">
        <v>215</v>
      </c>
      <c r="G1072" s="9">
        <f t="shared" si="17"/>
        <v>1.157499334945733E-2</v>
      </c>
    </row>
    <row r="1073" spans="1:7">
      <c r="A1073" s="5">
        <v>261.08710000000002</v>
      </c>
      <c r="B1073" s="5">
        <v>262.721</v>
      </c>
      <c r="C1073" s="5">
        <v>257.92500000000001</v>
      </c>
      <c r="D1073" s="5">
        <v>259.13600000000002</v>
      </c>
      <c r="E1073" s="5">
        <v>968719</v>
      </c>
      <c r="F1073" s="5" t="s">
        <v>214</v>
      </c>
      <c r="G1073" s="9">
        <f t="shared" si="17"/>
        <v>7.5292510496418608E-3</v>
      </c>
    </row>
    <row r="1074" spans="1:7">
      <c r="A1074" s="5">
        <v>257.8193</v>
      </c>
      <c r="B1074" s="5">
        <v>261.54840000000002</v>
      </c>
      <c r="C1074" s="5">
        <v>257.75200000000001</v>
      </c>
      <c r="D1074" s="5">
        <v>259.5301</v>
      </c>
      <c r="E1074" s="5">
        <v>868570</v>
      </c>
      <c r="F1074" s="5" t="s">
        <v>213</v>
      </c>
      <c r="G1074" s="9">
        <f t="shared" si="17"/>
        <v>-6.5919136161856073E-3</v>
      </c>
    </row>
    <row r="1075" spans="1:7">
      <c r="A1075" s="5">
        <v>257.89620000000002</v>
      </c>
      <c r="B1075" s="5">
        <v>260.39510000000001</v>
      </c>
      <c r="C1075" s="5">
        <v>254.92150000000001</v>
      </c>
      <c r="D1075" s="5">
        <v>258.9246</v>
      </c>
      <c r="E1075" s="5">
        <v>1082203</v>
      </c>
      <c r="F1075" s="5" t="s">
        <v>212</v>
      </c>
      <c r="G1075" s="9">
        <f t="shared" si="17"/>
        <v>-3.9718126435261958E-3</v>
      </c>
    </row>
    <row r="1076" spans="1:7">
      <c r="A1076" s="5">
        <v>262.41340000000002</v>
      </c>
      <c r="B1076" s="5">
        <v>264.9796</v>
      </c>
      <c r="C1076" s="5">
        <v>261.87520000000001</v>
      </c>
      <c r="D1076" s="5">
        <v>264.77780000000001</v>
      </c>
      <c r="E1076" s="5">
        <v>2824306</v>
      </c>
      <c r="F1076" s="5" t="s">
        <v>211</v>
      </c>
      <c r="G1076" s="9">
        <f t="shared" si="17"/>
        <v>-8.929751663470209E-3</v>
      </c>
    </row>
    <row r="1077" spans="1:7">
      <c r="A1077" s="5">
        <v>265.37369999999999</v>
      </c>
      <c r="B1077" s="5">
        <v>267.83409999999998</v>
      </c>
      <c r="C1077" s="5">
        <v>263.36489999999998</v>
      </c>
      <c r="D1077" s="5">
        <v>265.9984</v>
      </c>
      <c r="E1077" s="5">
        <v>773817</v>
      </c>
      <c r="F1077" s="5" t="s">
        <v>210</v>
      </c>
      <c r="G1077" s="9">
        <f t="shared" si="17"/>
        <v>-2.3485103669796947E-3</v>
      </c>
    </row>
    <row r="1078" spans="1:7">
      <c r="A1078" s="5">
        <v>266.3252</v>
      </c>
      <c r="B1078" s="5">
        <v>267.61309999999997</v>
      </c>
      <c r="C1078" s="5">
        <v>262.90359999999998</v>
      </c>
      <c r="D1078" s="5">
        <v>263.29759999999999</v>
      </c>
      <c r="E1078" s="5">
        <v>955436</v>
      </c>
      <c r="F1078" s="5" t="s">
        <v>209</v>
      </c>
      <c r="G1078" s="9">
        <f t="shared" si="17"/>
        <v>1.1498775530046634E-2</v>
      </c>
    </row>
    <row r="1079" spans="1:7">
      <c r="A1079" s="5">
        <v>264.55669999999998</v>
      </c>
      <c r="B1079" s="5">
        <v>266.87299999999999</v>
      </c>
      <c r="C1079" s="5">
        <v>259.70310000000001</v>
      </c>
      <c r="D1079" s="5">
        <v>261.33699999999999</v>
      </c>
      <c r="E1079" s="5">
        <v>1514834</v>
      </c>
      <c r="F1079" s="5" t="s">
        <v>208</v>
      </c>
      <c r="G1079" s="9">
        <f t="shared" si="17"/>
        <v>1.2320107753590159E-2</v>
      </c>
    </row>
    <row r="1080" spans="1:7">
      <c r="A1080" s="5">
        <v>260.29899999999998</v>
      </c>
      <c r="B1080" s="5">
        <v>265.10660000000001</v>
      </c>
      <c r="C1080" s="5">
        <v>258.81880000000001</v>
      </c>
      <c r="D1080" s="5">
        <v>264.35489999999999</v>
      </c>
      <c r="E1080" s="5">
        <v>1401483</v>
      </c>
      <c r="F1080" s="5" t="s">
        <v>207</v>
      </c>
      <c r="G1080" s="9">
        <f t="shared" si="17"/>
        <v>-1.5342632196339134E-2</v>
      </c>
    </row>
    <row r="1081" spans="1:7">
      <c r="A1081" s="5">
        <v>263.21109999999999</v>
      </c>
      <c r="B1081" s="5">
        <v>267.57940000000002</v>
      </c>
      <c r="C1081" s="5">
        <v>263.03809999999999</v>
      </c>
      <c r="D1081" s="5">
        <v>266.99790000000002</v>
      </c>
      <c r="E1081" s="5">
        <v>1032557</v>
      </c>
      <c r="F1081" s="5" t="s">
        <v>206</v>
      </c>
      <c r="G1081" s="9">
        <f t="shared" si="17"/>
        <v>-1.4182883086346521E-2</v>
      </c>
    </row>
    <row r="1082" spans="1:7">
      <c r="A1082" s="5">
        <v>266.15219999999999</v>
      </c>
      <c r="B1082" s="5">
        <v>270.22730000000001</v>
      </c>
      <c r="C1082" s="5">
        <v>265.83499999999998</v>
      </c>
      <c r="D1082" s="5">
        <v>269.20850000000002</v>
      </c>
      <c r="E1082" s="5">
        <v>686253</v>
      </c>
      <c r="F1082" s="5" t="s">
        <v>205</v>
      </c>
      <c r="G1082" s="9">
        <f t="shared" si="17"/>
        <v>-1.1352910476452371E-2</v>
      </c>
    </row>
    <row r="1083" spans="1:7">
      <c r="A1083" s="5">
        <v>269.19889999999998</v>
      </c>
      <c r="B1083" s="5">
        <v>270.01100000000002</v>
      </c>
      <c r="C1083" s="5">
        <v>266.87779999999998</v>
      </c>
      <c r="D1083" s="5">
        <v>267.59379999999999</v>
      </c>
      <c r="E1083" s="5">
        <v>691073</v>
      </c>
      <c r="F1083" s="5" t="s">
        <v>204</v>
      </c>
      <c r="G1083" s="9">
        <f t="shared" si="17"/>
        <v>5.9982705129939529E-3</v>
      </c>
    </row>
    <row r="1084" spans="1:7">
      <c r="A1084" s="5">
        <v>267.83409999999998</v>
      </c>
      <c r="B1084" s="5">
        <v>268.50689999999997</v>
      </c>
      <c r="C1084" s="5">
        <v>265.61869999999999</v>
      </c>
      <c r="D1084" s="5">
        <v>266.38279999999997</v>
      </c>
      <c r="E1084" s="5">
        <v>930847</v>
      </c>
      <c r="F1084" s="5" t="s">
        <v>203</v>
      </c>
      <c r="G1084" s="9">
        <f t="shared" si="17"/>
        <v>5.4481745818424354E-3</v>
      </c>
    </row>
    <row r="1085" spans="1:7">
      <c r="A1085" s="5">
        <v>265.89269999999999</v>
      </c>
      <c r="B1085" s="5">
        <v>266.56229999999999</v>
      </c>
      <c r="C1085" s="5">
        <v>264.15339999999998</v>
      </c>
      <c r="D1085" s="5">
        <v>266.06569999999999</v>
      </c>
      <c r="E1085" s="5">
        <v>648307</v>
      </c>
      <c r="F1085" s="5" t="s">
        <v>202</v>
      </c>
      <c r="G1085" s="9">
        <f t="shared" si="17"/>
        <v>-6.5021534154907634E-4</v>
      </c>
    </row>
    <row r="1086" spans="1:7">
      <c r="A1086" s="5">
        <v>266.88260000000002</v>
      </c>
      <c r="B1086" s="5">
        <v>269.37670000000003</v>
      </c>
      <c r="C1086" s="5">
        <v>266.62310000000002</v>
      </c>
      <c r="D1086" s="5">
        <v>267.32470000000001</v>
      </c>
      <c r="E1086" s="5">
        <v>859404</v>
      </c>
      <c r="F1086" s="5" t="s">
        <v>201</v>
      </c>
      <c r="G1086" s="9">
        <f t="shared" si="17"/>
        <v>-1.6537940564413933E-3</v>
      </c>
    </row>
    <row r="1087" spans="1:7">
      <c r="A1087" s="5">
        <v>265.9119</v>
      </c>
      <c r="B1087" s="5">
        <v>267.08440000000002</v>
      </c>
      <c r="C1087" s="5">
        <v>263.14389999999997</v>
      </c>
      <c r="D1087" s="5">
        <v>266.90179999999998</v>
      </c>
      <c r="E1087" s="5">
        <v>695940</v>
      </c>
      <c r="F1087" s="5" t="s">
        <v>200</v>
      </c>
      <c r="G1087" s="9">
        <f t="shared" si="17"/>
        <v>-3.7088547173529385E-3</v>
      </c>
    </row>
    <row r="1088" spans="1:7">
      <c r="A1088" s="5">
        <v>266.3252</v>
      </c>
      <c r="B1088" s="5">
        <v>266.56540000000001</v>
      </c>
      <c r="C1088" s="5">
        <v>262.99009999999998</v>
      </c>
      <c r="D1088" s="5">
        <v>263.36489999999998</v>
      </c>
      <c r="E1088" s="5">
        <v>1332954</v>
      </c>
      <c r="F1088" s="5" t="s">
        <v>199</v>
      </c>
      <c r="G1088" s="9">
        <f t="shared" si="17"/>
        <v>1.1240298156664164E-2</v>
      </c>
    </row>
    <row r="1089" spans="1:7">
      <c r="A1089" s="5">
        <v>263.42259999999999</v>
      </c>
      <c r="B1089" s="5">
        <v>266.12329999999997</v>
      </c>
      <c r="C1089" s="5">
        <v>262.43259999999998</v>
      </c>
      <c r="D1089" s="5">
        <v>263.36489999999998</v>
      </c>
      <c r="E1089" s="5">
        <v>904991</v>
      </c>
      <c r="F1089" s="5" t="s">
        <v>198</v>
      </c>
      <c r="G1089" s="9">
        <f t="shared" si="17"/>
        <v>2.190876612639947E-4</v>
      </c>
    </row>
    <row r="1090" spans="1:7">
      <c r="A1090" s="5">
        <v>262.78829999999999</v>
      </c>
      <c r="B1090" s="5">
        <v>264.09350000000001</v>
      </c>
      <c r="C1090" s="5">
        <v>260.56330000000003</v>
      </c>
      <c r="D1090" s="5">
        <v>261.68299999999999</v>
      </c>
      <c r="E1090" s="5">
        <v>953204</v>
      </c>
      <c r="F1090" s="5" t="s">
        <v>197</v>
      </c>
      <c r="G1090" s="9">
        <f t="shared" si="17"/>
        <v>4.2238127811129456E-3</v>
      </c>
    </row>
    <row r="1091" spans="1:7">
      <c r="A1091" s="5">
        <v>260.60649999999998</v>
      </c>
      <c r="B1091" s="5">
        <v>262.38459999999998</v>
      </c>
      <c r="C1091" s="5">
        <v>259.24169999999998</v>
      </c>
      <c r="D1091" s="5">
        <v>260.76029999999997</v>
      </c>
      <c r="E1091" s="5">
        <v>1016582</v>
      </c>
      <c r="F1091" s="5" t="s">
        <v>196</v>
      </c>
      <c r="G1091" s="9">
        <f t="shared" si="17"/>
        <v>-5.8981371013910877E-4</v>
      </c>
    </row>
    <row r="1092" spans="1:7">
      <c r="A1092" s="5">
        <v>260.93329999999997</v>
      </c>
      <c r="B1092" s="5">
        <v>262.25959999999998</v>
      </c>
      <c r="C1092" s="5">
        <v>259.11900000000003</v>
      </c>
      <c r="D1092" s="5">
        <v>261.20240000000001</v>
      </c>
      <c r="E1092" s="5">
        <v>921246</v>
      </c>
      <c r="F1092" s="5" t="s">
        <v>195</v>
      </c>
      <c r="G1092" s="9">
        <f t="shared" si="17"/>
        <v>-1.0302355567943788E-3</v>
      </c>
    </row>
    <row r="1093" spans="1:7">
      <c r="A1093" s="5">
        <v>260.55849999999998</v>
      </c>
      <c r="B1093" s="5">
        <v>261.904</v>
      </c>
      <c r="C1093" s="5">
        <v>254.49379999999999</v>
      </c>
      <c r="D1093" s="5">
        <v>254.52269999999999</v>
      </c>
      <c r="E1093" s="5">
        <v>1639872</v>
      </c>
      <c r="F1093" s="5" t="s">
        <v>194</v>
      </c>
      <c r="G1093" s="9">
        <f t="shared" si="17"/>
        <v>2.3714191307887322E-2</v>
      </c>
    </row>
    <row r="1094" spans="1:7">
      <c r="A1094" s="5">
        <v>254.9648</v>
      </c>
      <c r="B1094" s="5">
        <v>256.55059999999997</v>
      </c>
      <c r="C1094" s="5">
        <v>253.20590000000001</v>
      </c>
      <c r="D1094" s="5">
        <v>256.55059999999997</v>
      </c>
      <c r="E1094" s="5">
        <v>1532126</v>
      </c>
      <c r="F1094" s="5" t="s">
        <v>193</v>
      </c>
      <c r="G1094" s="9">
        <f t="shared" si="17"/>
        <v>-6.1812367618706565E-3</v>
      </c>
    </row>
    <row r="1095" spans="1:7">
      <c r="A1095" s="5">
        <v>254.9648</v>
      </c>
      <c r="B1095" s="5">
        <v>255.21469999999999</v>
      </c>
      <c r="C1095" s="5">
        <v>252.48990000000001</v>
      </c>
      <c r="D1095" s="5">
        <v>253.89789999999999</v>
      </c>
      <c r="E1095" s="5">
        <v>1148475</v>
      </c>
      <c r="F1095" s="5" t="s">
        <v>192</v>
      </c>
      <c r="G1095" s="9">
        <f t="shared" si="17"/>
        <v>4.2020828057263149E-3</v>
      </c>
    </row>
    <row r="1096" spans="1:7">
      <c r="A1096" s="5">
        <v>254.0421</v>
      </c>
      <c r="B1096" s="5">
        <v>255.25309999999999</v>
      </c>
      <c r="C1096" s="5">
        <v>250.32259999999999</v>
      </c>
      <c r="D1096" s="5">
        <v>250.99539999999999</v>
      </c>
      <c r="E1096" s="5">
        <v>963950</v>
      </c>
      <c r="F1096" s="5" t="s">
        <v>191</v>
      </c>
      <c r="G1096" s="9">
        <f t="shared" si="17"/>
        <v>1.2138469469958446E-2</v>
      </c>
    </row>
    <row r="1097" spans="1:7">
      <c r="A1097" s="5">
        <v>253.33090000000001</v>
      </c>
      <c r="B1097" s="5">
        <v>257.161</v>
      </c>
      <c r="C1097" s="5">
        <v>252.7927</v>
      </c>
      <c r="D1097" s="5">
        <v>257.06</v>
      </c>
      <c r="E1097" s="5">
        <v>2065786</v>
      </c>
      <c r="F1097" s="5" t="s">
        <v>190</v>
      </c>
      <c r="G1097" s="9">
        <f t="shared" si="17"/>
        <v>-1.4506729946315966E-2</v>
      </c>
    </row>
    <row r="1098" spans="1:7">
      <c r="A1098" s="5">
        <v>257.17529999999999</v>
      </c>
      <c r="B1098" s="5">
        <v>257.45409999999998</v>
      </c>
      <c r="C1098" s="5">
        <v>253.1387</v>
      </c>
      <c r="D1098" s="5">
        <v>253.97479999999999</v>
      </c>
      <c r="E1098" s="5">
        <v>842159</v>
      </c>
      <c r="F1098" s="5" t="s">
        <v>189</v>
      </c>
      <c r="G1098" s="9">
        <f t="shared" si="17"/>
        <v>1.2601643942627305E-2</v>
      </c>
    </row>
    <row r="1099" spans="1:7">
      <c r="A1099" s="5">
        <v>254.74369999999999</v>
      </c>
      <c r="B1099" s="5">
        <v>255.03210000000001</v>
      </c>
      <c r="C1099" s="5">
        <v>251.721</v>
      </c>
      <c r="D1099" s="5">
        <v>252.0334</v>
      </c>
      <c r="E1099" s="5">
        <v>1001105</v>
      </c>
      <c r="F1099" s="5" t="s">
        <v>188</v>
      </c>
      <c r="G1099" s="9">
        <f t="shared" si="17"/>
        <v>1.0753733433743307E-2</v>
      </c>
    </row>
    <row r="1100" spans="1:7">
      <c r="A1100" s="5">
        <v>252.91759999999999</v>
      </c>
      <c r="B1100" s="5">
        <v>253.59039999999999</v>
      </c>
      <c r="C1100" s="5">
        <v>250.1037</v>
      </c>
      <c r="D1100" s="5">
        <v>251.1491</v>
      </c>
      <c r="E1100" s="5">
        <v>767943</v>
      </c>
      <c r="F1100" s="5" t="s">
        <v>187</v>
      </c>
      <c r="G1100" s="9">
        <f t="shared" si="17"/>
        <v>7.0416338342442764E-3</v>
      </c>
    </row>
    <row r="1101" spans="1:7">
      <c r="A1101" s="5">
        <v>250.7551</v>
      </c>
      <c r="B1101" s="5">
        <v>251.04339999999999</v>
      </c>
      <c r="C1101" s="5">
        <v>246.4973</v>
      </c>
      <c r="D1101" s="5">
        <v>247.42</v>
      </c>
      <c r="E1101" s="5">
        <v>1096049</v>
      </c>
      <c r="F1101" s="5" t="s">
        <v>186</v>
      </c>
      <c r="G1101" s="9">
        <f t="shared" si="17"/>
        <v>1.3479508528009054E-2</v>
      </c>
    </row>
    <row r="1102" spans="1:7">
      <c r="A1102" s="5">
        <v>247.50649999999999</v>
      </c>
      <c r="B1102" s="5">
        <v>248.64779999999999</v>
      </c>
      <c r="C1102" s="5">
        <v>244.17140000000001</v>
      </c>
      <c r="D1102" s="5">
        <v>244.17140000000001</v>
      </c>
      <c r="E1102" s="5">
        <v>1579345</v>
      </c>
      <c r="F1102" s="5" t="s">
        <v>185</v>
      </c>
      <c r="G1102" s="9">
        <f t="shared" si="17"/>
        <v>1.365884784213045E-2</v>
      </c>
    </row>
    <row r="1103" spans="1:7">
      <c r="A1103" s="5">
        <v>243.6524</v>
      </c>
      <c r="B1103" s="5">
        <v>247.89099999999999</v>
      </c>
      <c r="C1103" s="5">
        <v>242.09540000000001</v>
      </c>
      <c r="D1103" s="5">
        <v>247.64109999999999</v>
      </c>
      <c r="E1103" s="5">
        <v>2318929</v>
      </c>
      <c r="F1103" s="5" t="s">
        <v>184</v>
      </c>
      <c r="G1103" s="9">
        <f t="shared" si="17"/>
        <v>-1.6106777106061898E-2</v>
      </c>
    </row>
    <row r="1104" spans="1:7">
      <c r="A1104" s="5">
        <v>247.53530000000001</v>
      </c>
      <c r="B1104" s="5">
        <v>252.52789999999999</v>
      </c>
      <c r="C1104" s="5">
        <v>246.8049</v>
      </c>
      <c r="D1104" s="5">
        <v>251.9084</v>
      </c>
      <c r="E1104" s="5">
        <v>1316720</v>
      </c>
      <c r="F1104" s="5" t="s">
        <v>183</v>
      </c>
      <c r="G1104" s="9">
        <f t="shared" si="17"/>
        <v>-1.7359881607759031E-2</v>
      </c>
    </row>
    <row r="1105" spans="1:7">
      <c r="A1105" s="5">
        <v>252.35050000000001</v>
      </c>
      <c r="B1105" s="5">
        <v>255.12819999999999</v>
      </c>
      <c r="C1105" s="5">
        <v>251.4855</v>
      </c>
      <c r="D1105" s="5">
        <v>254.61879999999999</v>
      </c>
      <c r="E1105" s="5">
        <v>1124286</v>
      </c>
      <c r="F1105" s="5" t="s">
        <v>182</v>
      </c>
      <c r="G1105" s="9">
        <f t="shared" si="17"/>
        <v>-8.908611618623552E-3</v>
      </c>
    </row>
    <row r="1106" spans="1:7">
      <c r="A1106" s="5">
        <v>254.22470000000001</v>
      </c>
      <c r="B1106" s="5">
        <v>254.292</v>
      </c>
      <c r="C1106" s="5">
        <v>250.74549999999999</v>
      </c>
      <c r="D1106" s="5">
        <v>253.2252</v>
      </c>
      <c r="E1106" s="5">
        <v>1268957</v>
      </c>
      <c r="F1106" s="5" t="s">
        <v>181</v>
      </c>
      <c r="G1106" s="9">
        <f t="shared" si="17"/>
        <v>3.9470795165725825E-3</v>
      </c>
    </row>
    <row r="1107" spans="1:7">
      <c r="A1107" s="5">
        <v>252.3698</v>
      </c>
      <c r="B1107" s="5">
        <v>256.89659999999998</v>
      </c>
      <c r="C1107" s="5">
        <v>251.81229999999999</v>
      </c>
      <c r="D1107" s="5">
        <v>256.46409999999997</v>
      </c>
      <c r="E1107" s="5">
        <v>1375871</v>
      </c>
      <c r="F1107" s="5" t="s">
        <v>180</v>
      </c>
      <c r="G1107" s="9">
        <f t="shared" si="17"/>
        <v>-1.5964417631941341E-2</v>
      </c>
    </row>
    <row r="1108" spans="1:7">
      <c r="A1108" s="5">
        <v>257.58859999999999</v>
      </c>
      <c r="B1108" s="5">
        <v>259.28980000000001</v>
      </c>
      <c r="C1108" s="5">
        <v>255.46459999999999</v>
      </c>
      <c r="D1108" s="5">
        <v>259.17450000000002</v>
      </c>
      <c r="E1108" s="5">
        <v>1030157</v>
      </c>
      <c r="F1108" s="5" t="s">
        <v>179</v>
      </c>
      <c r="G1108" s="9">
        <f t="shared" si="17"/>
        <v>-6.1190433472430028E-3</v>
      </c>
    </row>
    <row r="1109" spans="1:7">
      <c r="A1109" s="5">
        <v>259.56849999999997</v>
      </c>
      <c r="B1109" s="5">
        <v>262.90359999999998</v>
      </c>
      <c r="C1109" s="5">
        <v>258.96300000000002</v>
      </c>
      <c r="D1109" s="5">
        <v>261.08710000000002</v>
      </c>
      <c r="E1109" s="5">
        <v>1123941</v>
      </c>
      <c r="F1109" s="5" t="s">
        <v>178</v>
      </c>
      <c r="G1109" s="9">
        <f t="shared" si="17"/>
        <v>-5.816449759486586E-3</v>
      </c>
    </row>
    <row r="1110" spans="1:7">
      <c r="A1110" s="5">
        <v>260.40469999999999</v>
      </c>
      <c r="B1110" s="5">
        <v>261.46190000000001</v>
      </c>
      <c r="C1110" s="5">
        <v>257.87709999999998</v>
      </c>
      <c r="D1110" s="5">
        <v>258.2518</v>
      </c>
      <c r="E1110" s="5">
        <v>1050355</v>
      </c>
      <c r="F1110" s="5" t="s">
        <v>177</v>
      </c>
      <c r="G1110" s="9">
        <f t="shared" si="17"/>
        <v>8.3364375388670364E-3</v>
      </c>
    </row>
    <row r="1111" spans="1:7">
      <c r="A1111" s="5">
        <v>258.7131</v>
      </c>
      <c r="B1111" s="5">
        <v>259.72230000000002</v>
      </c>
      <c r="C1111" s="5">
        <v>255.59909999999999</v>
      </c>
      <c r="D1111" s="5">
        <v>258.74200000000002</v>
      </c>
      <c r="E1111" s="5">
        <v>1217293</v>
      </c>
      <c r="F1111" s="5" t="s">
        <v>176</v>
      </c>
      <c r="G1111" s="9">
        <f t="shared" si="17"/>
        <v>-1.1169427460566705E-4</v>
      </c>
    </row>
    <row r="1112" spans="1:7">
      <c r="A1112" s="5">
        <v>258.23259999999999</v>
      </c>
      <c r="B1112" s="5">
        <v>264.45100000000002</v>
      </c>
      <c r="C1112" s="5">
        <v>254.94069999999999</v>
      </c>
      <c r="D1112" s="5">
        <v>263.01889999999997</v>
      </c>
      <c r="E1112" s="5">
        <v>1895868</v>
      </c>
      <c r="F1112" s="5" t="s">
        <v>175</v>
      </c>
      <c r="G1112" s="9">
        <f t="shared" si="17"/>
        <v>-1.8197551582794902E-2</v>
      </c>
    </row>
    <row r="1113" spans="1:7">
      <c r="A1113" s="5">
        <v>257.91539999999998</v>
      </c>
      <c r="B1113" s="5">
        <v>259.25130000000001</v>
      </c>
      <c r="C1113" s="5">
        <v>250.91849999999999</v>
      </c>
      <c r="D1113" s="5">
        <v>253.10980000000001</v>
      </c>
      <c r="E1113" s="5">
        <v>1408200</v>
      </c>
      <c r="F1113" s="5" t="s">
        <v>174</v>
      </c>
      <c r="G1113" s="9">
        <f t="shared" si="17"/>
        <v>1.8986226530936179E-2</v>
      </c>
    </row>
    <row r="1114" spans="1:7">
      <c r="A1114" s="5">
        <v>253.28280000000001</v>
      </c>
      <c r="B1114" s="5">
        <v>253.63839999999999</v>
      </c>
      <c r="C1114" s="5">
        <v>249.73150000000001</v>
      </c>
      <c r="D1114" s="5">
        <v>251.40860000000001</v>
      </c>
      <c r="E1114" s="5">
        <v>1424302</v>
      </c>
      <c r="F1114" s="5" t="s">
        <v>173</v>
      </c>
      <c r="G1114" s="9">
        <f t="shared" si="17"/>
        <v>7.454796693510124E-3</v>
      </c>
    </row>
    <row r="1115" spans="1:7">
      <c r="A1115" s="5">
        <v>252.4563</v>
      </c>
      <c r="B1115" s="5">
        <v>252.65809999999999</v>
      </c>
      <c r="C1115" s="5">
        <v>248.94820000000001</v>
      </c>
      <c r="D1115" s="5">
        <v>249.9093</v>
      </c>
      <c r="E1115" s="5">
        <v>982246</v>
      </c>
      <c r="F1115" s="5" t="s">
        <v>172</v>
      </c>
      <c r="G1115" s="9">
        <f t="shared" si="17"/>
        <v>1.0191697547870415E-2</v>
      </c>
    </row>
    <row r="1116" spans="1:7">
      <c r="A1116" s="5">
        <v>249.02510000000001</v>
      </c>
      <c r="B1116" s="5">
        <v>249.54409999999999</v>
      </c>
      <c r="C1116" s="5">
        <v>245.87260000000001</v>
      </c>
      <c r="D1116" s="5">
        <v>248.77520000000001</v>
      </c>
      <c r="E1116" s="5">
        <v>1039006</v>
      </c>
      <c r="F1116" s="5" t="s">
        <v>171</v>
      </c>
      <c r="G1116" s="9">
        <f t="shared" si="17"/>
        <v>1.0045213510028184E-3</v>
      </c>
    </row>
    <row r="1117" spans="1:7">
      <c r="A1117" s="5">
        <v>248.62139999999999</v>
      </c>
      <c r="B1117" s="5">
        <v>248.90969999999999</v>
      </c>
      <c r="C1117" s="5">
        <v>246.43010000000001</v>
      </c>
      <c r="D1117" s="5">
        <v>248.1216</v>
      </c>
      <c r="E1117" s="5">
        <v>1397306</v>
      </c>
      <c r="F1117" s="5" t="s">
        <v>170</v>
      </c>
      <c r="G1117" s="9">
        <f t="shared" si="17"/>
        <v>2.0143349067553995E-3</v>
      </c>
    </row>
    <row r="1118" spans="1:7">
      <c r="A1118" s="5">
        <v>245.25749999999999</v>
      </c>
      <c r="B1118" s="5">
        <v>246.9683</v>
      </c>
      <c r="C1118" s="5">
        <v>239.1833</v>
      </c>
      <c r="D1118" s="5">
        <v>239.1833</v>
      </c>
      <c r="E1118" s="5">
        <v>1660713</v>
      </c>
      <c r="F1118" s="5" t="s">
        <v>169</v>
      </c>
      <c r="G1118" s="9">
        <f t="shared" si="17"/>
        <v>2.5395585728602343E-2</v>
      </c>
    </row>
    <row r="1119" spans="1:7">
      <c r="A1119" s="5">
        <v>239.2217</v>
      </c>
      <c r="B1119" s="5">
        <v>244.6808</v>
      </c>
      <c r="C1119" s="5">
        <v>237.9819</v>
      </c>
      <c r="D1119" s="5">
        <v>244.43090000000001</v>
      </c>
      <c r="E1119" s="5">
        <v>1748452</v>
      </c>
      <c r="F1119" s="5" t="s">
        <v>168</v>
      </c>
      <c r="G1119" s="9">
        <f t="shared" si="17"/>
        <v>-2.1311544489669765E-2</v>
      </c>
    </row>
    <row r="1120" spans="1:7">
      <c r="A1120" s="5">
        <v>247.57380000000001</v>
      </c>
      <c r="B1120" s="5">
        <v>248.13120000000001</v>
      </c>
      <c r="C1120" s="5">
        <v>246.04560000000001</v>
      </c>
      <c r="D1120" s="5">
        <v>247.29509999999999</v>
      </c>
      <c r="E1120" s="5">
        <v>1204772</v>
      </c>
      <c r="F1120" s="5" t="s">
        <v>167</v>
      </c>
      <c r="G1120" s="9">
        <f t="shared" si="17"/>
        <v>1.1269936201729891E-3</v>
      </c>
    </row>
    <row r="1121" spans="1:7">
      <c r="A1121" s="5">
        <v>247.0548</v>
      </c>
      <c r="B1121" s="5">
        <v>250.63980000000001</v>
      </c>
      <c r="C1121" s="5">
        <v>245.80529999999999</v>
      </c>
      <c r="D1121" s="5">
        <v>249.7363</v>
      </c>
      <c r="E1121" s="5">
        <v>1607214</v>
      </c>
      <c r="F1121" s="5" t="s">
        <v>166</v>
      </c>
      <c r="G1121" s="9">
        <f t="shared" si="17"/>
        <v>-1.0737325731181246E-2</v>
      </c>
    </row>
    <row r="1122" spans="1:7">
      <c r="A1122" s="5">
        <v>251.19720000000001</v>
      </c>
      <c r="B1122" s="5">
        <v>252.7158</v>
      </c>
      <c r="C1122" s="5">
        <v>249.7363</v>
      </c>
      <c r="D1122" s="5">
        <v>252.6677</v>
      </c>
      <c r="E1122" s="5">
        <v>859735</v>
      </c>
      <c r="F1122" s="5" t="s">
        <v>165</v>
      </c>
      <c r="G1122" s="9">
        <f t="shared" si="17"/>
        <v>-5.8198970426374119E-3</v>
      </c>
    </row>
    <row r="1123" spans="1:7">
      <c r="A1123" s="5">
        <v>251.42789999999999</v>
      </c>
      <c r="B1123" s="5">
        <v>254.79169999999999</v>
      </c>
      <c r="C1123" s="5">
        <v>251.02420000000001</v>
      </c>
      <c r="D1123" s="5">
        <v>254.69569999999999</v>
      </c>
      <c r="E1123" s="5">
        <v>948935</v>
      </c>
      <c r="F1123" s="5" t="s">
        <v>164</v>
      </c>
      <c r="G1123" s="9">
        <f t="shared" si="17"/>
        <v>-1.2830212681250619E-2</v>
      </c>
    </row>
    <row r="1124" spans="1:7">
      <c r="A1124" s="5">
        <v>254.61879999999999</v>
      </c>
      <c r="B1124" s="5">
        <v>255.23390000000001</v>
      </c>
      <c r="C1124" s="5">
        <v>252.1583</v>
      </c>
      <c r="D1124" s="5">
        <v>252.6773</v>
      </c>
      <c r="E1124" s="5">
        <v>863245</v>
      </c>
      <c r="F1124" s="5" t="s">
        <v>163</v>
      </c>
      <c r="G1124" s="9">
        <f t="shared" si="17"/>
        <v>7.683713574587081E-3</v>
      </c>
    </row>
    <row r="1125" spans="1:7">
      <c r="A1125" s="5">
        <v>254.14779999999999</v>
      </c>
      <c r="B1125" s="5">
        <v>254.95519999999999</v>
      </c>
      <c r="C1125" s="5">
        <v>253.3597</v>
      </c>
      <c r="D1125" s="5">
        <v>254.70529999999999</v>
      </c>
      <c r="E1125" s="5">
        <v>1167588</v>
      </c>
      <c r="F1125" s="5" t="s">
        <v>162</v>
      </c>
      <c r="G1125" s="9">
        <f t="shared" si="17"/>
        <v>-2.1888040806374853E-3</v>
      </c>
    </row>
    <row r="1126" spans="1:7">
      <c r="A1126" s="5">
        <v>253.67689999999999</v>
      </c>
      <c r="B1126" s="5">
        <v>253.84030000000001</v>
      </c>
      <c r="C1126" s="5">
        <v>250.1592</v>
      </c>
      <c r="D1126" s="5">
        <v>252.09100000000001</v>
      </c>
      <c r="E1126" s="5">
        <v>727880</v>
      </c>
      <c r="F1126" s="5" t="s">
        <v>161</v>
      </c>
      <c r="G1126" s="9">
        <f t="shared" si="17"/>
        <v>6.2909822246728364E-3</v>
      </c>
    </row>
    <row r="1127" spans="1:7">
      <c r="A1127" s="5">
        <v>255.0224</v>
      </c>
      <c r="B1127" s="5">
        <v>255.6087</v>
      </c>
      <c r="C1127" s="5">
        <v>253.38849999999999</v>
      </c>
      <c r="D1127" s="5">
        <v>255.10890000000001</v>
      </c>
      <c r="E1127" s="5">
        <v>767467</v>
      </c>
      <c r="F1127" s="5" t="s">
        <v>160</v>
      </c>
      <c r="G1127" s="9">
        <f t="shared" ref="G1127:G1192" si="18">A1127/D1127-1</f>
        <v>-3.3907088306206479E-4</v>
      </c>
    </row>
    <row r="1128" spans="1:7">
      <c r="A1128" s="5">
        <v>254.56110000000001</v>
      </c>
      <c r="B1128" s="5">
        <v>255.5703</v>
      </c>
      <c r="C1128" s="5">
        <v>251.9853</v>
      </c>
      <c r="D1128" s="5">
        <v>255.08009999999999</v>
      </c>
      <c r="E1128" s="5">
        <v>1219207</v>
      </c>
      <c r="F1128" s="5" t="s">
        <v>159</v>
      </c>
      <c r="G1128" s="9">
        <f t="shared" si="18"/>
        <v>-2.0346549966068217E-3</v>
      </c>
    </row>
    <row r="1129" spans="1:7">
      <c r="A1129" s="5">
        <v>255.0993</v>
      </c>
      <c r="B1129" s="5">
        <v>255.42609999999999</v>
      </c>
      <c r="C1129" s="5">
        <v>252.47550000000001</v>
      </c>
      <c r="D1129" s="5">
        <v>252.6773</v>
      </c>
      <c r="E1129" s="5">
        <v>973619</v>
      </c>
      <c r="F1129" s="5" t="s">
        <v>158</v>
      </c>
      <c r="G1129" s="9">
        <f t="shared" si="18"/>
        <v>9.5853485849342057E-3</v>
      </c>
    </row>
    <row r="1130" spans="1:7">
      <c r="A1130" s="5">
        <v>252.48509999999999</v>
      </c>
      <c r="B1130" s="5">
        <v>252.51390000000001</v>
      </c>
      <c r="C1130" s="5">
        <v>248.94820000000001</v>
      </c>
      <c r="D1130" s="5">
        <v>250.38030000000001</v>
      </c>
      <c r="E1130" s="5">
        <v>1264789</v>
      </c>
      <c r="F1130" s="5" t="s">
        <v>157</v>
      </c>
      <c r="G1130" s="9">
        <f t="shared" si="18"/>
        <v>8.4064121658133928E-3</v>
      </c>
    </row>
    <row r="1131" spans="1:7">
      <c r="A1131" s="5">
        <v>249.63059999999999</v>
      </c>
      <c r="B1131" s="5">
        <v>250.6259</v>
      </c>
      <c r="C1131" s="5">
        <v>248.4436</v>
      </c>
      <c r="D1131" s="5">
        <v>249.84200000000001</v>
      </c>
      <c r="E1131" s="5">
        <v>748291</v>
      </c>
      <c r="F1131" s="5" t="s">
        <v>156</v>
      </c>
      <c r="G1131" s="9">
        <f t="shared" si="18"/>
        <v>-8.4613475716666109E-4</v>
      </c>
    </row>
    <row r="1132" spans="1:7">
      <c r="A1132" s="5">
        <v>250.31299999999999</v>
      </c>
      <c r="B1132" s="5">
        <v>252.2833</v>
      </c>
      <c r="C1132" s="5">
        <v>249.84200000000001</v>
      </c>
      <c r="D1132" s="5">
        <v>250.77430000000001</v>
      </c>
      <c r="E1132" s="5">
        <v>721258</v>
      </c>
      <c r="F1132" s="5" t="s">
        <v>155</v>
      </c>
      <c r="G1132" s="9">
        <f t="shared" si="18"/>
        <v>-1.8395026922616298E-3</v>
      </c>
    </row>
    <row r="1133" spans="1:7">
      <c r="A1133" s="5">
        <v>249.63059999999999</v>
      </c>
      <c r="B1133" s="5">
        <v>253.3603</v>
      </c>
      <c r="C1133" s="5">
        <v>248.50880000000001</v>
      </c>
      <c r="D1133" s="5">
        <v>253.3603</v>
      </c>
      <c r="E1133" s="5">
        <v>918766</v>
      </c>
      <c r="F1133" s="5" t="s">
        <v>154</v>
      </c>
      <c r="G1133" s="9">
        <f t="shared" si="18"/>
        <v>-1.4720932995421987E-2</v>
      </c>
    </row>
    <row r="1134" spans="1:7">
      <c r="A1134" s="5">
        <v>252.1618</v>
      </c>
      <c r="B1134" s="5">
        <v>253.54239999999999</v>
      </c>
      <c r="C1134" s="5">
        <v>250.79069999999999</v>
      </c>
      <c r="D1134" s="5">
        <v>250.79069999999999</v>
      </c>
      <c r="E1134" s="5">
        <v>2544302</v>
      </c>
      <c r="F1134" s="5" t="s">
        <v>153</v>
      </c>
      <c r="G1134" s="9">
        <f t="shared" si="18"/>
        <v>5.4671086288287096E-3</v>
      </c>
    </row>
    <row r="1135" spans="1:7">
      <c r="A1135" s="5">
        <v>250.6181</v>
      </c>
      <c r="B1135" s="5">
        <v>253.43700000000001</v>
      </c>
      <c r="C1135" s="5">
        <v>250.5127</v>
      </c>
      <c r="D1135" s="5">
        <v>253.05350000000001</v>
      </c>
      <c r="E1135" s="5">
        <v>568998</v>
      </c>
      <c r="F1135" s="5" t="s">
        <v>152</v>
      </c>
      <c r="G1135" s="9">
        <f t="shared" si="18"/>
        <v>-9.6240518309369527E-3</v>
      </c>
    </row>
    <row r="1136" spans="1:7">
      <c r="A1136" s="5">
        <v>251.81659999999999</v>
      </c>
      <c r="B1136" s="5">
        <v>253.4753</v>
      </c>
      <c r="C1136" s="5">
        <v>250.7236</v>
      </c>
      <c r="D1136" s="5">
        <v>251.61529999999999</v>
      </c>
      <c r="E1136" s="5">
        <v>1116128</v>
      </c>
      <c r="F1136" s="5" t="s">
        <v>151</v>
      </c>
      <c r="G1136" s="9">
        <f t="shared" si="18"/>
        <v>8.0003084073188013E-4</v>
      </c>
    </row>
    <row r="1137" spans="1:7">
      <c r="A1137" s="5">
        <v>251.91249999999999</v>
      </c>
      <c r="B1137" s="5">
        <v>252.8809</v>
      </c>
      <c r="C1137" s="5">
        <v>248.50399999999999</v>
      </c>
      <c r="D1137" s="5">
        <v>249.28540000000001</v>
      </c>
      <c r="E1137" s="5">
        <v>1318937</v>
      </c>
      <c r="F1137" s="5" t="s">
        <v>150</v>
      </c>
      <c r="G1137" s="9">
        <f t="shared" si="18"/>
        <v>1.053852331504368E-2</v>
      </c>
    </row>
    <row r="1138" spans="1:7">
      <c r="A1138" s="5">
        <v>249.0265</v>
      </c>
      <c r="B1138" s="5">
        <v>249.5635</v>
      </c>
      <c r="C1138" s="5">
        <v>244.19900000000001</v>
      </c>
      <c r="D1138" s="5">
        <v>245.364</v>
      </c>
      <c r="E1138" s="5">
        <v>780051</v>
      </c>
      <c r="F1138" s="5" t="s">
        <v>149</v>
      </c>
      <c r="G1138" s="9">
        <f t="shared" si="18"/>
        <v>1.4926802627932334E-2</v>
      </c>
    </row>
    <row r="1139" spans="1:7">
      <c r="A1139" s="5">
        <v>244.40520000000001</v>
      </c>
      <c r="B1139" s="5">
        <v>248.04859999999999</v>
      </c>
      <c r="C1139" s="5">
        <v>244.16550000000001</v>
      </c>
      <c r="D1139" s="5">
        <v>247.37739999999999</v>
      </c>
      <c r="E1139" s="5">
        <v>1375505</v>
      </c>
      <c r="F1139" s="5" t="s">
        <v>148</v>
      </c>
      <c r="G1139" s="9">
        <f t="shared" si="18"/>
        <v>-1.2014840482598599E-2</v>
      </c>
    </row>
    <row r="1140" spans="1:7">
      <c r="A1140" s="5">
        <v>248.85400000000001</v>
      </c>
      <c r="B1140" s="5">
        <v>249.51070000000001</v>
      </c>
      <c r="C1140" s="5">
        <v>245.69</v>
      </c>
      <c r="D1140" s="5">
        <v>245.69</v>
      </c>
      <c r="E1140" s="5">
        <v>1173380</v>
      </c>
      <c r="F1140" s="5" t="s">
        <v>147</v>
      </c>
      <c r="G1140" s="9">
        <f t="shared" si="18"/>
        <v>1.2878017013309595E-2</v>
      </c>
    </row>
    <row r="1141" spans="1:7">
      <c r="A1141" s="5">
        <v>245.8338</v>
      </c>
      <c r="B1141" s="5">
        <v>247.74180000000001</v>
      </c>
      <c r="C1141" s="5">
        <v>244.95169999999999</v>
      </c>
      <c r="D1141" s="5">
        <v>246.79259999999999</v>
      </c>
      <c r="E1141" s="5">
        <v>1247037</v>
      </c>
      <c r="F1141" s="5" t="s">
        <v>146</v>
      </c>
      <c r="G1141" s="9">
        <f t="shared" si="18"/>
        <v>-3.8850435547905793E-3</v>
      </c>
    </row>
    <row r="1142" spans="1:7">
      <c r="A1142" s="5">
        <v>246.10220000000001</v>
      </c>
      <c r="B1142" s="5">
        <v>246.88839999999999</v>
      </c>
      <c r="C1142" s="5">
        <v>244.7216</v>
      </c>
      <c r="D1142" s="5">
        <v>245.87209999999999</v>
      </c>
      <c r="E1142" s="5">
        <v>745933</v>
      </c>
      <c r="F1142" s="5" t="s">
        <v>145</v>
      </c>
      <c r="G1142" s="9">
        <f t="shared" si="18"/>
        <v>9.3585242083182862E-4</v>
      </c>
    </row>
    <row r="1143" spans="1:7">
      <c r="A1143" s="5">
        <v>245.15299999999999</v>
      </c>
      <c r="B1143" s="5">
        <v>245.4598</v>
      </c>
      <c r="C1143" s="5">
        <v>243.69569999999999</v>
      </c>
      <c r="D1143" s="5">
        <v>245.4598</v>
      </c>
      <c r="E1143" s="5">
        <v>752437</v>
      </c>
      <c r="F1143" s="5" t="s">
        <v>144</v>
      </c>
      <c r="G1143" s="9">
        <f t="shared" si="18"/>
        <v>-1.2498991688252303E-3</v>
      </c>
    </row>
    <row r="1144" spans="1:7">
      <c r="A1144" s="5">
        <v>245.24889999999999</v>
      </c>
      <c r="B1144" s="5">
        <v>246.5145</v>
      </c>
      <c r="C1144" s="5">
        <v>243.59020000000001</v>
      </c>
      <c r="D1144" s="5">
        <v>246.5145</v>
      </c>
      <c r="E1144" s="5">
        <v>724638</v>
      </c>
      <c r="F1144" s="5" t="s">
        <v>143</v>
      </c>
      <c r="G1144" s="9">
        <f t="shared" si="18"/>
        <v>-5.1339779201629021E-3</v>
      </c>
    </row>
    <row r="1145" spans="1:7">
      <c r="A1145" s="5">
        <v>246.0831</v>
      </c>
      <c r="B1145" s="5">
        <v>246.26519999999999</v>
      </c>
      <c r="C1145" s="5">
        <v>243.19710000000001</v>
      </c>
      <c r="D1145" s="5">
        <v>243.21629999999999</v>
      </c>
      <c r="E1145" s="5">
        <v>924135</v>
      </c>
      <c r="F1145" s="5" t="s">
        <v>142</v>
      </c>
      <c r="G1145" s="9">
        <f t="shared" si="18"/>
        <v>1.1787038944347072E-2</v>
      </c>
    </row>
    <row r="1146" spans="1:7">
      <c r="A1146" s="5">
        <v>242.6985</v>
      </c>
      <c r="B1146" s="5">
        <v>242.8903</v>
      </c>
      <c r="C1146" s="5">
        <v>240.77619999999999</v>
      </c>
      <c r="D1146" s="5">
        <v>241.19319999999999</v>
      </c>
      <c r="E1146" s="5">
        <v>924992</v>
      </c>
      <c r="F1146" s="5" t="s">
        <v>141</v>
      </c>
      <c r="G1146" s="9">
        <f t="shared" si="18"/>
        <v>6.2410548887779083E-3</v>
      </c>
    </row>
    <row r="1147" spans="1:7">
      <c r="A1147" s="5">
        <v>239.44820000000001</v>
      </c>
      <c r="B1147" s="5">
        <v>241.22200000000001</v>
      </c>
      <c r="C1147" s="5">
        <v>235.87190000000001</v>
      </c>
      <c r="D1147" s="5">
        <v>241.22200000000001</v>
      </c>
      <c r="E1147" s="5">
        <v>975509</v>
      </c>
      <c r="F1147" s="5" t="s">
        <v>140</v>
      </c>
      <c r="G1147" s="9">
        <f t="shared" si="18"/>
        <v>-7.3533923108174415E-3</v>
      </c>
    </row>
    <row r="1148" spans="1:7">
      <c r="A1148" s="5">
        <v>239.25649999999999</v>
      </c>
      <c r="B1148" s="5">
        <v>242.97659999999999</v>
      </c>
      <c r="C1148" s="5">
        <v>238.499</v>
      </c>
      <c r="D1148" s="5">
        <v>242.363</v>
      </c>
      <c r="E1148" s="5">
        <v>1178617</v>
      </c>
      <c r="F1148" s="5" t="s">
        <v>139</v>
      </c>
      <c r="G1148" s="9">
        <f t="shared" si="18"/>
        <v>-1.2817550533703592E-2</v>
      </c>
    </row>
    <row r="1149" spans="1:7">
      <c r="A1149" s="5">
        <v>241.4521</v>
      </c>
      <c r="B1149" s="5">
        <v>242.7081</v>
      </c>
      <c r="C1149" s="5">
        <v>240.01390000000001</v>
      </c>
      <c r="D1149" s="5">
        <v>240.66589999999999</v>
      </c>
      <c r="E1149" s="5">
        <v>688087</v>
      </c>
      <c r="F1149" s="5" t="s">
        <v>138</v>
      </c>
      <c r="G1149" s="9">
        <f t="shared" si="18"/>
        <v>3.2667694093762023E-3</v>
      </c>
    </row>
    <row r="1150" spans="1:7">
      <c r="A1150" s="5">
        <v>239.40989999999999</v>
      </c>
      <c r="B1150" s="5">
        <v>240.1961</v>
      </c>
      <c r="C1150" s="5">
        <v>236.07329999999999</v>
      </c>
      <c r="D1150" s="5">
        <v>238.7963</v>
      </c>
      <c r="E1150" s="5">
        <v>1107206</v>
      </c>
      <c r="F1150" s="5" t="s">
        <v>137</v>
      </c>
      <c r="G1150" s="9">
        <f t="shared" si="18"/>
        <v>2.5695540508792192E-3</v>
      </c>
    </row>
    <row r="1151" spans="1:7">
      <c r="A1151" s="5">
        <v>240.3878</v>
      </c>
      <c r="B1151" s="5">
        <v>245.61330000000001</v>
      </c>
      <c r="C1151" s="5">
        <v>239.77420000000001</v>
      </c>
      <c r="D1151" s="5">
        <v>244.94210000000001</v>
      </c>
      <c r="E1151" s="5">
        <v>1147122</v>
      </c>
      <c r="F1151" s="5" t="s">
        <v>136</v>
      </c>
      <c r="G1151" s="9">
        <f t="shared" si="18"/>
        <v>-1.8593373699335558E-2</v>
      </c>
    </row>
    <row r="1152" spans="1:7">
      <c r="A1152" s="5">
        <v>245.24889999999999</v>
      </c>
      <c r="B1152" s="5">
        <v>249.28540000000001</v>
      </c>
      <c r="C1152" s="5">
        <v>244.71199999999999</v>
      </c>
      <c r="D1152" s="5">
        <v>249.28540000000001</v>
      </c>
      <c r="E1152" s="5">
        <v>1460673</v>
      </c>
      <c r="F1152" s="5" t="s">
        <v>135</v>
      </c>
      <c r="G1152" s="9">
        <f t="shared" si="18"/>
        <v>-1.6192284024656112E-2</v>
      </c>
    </row>
    <row r="1153" spans="1:7">
      <c r="A1153" s="5">
        <v>244.75030000000001</v>
      </c>
      <c r="B1153" s="5">
        <v>248.76769999999999</v>
      </c>
      <c r="C1153" s="5">
        <v>244.5778</v>
      </c>
      <c r="D1153" s="5">
        <v>245.66120000000001</v>
      </c>
      <c r="E1153" s="5">
        <v>938784</v>
      </c>
      <c r="F1153" s="5" t="s">
        <v>134</v>
      </c>
      <c r="G1153" s="9">
        <f t="shared" si="18"/>
        <v>-3.7079522529401832E-3</v>
      </c>
    </row>
    <row r="1154" spans="1:7">
      <c r="A1154" s="5">
        <v>244.02170000000001</v>
      </c>
      <c r="B1154" s="5">
        <v>244.61609999999999</v>
      </c>
      <c r="C1154" s="5">
        <v>241.61510000000001</v>
      </c>
      <c r="D1154" s="5">
        <v>243.9545</v>
      </c>
      <c r="E1154" s="5">
        <v>2742427</v>
      </c>
      <c r="F1154" s="5" t="s">
        <v>133</v>
      </c>
      <c r="G1154" s="9">
        <f t="shared" si="18"/>
        <v>2.7546120280641517E-4</v>
      </c>
    </row>
    <row r="1155" spans="1:7">
      <c r="A1155" s="5">
        <v>242.0274</v>
      </c>
      <c r="B1155" s="5">
        <v>244.85579999999999</v>
      </c>
      <c r="C1155" s="5">
        <v>238.85380000000001</v>
      </c>
      <c r="D1155" s="5">
        <v>243.64769999999999</v>
      </c>
      <c r="E1155" s="5">
        <v>1373600</v>
      </c>
      <c r="F1155" s="5" t="s">
        <v>132</v>
      </c>
      <c r="G1155" s="9">
        <f t="shared" si="18"/>
        <v>-6.6501756429466763E-3</v>
      </c>
    </row>
    <row r="1156" spans="1:7">
      <c r="A1156" s="5">
        <v>246.20769999999999</v>
      </c>
      <c r="B1156" s="5">
        <v>248.17320000000001</v>
      </c>
      <c r="C1156" s="5">
        <v>245.03800000000001</v>
      </c>
      <c r="D1156" s="5">
        <v>246.35149999999999</v>
      </c>
      <c r="E1156" s="5">
        <v>832828</v>
      </c>
      <c r="F1156" s="5" t="s">
        <v>131</v>
      </c>
      <c r="G1156" s="9">
        <f t="shared" si="18"/>
        <v>-5.8371879205121324E-4</v>
      </c>
    </row>
    <row r="1157" spans="1:7">
      <c r="A1157" s="5">
        <v>246.55289999999999</v>
      </c>
      <c r="B1157" s="5">
        <v>247.90479999999999</v>
      </c>
      <c r="C1157" s="5">
        <v>245.53649999999999</v>
      </c>
      <c r="D1157" s="5">
        <v>246.54329999999999</v>
      </c>
      <c r="E1157" s="5">
        <v>774275</v>
      </c>
      <c r="F1157" s="5" t="s">
        <v>130</v>
      </c>
      <c r="G1157" s="9">
        <f t="shared" si="18"/>
        <v>3.8938393377652147E-5</v>
      </c>
    </row>
    <row r="1158" spans="1:7">
      <c r="A1158" s="5">
        <v>245.1147</v>
      </c>
      <c r="B1158" s="5">
        <v>248.42250000000001</v>
      </c>
      <c r="C1158" s="5">
        <v>244.88460000000001</v>
      </c>
      <c r="D1158" s="5">
        <v>245.0284</v>
      </c>
      <c r="E1158" s="5">
        <v>1150094</v>
      </c>
      <c r="F1158" s="5" t="s">
        <v>129</v>
      </c>
      <c r="G1158" s="9">
        <f t="shared" si="18"/>
        <v>3.5220407103819795E-4</v>
      </c>
    </row>
    <row r="1159" spans="1:7">
      <c r="A1159" s="5">
        <v>243.8683</v>
      </c>
      <c r="B1159" s="5">
        <v>246.00640000000001</v>
      </c>
      <c r="C1159" s="5">
        <v>241.12610000000001</v>
      </c>
      <c r="D1159" s="5">
        <v>241.72059999999999</v>
      </c>
      <c r="E1159" s="5">
        <v>882940</v>
      </c>
      <c r="F1159" s="5" t="s">
        <v>128</v>
      </c>
      <c r="G1159" s="9">
        <f t="shared" si="18"/>
        <v>8.8850515843499345E-3</v>
      </c>
    </row>
    <row r="1160" spans="1:7">
      <c r="A1160" s="5">
        <v>241.85480000000001</v>
      </c>
      <c r="B1160" s="5">
        <v>241.9794</v>
      </c>
      <c r="C1160" s="5">
        <v>238.39670000000001</v>
      </c>
      <c r="D1160" s="5">
        <v>239.42910000000001</v>
      </c>
      <c r="E1160" s="5">
        <v>970920</v>
      </c>
      <c r="F1160" s="5" t="s">
        <v>127</v>
      </c>
      <c r="G1160" s="9">
        <f t="shared" si="18"/>
        <v>1.0131182884620227E-2</v>
      </c>
    </row>
    <row r="1161" spans="1:7">
      <c r="A1161" s="5">
        <v>242.4205</v>
      </c>
      <c r="B1161" s="5">
        <v>244.94210000000001</v>
      </c>
      <c r="C1161" s="5">
        <v>240.65629999999999</v>
      </c>
      <c r="D1161" s="5">
        <v>240.65629999999999</v>
      </c>
      <c r="E1161" s="5">
        <v>1087365</v>
      </c>
      <c r="F1161" s="5" t="s">
        <v>126</v>
      </c>
      <c r="G1161" s="9">
        <f t="shared" si="18"/>
        <v>7.3307866862410975E-3</v>
      </c>
    </row>
    <row r="1162" spans="1:7">
      <c r="A1162" s="5">
        <v>241.47130000000001</v>
      </c>
      <c r="B1162" s="5">
        <v>242.40610000000001</v>
      </c>
      <c r="C1162" s="5">
        <v>240.44540000000001</v>
      </c>
      <c r="D1162" s="5">
        <v>241.48089999999999</v>
      </c>
      <c r="E1162" s="5">
        <v>783397</v>
      </c>
      <c r="F1162" s="5" t="s">
        <v>125</v>
      </c>
      <c r="G1162" s="9">
        <f t="shared" si="18"/>
        <v>-3.9754696955274227E-5</v>
      </c>
    </row>
    <row r="1163" spans="1:7">
      <c r="A1163" s="5">
        <v>242.52590000000001</v>
      </c>
      <c r="B1163" s="5">
        <v>243.05330000000001</v>
      </c>
      <c r="C1163" s="5">
        <v>238.00049999999999</v>
      </c>
      <c r="D1163" s="5">
        <v>238.63329999999999</v>
      </c>
      <c r="E1163" s="5">
        <v>1212112</v>
      </c>
      <c r="F1163" s="5" t="s">
        <v>124</v>
      </c>
      <c r="G1163" s="9">
        <f t="shared" si="18"/>
        <v>1.631205703478944E-2</v>
      </c>
    </row>
    <row r="1164" spans="1:7">
      <c r="A1164" s="5">
        <v>237.6361</v>
      </c>
      <c r="B1164" s="5">
        <v>238.37440000000001</v>
      </c>
      <c r="C1164" s="5">
        <v>234.85079999999999</v>
      </c>
      <c r="D1164" s="5">
        <v>235.44049999999999</v>
      </c>
      <c r="E1164" s="5">
        <v>691773</v>
      </c>
      <c r="F1164" s="5" t="s">
        <v>123</v>
      </c>
      <c r="G1164" s="9">
        <f t="shared" si="18"/>
        <v>9.3254983743238373E-3</v>
      </c>
    </row>
    <row r="1165" spans="1:7">
      <c r="A1165" s="5">
        <v>234.67349999999999</v>
      </c>
      <c r="B1165" s="5">
        <v>241.12610000000001</v>
      </c>
      <c r="C1165" s="5">
        <v>234.0694</v>
      </c>
      <c r="D1165" s="5">
        <v>238.83459999999999</v>
      </c>
      <c r="E1165" s="5">
        <v>1690603</v>
      </c>
      <c r="F1165" s="5" t="s">
        <v>122</v>
      </c>
      <c r="G1165" s="9">
        <f t="shared" si="18"/>
        <v>-1.7422517507932334E-2</v>
      </c>
    </row>
    <row r="1166" spans="1:7">
      <c r="A1166" s="5">
        <v>241.13570000000001</v>
      </c>
      <c r="B1166" s="5">
        <v>244.9325</v>
      </c>
      <c r="C1166" s="5">
        <v>240.10499999999999</v>
      </c>
      <c r="D1166" s="5">
        <v>243.9545</v>
      </c>
      <c r="E1166" s="5">
        <v>824501</v>
      </c>
      <c r="F1166" s="5" t="s">
        <v>121</v>
      </c>
      <c r="G1166" s="9">
        <f t="shared" si="18"/>
        <v>-1.1554613667712599E-2</v>
      </c>
    </row>
    <row r="1167" spans="1:7">
      <c r="A1167" s="5">
        <v>245.43109999999999</v>
      </c>
      <c r="B1167" s="5">
        <v>248.1636</v>
      </c>
      <c r="C1167" s="5">
        <v>245.15299999999999</v>
      </c>
      <c r="D1167" s="5">
        <v>245.15299999999999</v>
      </c>
      <c r="E1167" s="5">
        <v>1468232</v>
      </c>
      <c r="F1167" s="5" t="s">
        <v>120</v>
      </c>
      <c r="G1167" s="9">
        <f t="shared" si="18"/>
        <v>1.134393623573926E-3</v>
      </c>
    </row>
    <row r="1168" spans="1:7">
      <c r="A1168" s="5">
        <v>244.28049999999999</v>
      </c>
      <c r="B1168" s="5">
        <v>246.7159</v>
      </c>
      <c r="C1168" s="5">
        <v>243.0341</v>
      </c>
      <c r="D1168" s="5">
        <v>244.08879999999999</v>
      </c>
      <c r="E1168" s="5">
        <v>935826</v>
      </c>
      <c r="F1168" s="5" t="s">
        <v>119</v>
      </c>
      <c r="G1168" s="9">
        <f t="shared" si="18"/>
        <v>7.8536991455568916E-4</v>
      </c>
    </row>
    <row r="1169" spans="1:7">
      <c r="A1169" s="5">
        <v>243.65729999999999</v>
      </c>
      <c r="B1169" s="5">
        <v>243.8203</v>
      </c>
      <c r="C1169" s="5">
        <v>239.87970000000001</v>
      </c>
      <c r="D1169" s="5">
        <v>242.63140000000001</v>
      </c>
      <c r="E1169" s="5">
        <v>1029566</v>
      </c>
      <c r="F1169" s="5" t="s">
        <v>118</v>
      </c>
      <c r="G1169" s="9">
        <f t="shared" si="18"/>
        <v>4.22822437656456E-3</v>
      </c>
    </row>
    <row r="1170" spans="1:7">
      <c r="A1170" s="5">
        <v>242.64099999999999</v>
      </c>
      <c r="B1170" s="5">
        <v>243.571</v>
      </c>
      <c r="C1170" s="5">
        <v>241.32749999999999</v>
      </c>
      <c r="D1170" s="5">
        <v>246.12139999999999</v>
      </c>
      <c r="E1170" s="5">
        <v>1043979</v>
      </c>
      <c r="F1170" s="5" t="s">
        <v>117</v>
      </c>
      <c r="G1170" s="9">
        <f t="shared" si="18"/>
        <v>-1.4140988959107204E-2</v>
      </c>
    </row>
    <row r="1171" spans="1:7">
      <c r="A1171" s="5">
        <v>245.05719999999999</v>
      </c>
      <c r="B1171" s="5">
        <v>250.64689999999999</v>
      </c>
      <c r="C1171" s="5">
        <v>242.804</v>
      </c>
      <c r="D1171" s="5">
        <v>250.64689999999999</v>
      </c>
      <c r="E1171" s="5">
        <v>1563637</v>
      </c>
      <c r="F1171" s="5" t="s">
        <v>116</v>
      </c>
      <c r="G1171" s="9">
        <f t="shared" si="18"/>
        <v>-2.2301093689967799E-2</v>
      </c>
    </row>
    <row r="1172" spans="1:7">
      <c r="A1172" s="5">
        <v>252.2577</v>
      </c>
      <c r="B1172" s="5">
        <v>253.46090000000001</v>
      </c>
      <c r="C1172" s="5">
        <v>251.48099999999999</v>
      </c>
      <c r="D1172" s="5">
        <v>252.66990000000001</v>
      </c>
      <c r="E1172" s="5">
        <v>1033001</v>
      </c>
      <c r="F1172" s="5" t="s">
        <v>115</v>
      </c>
      <c r="G1172" s="9">
        <f t="shared" si="18"/>
        <v>-1.6313775404194208E-3</v>
      </c>
    </row>
    <row r="1173" spans="1:7">
      <c r="A1173" s="5">
        <v>251.80699999999999</v>
      </c>
      <c r="B1173" s="5">
        <v>252.84729999999999</v>
      </c>
      <c r="C1173" s="5">
        <v>249.2662</v>
      </c>
      <c r="D1173" s="5">
        <v>252.1618</v>
      </c>
      <c r="E1173" s="5">
        <v>1071054</v>
      </c>
      <c r="F1173" s="5" t="s">
        <v>114</v>
      </c>
      <c r="G1173" s="9">
        <f t="shared" si="18"/>
        <v>-1.407033103348776E-3</v>
      </c>
    </row>
    <row r="1174" spans="1:7">
      <c r="A1174" s="5">
        <v>252.57409999999999</v>
      </c>
      <c r="B1174" s="5">
        <v>253.0822</v>
      </c>
      <c r="C1174" s="5">
        <v>249.10319999999999</v>
      </c>
      <c r="D1174" s="5">
        <v>249.52510000000001</v>
      </c>
      <c r="E1174" s="5">
        <v>943686</v>
      </c>
      <c r="F1174" s="5" t="s">
        <v>113</v>
      </c>
      <c r="G1174" s="9">
        <f t="shared" si="18"/>
        <v>1.2219211614382663E-2</v>
      </c>
    </row>
    <row r="1175" spans="1:7">
      <c r="A1175" s="5">
        <v>248.8827</v>
      </c>
      <c r="B1175" s="5">
        <v>251.57689999999999</v>
      </c>
      <c r="C1175" s="5">
        <v>247.2432</v>
      </c>
      <c r="D1175" s="5">
        <v>250.24420000000001</v>
      </c>
      <c r="E1175" s="5">
        <v>1536512</v>
      </c>
      <c r="F1175" s="5" t="s">
        <v>112</v>
      </c>
      <c r="G1175" s="9">
        <f t="shared" si="18"/>
        <v>-5.4406855383661856E-3</v>
      </c>
    </row>
    <row r="1176" spans="1:7">
      <c r="A1176" s="5">
        <v>254.10810000000001</v>
      </c>
      <c r="B1176" s="5">
        <v>255.4025</v>
      </c>
      <c r="C1176" s="5">
        <v>251.72069999999999</v>
      </c>
      <c r="D1176" s="5">
        <v>253.8109</v>
      </c>
      <c r="E1176" s="5">
        <v>844706</v>
      </c>
      <c r="F1176" s="5" t="s">
        <v>111</v>
      </c>
      <c r="G1176" s="9">
        <f t="shared" si="18"/>
        <v>1.1709504989738662E-3</v>
      </c>
    </row>
    <row r="1177" spans="1:7">
      <c r="A1177" s="5">
        <v>254.34780000000001</v>
      </c>
      <c r="B1177" s="5">
        <v>256.9366</v>
      </c>
      <c r="C1177" s="5">
        <v>254.15610000000001</v>
      </c>
      <c r="D1177" s="5">
        <v>256.7448</v>
      </c>
      <c r="E1177" s="5">
        <v>1052552</v>
      </c>
      <c r="F1177" s="5" t="s">
        <v>110</v>
      </c>
      <c r="G1177" s="9">
        <f t="shared" si="18"/>
        <v>-9.3361189788458976E-3</v>
      </c>
    </row>
    <row r="1178" spans="1:7">
      <c r="A1178" s="5">
        <v>255.99690000000001</v>
      </c>
      <c r="B1178" s="5">
        <v>256.9941</v>
      </c>
      <c r="C1178" s="5">
        <v>252.6028</v>
      </c>
      <c r="D1178" s="5">
        <v>253.10140000000001</v>
      </c>
      <c r="E1178" s="5">
        <v>1089047</v>
      </c>
      <c r="F1178" s="5" t="s">
        <v>109</v>
      </c>
      <c r="G1178" s="9">
        <f t="shared" si="18"/>
        <v>1.1440078956497235E-2</v>
      </c>
    </row>
    <row r="1179" spans="1:7">
      <c r="A1179" s="5">
        <v>253.28360000000001</v>
      </c>
      <c r="B1179" s="5">
        <v>254.99019999999999</v>
      </c>
      <c r="C1179" s="5">
        <v>251.45230000000001</v>
      </c>
      <c r="D1179" s="5">
        <v>253.226</v>
      </c>
      <c r="E1179" s="5">
        <v>797463</v>
      </c>
      <c r="F1179" s="5" t="s">
        <v>108</v>
      </c>
      <c r="G1179" s="9">
        <f t="shared" si="18"/>
        <v>2.2746479429436306E-4</v>
      </c>
    </row>
    <row r="1180" spans="1:7">
      <c r="A1180" s="5">
        <v>253.01509999999999</v>
      </c>
      <c r="B1180" s="5">
        <v>253.6671</v>
      </c>
      <c r="C1180" s="5">
        <v>248.3415</v>
      </c>
      <c r="D1180" s="5">
        <v>249.0265</v>
      </c>
      <c r="E1180" s="5">
        <v>1191018</v>
      </c>
      <c r="F1180" s="5" t="s">
        <v>107</v>
      </c>
      <c r="G1180" s="9">
        <f t="shared" si="18"/>
        <v>1.60167692996529E-2</v>
      </c>
    </row>
    <row r="1181" spans="1:7">
      <c r="A1181" s="5">
        <v>247.7801</v>
      </c>
      <c r="B1181" s="5">
        <v>248.80600000000001</v>
      </c>
      <c r="C1181" s="5">
        <v>244.7312</v>
      </c>
      <c r="D1181" s="5">
        <v>245.42150000000001</v>
      </c>
      <c r="E1181" s="5">
        <v>949269</v>
      </c>
      <c r="F1181" s="5" t="s">
        <v>106</v>
      </c>
      <c r="G1181" s="9">
        <f t="shared" si="18"/>
        <v>9.6104049563709992E-3</v>
      </c>
    </row>
    <row r="1182" spans="1:7">
      <c r="A1182" s="5">
        <v>246.16929999999999</v>
      </c>
      <c r="B1182" s="5">
        <v>246.92679999999999</v>
      </c>
      <c r="C1182" s="5">
        <v>244.02170000000001</v>
      </c>
      <c r="D1182" s="5">
        <v>246.10220000000001</v>
      </c>
      <c r="E1182" s="5">
        <v>854817</v>
      </c>
      <c r="F1182" s="5" t="s">
        <v>105</v>
      </c>
      <c r="G1182" s="9">
        <f t="shared" si="18"/>
        <v>2.7265095557860164E-4</v>
      </c>
    </row>
    <row r="1183" spans="1:7">
      <c r="A1183" s="5">
        <v>246.53370000000001</v>
      </c>
      <c r="B1183" s="5">
        <v>249.28540000000001</v>
      </c>
      <c r="C1183" s="5">
        <v>244.62569999999999</v>
      </c>
      <c r="D1183" s="5">
        <v>247.51169999999999</v>
      </c>
      <c r="E1183" s="5">
        <v>943056</v>
      </c>
      <c r="F1183" s="5" t="s">
        <v>104</v>
      </c>
      <c r="G1183" s="9">
        <f t="shared" si="18"/>
        <v>-3.9513283614470707E-3</v>
      </c>
    </row>
    <row r="1184" spans="1:7">
      <c r="A1184" s="5">
        <v>246.26519999999999</v>
      </c>
      <c r="B1184" s="5">
        <v>246.53370000000001</v>
      </c>
      <c r="C1184" s="5">
        <v>242.2191</v>
      </c>
      <c r="D1184" s="5">
        <v>242.363</v>
      </c>
      <c r="E1184" s="5">
        <v>1179193</v>
      </c>
      <c r="F1184" s="5" t="s">
        <v>103</v>
      </c>
      <c r="G1184" s="9">
        <f t="shared" si="18"/>
        <v>1.6100642424792477E-2</v>
      </c>
    </row>
    <row r="1185" spans="1:7">
      <c r="A1185" s="5">
        <v>241.8931</v>
      </c>
      <c r="B1185" s="5">
        <v>244.99</v>
      </c>
      <c r="C1185" s="5">
        <v>241.42330000000001</v>
      </c>
      <c r="D1185" s="5">
        <v>243.65729999999999</v>
      </c>
      <c r="E1185" s="5">
        <v>758736</v>
      </c>
      <c r="F1185" s="5" t="s">
        <v>102</v>
      </c>
      <c r="G1185" s="9">
        <f t="shared" si="18"/>
        <v>-7.2404972065273077E-3</v>
      </c>
    </row>
    <row r="1186" spans="1:7">
      <c r="A1186" s="5">
        <v>243.12039999999999</v>
      </c>
      <c r="B1186" s="5">
        <v>243.32169999999999</v>
      </c>
      <c r="C1186" s="5">
        <v>240.34960000000001</v>
      </c>
      <c r="D1186" s="5">
        <v>240.65629999999999</v>
      </c>
      <c r="E1186" s="5">
        <v>906966</v>
      </c>
      <c r="F1186" s="5" t="s">
        <v>101</v>
      </c>
      <c r="G1186" s="9">
        <f t="shared" si="18"/>
        <v>1.0239083705683161E-2</v>
      </c>
    </row>
    <row r="1187" spans="1:7">
      <c r="A1187" s="5">
        <v>241.4521</v>
      </c>
      <c r="B1187" s="5">
        <v>243.54239999999999</v>
      </c>
      <c r="C1187" s="5">
        <v>241.1165</v>
      </c>
      <c r="D1187" s="5">
        <v>241.61510000000001</v>
      </c>
      <c r="E1187" s="5">
        <v>1237344</v>
      </c>
      <c r="F1187" s="5" t="s">
        <v>100</v>
      </c>
      <c r="G1187" s="9">
        <f t="shared" si="18"/>
        <v>-6.746267100028458E-4</v>
      </c>
    </row>
    <row r="1188" spans="1:7">
      <c r="A1188" s="5">
        <v>242.88069999999999</v>
      </c>
      <c r="B1188" s="5">
        <v>243.01490000000001</v>
      </c>
      <c r="C1188" s="5">
        <v>240.1386</v>
      </c>
      <c r="D1188" s="5">
        <v>240.55080000000001</v>
      </c>
      <c r="E1188" s="5">
        <v>1069014</v>
      </c>
      <c r="F1188" s="5" t="s">
        <v>99</v>
      </c>
      <c r="G1188" s="9">
        <f t="shared" si="18"/>
        <v>9.6856880126774403E-3</v>
      </c>
    </row>
    <row r="1189" spans="1:7">
      <c r="A1189" s="5">
        <v>239.5729</v>
      </c>
      <c r="B1189" s="5">
        <v>239.86529999999999</v>
      </c>
      <c r="C1189" s="5">
        <v>237.84710000000001</v>
      </c>
      <c r="D1189" s="5">
        <v>238.44149999999999</v>
      </c>
      <c r="E1189" s="5">
        <v>1211516</v>
      </c>
      <c r="F1189" s="5" t="s">
        <v>98</v>
      </c>
      <c r="G1189" s="9">
        <f t="shared" si="18"/>
        <v>4.7449793764928749E-3</v>
      </c>
    </row>
    <row r="1190" spans="1:7">
      <c r="A1190" s="5">
        <v>237.24299999999999</v>
      </c>
      <c r="B1190" s="5">
        <v>239.60159999999999</v>
      </c>
      <c r="C1190" s="5">
        <v>236.1788</v>
      </c>
      <c r="D1190" s="5">
        <v>237.95249999999999</v>
      </c>
      <c r="E1190" s="5">
        <v>1241104</v>
      </c>
      <c r="F1190" s="5" t="s">
        <v>97</v>
      </c>
      <c r="G1190" s="9">
        <f t="shared" si="18"/>
        <v>-2.981687521669163E-3</v>
      </c>
    </row>
    <row r="1191" spans="1:7">
      <c r="A1191" s="5">
        <v>238.15389999999999</v>
      </c>
      <c r="B1191" s="5">
        <v>239.59200000000001</v>
      </c>
      <c r="C1191" s="5">
        <v>237.28139999999999</v>
      </c>
      <c r="D1191" s="5">
        <v>237.84710000000001</v>
      </c>
      <c r="E1191" s="5">
        <v>917177</v>
      </c>
      <c r="F1191" s="5" t="s">
        <v>96</v>
      </c>
      <c r="G1191" s="9">
        <f t="shared" si="18"/>
        <v>1.289904312476331E-3</v>
      </c>
    </row>
    <row r="1192" spans="1:7">
      <c r="A1192" s="5">
        <v>238.24019999999999</v>
      </c>
      <c r="B1192" s="5">
        <v>238.7004</v>
      </c>
      <c r="C1192" s="5">
        <v>234.54349999999999</v>
      </c>
      <c r="D1192" s="5">
        <v>234.8365</v>
      </c>
      <c r="E1192" s="5">
        <v>1250535</v>
      </c>
      <c r="F1192" s="5" t="s">
        <v>95</v>
      </c>
      <c r="G1192" s="9">
        <f t="shared" si="18"/>
        <v>1.4493913850700313E-2</v>
      </c>
    </row>
  </sheetData>
  <hyperlinks>
    <hyperlink ref="I110" r:id="rId1" xr:uid="{303B2CBD-C17A-43FE-A6E4-9A4921C41158}"/>
    <hyperlink ref="N2" r:id="rId2" xr:uid="{C8007C1D-BE46-4D6C-AA4C-C69A1A67263A}"/>
  </hyperlink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F2853-FB89-43C0-81CB-8DAD97F2765A}">
  <dimension ref="A1"/>
  <sheetViews>
    <sheetView workbookViewId="0">
      <selection activeCell="K22" sqref="K22"/>
    </sheetView>
  </sheetViews>
  <sheetFormatPr defaultColWidth="9.140625" defaultRowHeight="14.25"/>
  <cols>
    <col min="1" max="1" width="3" style="2" customWidth="1"/>
    <col min="2" max="16384" width="9.140625" style="2"/>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Model</vt:lpstr>
      <vt:lpstr>Notes | Quant Analysis</vt:lpstr>
      <vt:lpstr>Markets | Product Lines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2025-05-21T09:30:33Z</dcterms:modified>
</cp:coreProperties>
</file>