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93EAFB9E-12B1-411C-8B4F-4844FF850C49}" xr6:coauthVersionLast="47" xr6:coauthVersionMax="47" xr10:uidLastSave="{00000000-0000-0000-0000-000000000000}"/>
  <bookViews>
    <workbookView xWindow="28695" yWindow="0" windowWidth="14610" windowHeight="15585" firstSheet="1" activeTab="1"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55" i="2" l="1"/>
  <c r="DO2" i="2"/>
  <c r="DP2" i="2" s="1"/>
  <c r="DG2" i="2"/>
  <c r="DH2" i="2" s="1"/>
  <c r="DI2" i="2" s="1"/>
  <c r="DJ2" i="2" s="1"/>
  <c r="DK2" i="2" s="1"/>
  <c r="DL2" i="2" s="1"/>
  <c r="DM2" i="2" s="1"/>
  <c r="DN2" i="2" s="1"/>
  <c r="BS34" i="2" l="1"/>
  <c r="AR77" i="2"/>
  <c r="AQ77" i="2"/>
  <c r="AP77" i="2"/>
  <c r="AO77" i="2"/>
  <c r="AN77" i="2"/>
  <c r="AM77" i="2"/>
  <c r="AL77" i="2"/>
  <c r="AK77" i="2"/>
  <c r="AJ77" i="2"/>
  <c r="AI77" i="2"/>
  <c r="AH77" i="2"/>
  <c r="AG77" i="2"/>
  <c r="AF77" i="2"/>
  <c r="AE77" i="2"/>
  <c r="AD77" i="2"/>
  <c r="AC77" i="2"/>
  <c r="AB77" i="2"/>
  <c r="AA77" i="2"/>
  <c r="Z77" i="2"/>
  <c r="Y77" i="2"/>
  <c r="X77" i="2"/>
  <c r="W77" i="2"/>
  <c r="V77" i="2"/>
  <c r="U77" i="2"/>
  <c r="T77" i="2"/>
  <c r="BQ77" i="2"/>
  <c r="BP77" i="2"/>
  <c r="BO77" i="2"/>
  <c r="BN77" i="2"/>
  <c r="BM77" i="2"/>
  <c r="BR77" i="2"/>
  <c r="S48" i="2" l="1"/>
  <c r="R48" i="2"/>
  <c r="Q48" i="2"/>
  <c r="P48" i="2"/>
  <c r="O48" i="2"/>
  <c r="N48" i="2"/>
  <c r="M48" i="2"/>
  <c r="L48" i="2"/>
  <c r="K48" i="2"/>
  <c r="J48" i="2"/>
  <c r="I48" i="2"/>
  <c r="H48" i="2"/>
  <c r="G48" i="2"/>
  <c r="F48" i="2"/>
  <c r="E48" i="2"/>
  <c r="D48" i="2"/>
  <c r="C48" i="2"/>
  <c r="Q47" i="2"/>
  <c r="P47" i="2"/>
  <c r="O47" i="2"/>
  <c r="K47" i="2"/>
  <c r="I47" i="2"/>
  <c r="H47" i="2"/>
  <c r="G47" i="2"/>
  <c r="F47" i="2"/>
  <c r="C47" i="2"/>
  <c r="S46" i="2"/>
  <c r="R46" i="2"/>
  <c r="Q46" i="2"/>
  <c r="P46" i="2"/>
  <c r="O46" i="2"/>
  <c r="K46" i="2"/>
  <c r="J46" i="2"/>
  <c r="I46" i="2"/>
  <c r="H46" i="2"/>
  <c r="G46" i="2"/>
  <c r="F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K43" i="2"/>
  <c r="J43" i="2"/>
  <c r="I43" i="2"/>
  <c r="C43" i="2"/>
  <c r="S85" i="2"/>
  <c r="R85" i="2"/>
  <c r="Q85" i="2"/>
  <c r="P85" i="2"/>
  <c r="O85" i="2"/>
  <c r="N85" i="2"/>
  <c r="M85" i="2"/>
  <c r="L85" i="2"/>
  <c r="K85" i="2"/>
  <c r="J85" i="2"/>
  <c r="I85" i="2"/>
  <c r="H85" i="2"/>
  <c r="G85" i="2"/>
  <c r="F85" i="2"/>
  <c r="E85" i="2"/>
  <c r="D85" i="2"/>
  <c r="C85" i="2"/>
  <c r="M35" i="2"/>
  <c r="M47" i="2" s="1"/>
  <c r="T34" i="2"/>
  <c r="U34" i="2"/>
  <c r="V34" i="2"/>
  <c r="W34" i="2"/>
  <c r="X34" i="2"/>
  <c r="Y34" i="2"/>
  <c r="Z34" i="2"/>
  <c r="AB34" i="2"/>
  <c r="AC34" i="2"/>
  <c r="AD34" i="2"/>
  <c r="AE34" i="2"/>
  <c r="AF34" i="2"/>
  <c r="AG34" i="2"/>
  <c r="AH34" i="2"/>
  <c r="N33" i="2"/>
  <c r="N35" i="2" s="1"/>
  <c r="N47" i="2" s="1"/>
  <c r="S28" i="2"/>
  <c r="S33" i="2" s="1"/>
  <c r="S35" i="2" s="1"/>
  <c r="S47" i="2" s="1"/>
  <c r="R28" i="2"/>
  <c r="R33" i="2" s="1"/>
  <c r="R35" i="2" s="1"/>
  <c r="R47" i="2" s="1"/>
  <c r="Q28" i="2"/>
  <c r="Q33" i="2" s="1"/>
  <c r="Q35" i="2" s="1"/>
  <c r="P28" i="2"/>
  <c r="P33" i="2" s="1"/>
  <c r="P35" i="2" s="1"/>
  <c r="O28" i="2"/>
  <c r="O33" i="2" s="1"/>
  <c r="O35" i="2" s="1"/>
  <c r="N28" i="2"/>
  <c r="N43" i="2" s="1"/>
  <c r="M28" i="2"/>
  <c r="M33" i="2" s="1"/>
  <c r="M46" i="2" s="1"/>
  <c r="L28" i="2"/>
  <c r="L33" i="2" s="1"/>
  <c r="L35" i="2" s="1"/>
  <c r="L47" i="2" s="1"/>
  <c r="K28" i="2"/>
  <c r="K33" i="2" s="1"/>
  <c r="K35" i="2" s="1"/>
  <c r="J28" i="2"/>
  <c r="J33" i="2" s="1"/>
  <c r="J35" i="2" s="1"/>
  <c r="J47" i="2" s="1"/>
  <c r="I28" i="2"/>
  <c r="I33" i="2" s="1"/>
  <c r="I35" i="2" s="1"/>
  <c r="H28" i="2"/>
  <c r="H33" i="2" s="1"/>
  <c r="H35" i="2" s="1"/>
  <c r="G28" i="2"/>
  <c r="G33" i="2" s="1"/>
  <c r="G35" i="2" s="1"/>
  <c r="F28" i="2"/>
  <c r="F33" i="2" s="1"/>
  <c r="F35" i="2" s="1"/>
  <c r="E28" i="2"/>
  <c r="E33" i="2" s="1"/>
  <c r="E46" i="2" s="1"/>
  <c r="D28" i="2"/>
  <c r="D33" i="2" s="1"/>
  <c r="D35" i="2" s="1"/>
  <c r="D47" i="2" s="1"/>
  <c r="C28" i="2"/>
  <c r="C33" i="2" s="1"/>
  <c r="C35" i="2" s="1"/>
  <c r="N46" i="2" l="1"/>
  <c r="AA34" i="2"/>
  <c r="AI34" i="2"/>
  <c r="D43" i="2"/>
  <c r="M43" i="2"/>
  <c r="F43" i="2"/>
  <c r="L43" i="2"/>
  <c r="E43" i="2"/>
  <c r="G43" i="2"/>
  <c r="O43" i="2"/>
  <c r="D46" i="2"/>
  <c r="L46" i="2"/>
  <c r="E35" i="2"/>
  <c r="E47" i="2" s="1"/>
  <c r="H43" i="2"/>
  <c r="P43" i="2"/>
  <c r="W38" i="2"/>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C8" i="1" l="1"/>
  <c r="BU62" i="2"/>
  <c r="BU57" i="2"/>
  <c r="AC229" i="1" l="1"/>
  <c r="V229" i="1"/>
  <c r="AR75" i="2" l="1"/>
  <c r="AR84" i="2"/>
  <c r="AR83" i="2"/>
  <c r="AQ32" i="2"/>
  <c r="BR32" i="2" s="1"/>
  <c r="AR86" i="2"/>
  <c r="AR79" i="2"/>
  <c r="AR76" i="2"/>
  <c r="AR74" i="2"/>
  <c r="AR72" i="2"/>
  <c r="AR62" i="2"/>
  <c r="AR22" i="2"/>
  <c r="AR21" i="2"/>
  <c r="AR16" i="2"/>
  <c r="AR18" i="2" s="1"/>
  <c r="AR11" i="2"/>
  <c r="AR10" i="2"/>
  <c r="AR5" i="2"/>
  <c r="AR8" i="2" s="1"/>
  <c r="AP79" i="2"/>
  <c r="AR85" i="2" l="1"/>
  <c r="AR87" i="2" s="1"/>
  <c r="AR26" i="2"/>
  <c r="AR45" i="2" s="1"/>
  <c r="AR19" i="2"/>
  <c r="AR7" i="2"/>
  <c r="AR44" i="2" l="1"/>
  <c r="AR78"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1" i="2" l="1"/>
  <c r="AR48" i="2"/>
  <c r="AR80"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9" i="2" l="1"/>
  <c r="AN79" i="2"/>
  <c r="AL79" i="2"/>
  <c r="AK79" i="2"/>
  <c r="AJ79" i="2"/>
  <c r="AH79" i="2"/>
  <c r="AG79" i="2"/>
  <c r="AF79" i="2"/>
  <c r="AD79" i="2"/>
  <c r="AC79" i="2"/>
  <c r="AB79" i="2"/>
  <c r="Z79" i="2"/>
  <c r="Y79" i="2"/>
  <c r="X79" i="2"/>
  <c r="V79" i="2"/>
  <c r="U79"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8" i="2" s="1"/>
  <c r="X62" i="2"/>
  <c r="X78" i="2" s="1"/>
  <c r="W62" i="2"/>
  <c r="V62" i="2"/>
  <c r="AE72" i="2"/>
  <c r="AD72" i="2"/>
  <c r="AC72" i="2"/>
  <c r="AB72" i="2"/>
  <c r="AE62" i="2"/>
  <c r="AD62" i="2"/>
  <c r="AD78" i="2" s="1"/>
  <c r="AC62" i="2"/>
  <c r="AC78" i="2" s="1"/>
  <c r="AB62" i="2"/>
  <c r="AB78" i="2" s="1"/>
  <c r="W32" i="2"/>
  <c r="W31" i="2"/>
  <c r="W79" i="2"/>
  <c r="AL62" i="2"/>
  <c r="AL78" i="2" s="1"/>
  <c r="BR64" i="2" l="1"/>
  <c r="BR72" i="2" s="1"/>
  <c r="BR50" i="2"/>
  <c r="BR75" i="2" l="1"/>
  <c r="BR74" i="2"/>
  <c r="BR76" i="2"/>
  <c r="BR62" i="2"/>
  <c r="AP10" i="2"/>
  <c r="AP11" i="2"/>
  <c r="AO11" i="2"/>
  <c r="AN11" i="2"/>
  <c r="AO10" i="2"/>
  <c r="AN10" i="2"/>
  <c r="BM38" i="2" l="1"/>
  <c r="BM36" i="2"/>
  <c r="BM32" i="2"/>
  <c r="BM31" i="2"/>
  <c r="BM30" i="2"/>
  <c r="BM29" i="2"/>
  <c r="BM27" i="2"/>
  <c r="BM79" i="2" s="1"/>
  <c r="W14" i="2"/>
  <c r="BM14" i="2" s="1"/>
  <c r="V15" i="2"/>
  <c r="U15" i="2"/>
  <c r="T15" i="2"/>
  <c r="W86" i="2"/>
  <c r="V86" i="2"/>
  <c r="U86" i="2"/>
  <c r="T86" i="2"/>
  <c r="T85" i="2"/>
  <c r="U84" i="2"/>
  <c r="V84" i="2" s="1"/>
  <c r="U83" i="2"/>
  <c r="T72" i="2"/>
  <c r="U72" i="2"/>
  <c r="V72" i="2"/>
  <c r="W72" i="2"/>
  <c r="T62" i="2"/>
  <c r="U62" i="2"/>
  <c r="Z21" i="2"/>
  <c r="Y21" i="2"/>
  <c r="X21" i="2"/>
  <c r="T87" i="2" l="1"/>
  <c r="U85" i="2"/>
  <c r="U87" i="2" s="1"/>
  <c r="W15" i="2"/>
  <c r="W16" i="2" s="1"/>
  <c r="W26" i="2" s="1"/>
  <c r="BM34" i="2"/>
  <c r="X22" i="2"/>
  <c r="BM86" i="2"/>
  <c r="V16" i="2"/>
  <c r="Z22" i="2"/>
  <c r="Y22" i="2"/>
  <c r="U16" i="2"/>
  <c r="U26" i="2" s="1"/>
  <c r="U78" i="2" s="1"/>
  <c r="T16" i="2"/>
  <c r="V83" i="2"/>
  <c r="V85" i="2" s="1"/>
  <c r="V87" i="2" s="1"/>
  <c r="W84" i="2"/>
  <c r="BM84" i="2" s="1"/>
  <c r="AL86" i="2"/>
  <c r="AN85" i="2"/>
  <c r="AJ85" i="2"/>
  <c r="AF85" i="2"/>
  <c r="AB85" i="2"/>
  <c r="X85" i="2"/>
  <c r="AO84" i="2"/>
  <c r="AP84" i="2" s="1"/>
  <c r="AO83" i="2"/>
  <c r="AP83" i="2" s="1"/>
  <c r="AK84" i="2"/>
  <c r="AL84" i="2" s="1"/>
  <c r="AK83" i="2"/>
  <c r="AL83" i="2" s="1"/>
  <c r="AM83" i="2" s="1"/>
  <c r="AG84" i="2"/>
  <c r="AH84" i="2" s="1"/>
  <c r="AI84" i="2" s="1"/>
  <c r="AG83" i="2"/>
  <c r="AC84" i="2"/>
  <c r="AD84" i="2" s="1"/>
  <c r="AC83" i="2"/>
  <c r="Y84" i="2"/>
  <c r="Z84" i="2" s="1"/>
  <c r="Y83" i="2"/>
  <c r="W44" i="2" l="1"/>
  <c r="W78" i="2"/>
  <c r="U18" i="2"/>
  <c r="AG85" i="2"/>
  <c r="AH83" i="2"/>
  <c r="AI83" i="2" s="1"/>
  <c r="AI85" i="2" s="1"/>
  <c r="AK85" i="2"/>
  <c r="U19" i="2"/>
  <c r="AC85" i="2"/>
  <c r="W45" i="2"/>
  <c r="V18" i="2"/>
  <c r="V26" i="2"/>
  <c r="V78" i="2" s="1"/>
  <c r="U44" i="2"/>
  <c r="U28" i="2"/>
  <c r="U45" i="2"/>
  <c r="AA84" i="2"/>
  <c r="W28" i="2"/>
  <c r="W33" i="2" s="1"/>
  <c r="W35" i="2" s="1"/>
  <c r="AO85" i="2"/>
  <c r="AQ84" i="2"/>
  <c r="BR84" i="2" s="1"/>
  <c r="Y85" i="2"/>
  <c r="T18" i="2"/>
  <c r="T26" i="2"/>
  <c r="V19" i="2"/>
  <c r="W18" i="2"/>
  <c r="W19" i="2"/>
  <c r="BM15" i="2"/>
  <c r="T19" i="2"/>
  <c r="BM16" i="2"/>
  <c r="BM18" i="2" s="1"/>
  <c r="W83" i="2"/>
  <c r="W85" i="2" s="1"/>
  <c r="W87" i="2" s="1"/>
  <c r="BM87" i="2" s="1"/>
  <c r="AL85" i="2"/>
  <c r="AM84" i="2"/>
  <c r="BQ84" i="2" s="1"/>
  <c r="AQ83" i="2"/>
  <c r="AP85" i="2"/>
  <c r="Z83" i="2"/>
  <c r="Z85" i="2" s="1"/>
  <c r="AE84" i="2"/>
  <c r="AD83" i="2"/>
  <c r="AD85"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8" i="2" s="1"/>
  <c r="AA27" i="2"/>
  <c r="AA79" i="2" s="1"/>
  <c r="AA29" i="2"/>
  <c r="AA36" i="2"/>
  <c r="AA30" i="2"/>
  <c r="AA32" i="2"/>
  <c r="AA31" i="2"/>
  <c r="AE32" i="2"/>
  <c r="AE31" i="2"/>
  <c r="AE30" i="2"/>
  <c r="AE27" i="2"/>
  <c r="AE79" i="2" s="1"/>
  <c r="AE26" i="2"/>
  <c r="AE78" i="2" s="1"/>
  <c r="AI36" i="2"/>
  <c r="AI32" i="2"/>
  <c r="AI31" i="2"/>
  <c r="AI30" i="2"/>
  <c r="AI29" i="2"/>
  <c r="AI27" i="2"/>
  <c r="AI79" i="2" s="1"/>
  <c r="AI26" i="2"/>
  <c r="AC22" i="2"/>
  <c r="AQ36" i="2"/>
  <c r="AQ34" i="2"/>
  <c r="AQ31" i="2"/>
  <c r="AQ30" i="2"/>
  <c r="AQ29" i="2"/>
  <c r="AQ27" i="2"/>
  <c r="AQ79" i="2" s="1"/>
  <c r="AM36" i="2"/>
  <c r="AM34" i="2"/>
  <c r="AM32" i="2"/>
  <c r="AM31" i="2"/>
  <c r="AM30" i="2"/>
  <c r="AM29" i="2"/>
  <c r="AM27" i="2"/>
  <c r="AM79" i="2" s="1"/>
  <c r="AM26" i="2"/>
  <c r="AP86" i="2"/>
  <c r="AO86" i="2"/>
  <c r="AN86" i="2"/>
  <c r="AM86" i="2"/>
  <c r="BQ86" i="2" s="1"/>
  <c r="AK86" i="2"/>
  <c r="AJ86" i="2"/>
  <c r="AI86" i="2"/>
  <c r="AH86" i="2"/>
  <c r="AG86" i="2"/>
  <c r="AF86" i="2"/>
  <c r="AE86" i="2"/>
  <c r="BO86" i="2" s="1"/>
  <c r="AD86" i="2"/>
  <c r="AC86" i="2"/>
  <c r="AB86" i="2"/>
  <c r="AA86" i="2"/>
  <c r="Z86" i="2"/>
  <c r="Y86" i="2"/>
  <c r="X86" i="2"/>
  <c r="AQ86" i="2"/>
  <c r="BR86"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8" i="2" l="1"/>
  <c r="T28" i="2"/>
  <c r="AJ37" i="2"/>
  <c r="AJ39" i="2" s="1"/>
  <c r="AJ41" i="2" s="1"/>
  <c r="AJ47" i="2"/>
  <c r="W37" i="2"/>
  <c r="W39" i="2" s="1"/>
  <c r="W47" i="2"/>
  <c r="AN37" i="2"/>
  <c r="AN39" i="2" s="1"/>
  <c r="AN41" i="2" s="1"/>
  <c r="AN47" i="2"/>
  <c r="AO37" i="2"/>
  <c r="AO39" i="2" s="1"/>
  <c r="AO81" i="2" s="1"/>
  <c r="AO47" i="2"/>
  <c r="BR36" i="2"/>
  <c r="BQ36" i="2"/>
  <c r="BP83" i="2"/>
  <c r="AH85" i="2"/>
  <c r="AH87" i="2" s="1"/>
  <c r="W46" i="2"/>
  <c r="AI45" i="2"/>
  <c r="W43" i="2"/>
  <c r="AA45" i="2"/>
  <c r="T44" i="2"/>
  <c r="BM26" i="2"/>
  <c r="T45" i="2"/>
  <c r="U33" i="2"/>
  <c r="U43" i="2"/>
  <c r="AA21" i="2"/>
  <c r="AE83" i="2"/>
  <c r="AE85" i="2" s="1"/>
  <c r="AE87" i="2" s="1"/>
  <c r="BM85" i="2"/>
  <c r="AQ85" i="2"/>
  <c r="AQ87" i="2" s="1"/>
  <c r="AA22" i="2"/>
  <c r="V28" i="2"/>
  <c r="V44" i="2"/>
  <c r="V45" i="2"/>
  <c r="AI44" i="2"/>
  <c r="AA44" i="2"/>
  <c r="AM85" i="2"/>
  <c r="BQ85" i="2" s="1"/>
  <c r="BM83" i="2"/>
  <c r="BM19" i="2"/>
  <c r="AA83" i="2"/>
  <c r="AA85" i="2" s="1"/>
  <c r="BN85" i="2" s="1"/>
  <c r="BR83" i="2"/>
  <c r="AE45" i="2"/>
  <c r="AE44" i="2"/>
  <c r="AI87" i="2"/>
  <c r="AD87" i="2"/>
  <c r="BN84" i="2"/>
  <c r="BO84" i="2"/>
  <c r="BP84" i="2"/>
  <c r="BQ83" i="2"/>
  <c r="AM44" i="2"/>
  <c r="AM45" i="2"/>
  <c r="AQ44" i="2"/>
  <c r="AQ45" i="2"/>
  <c r="AJ48" i="2"/>
  <c r="AF87" i="2"/>
  <c r="AC35" i="2"/>
  <c r="AC87" i="2"/>
  <c r="AK87" i="2"/>
  <c r="X87" i="2"/>
  <c r="AN87" i="2"/>
  <c r="AK33" i="2"/>
  <c r="AK35" i="2" s="1"/>
  <c r="AJ46" i="2"/>
  <c r="AA28" i="2"/>
  <c r="AA43" i="2" s="1"/>
  <c r="AN46" i="2"/>
  <c r="X43" i="2"/>
  <c r="AO46" i="2"/>
  <c r="Z33" i="2"/>
  <c r="Z35" i="2" s="1"/>
  <c r="Y87" i="2"/>
  <c r="AG87" i="2"/>
  <c r="AO87" i="2"/>
  <c r="AL87" i="2"/>
  <c r="AC46" i="2"/>
  <c r="AL46" i="2"/>
  <c r="AB43" i="2"/>
  <c r="AF35" i="2"/>
  <c r="AF43" i="2"/>
  <c r="AG43" i="2"/>
  <c r="AH43" i="2"/>
  <c r="AN43" i="2"/>
  <c r="AE28" i="2"/>
  <c r="AE43" i="2" s="1"/>
  <c r="AM28" i="2"/>
  <c r="AM43" i="2" s="1"/>
  <c r="Y43" i="2"/>
  <c r="AG35" i="2"/>
  <c r="AP87" i="2"/>
  <c r="BP86" i="2"/>
  <c r="AJ43" i="2"/>
  <c r="AB87" i="2"/>
  <c r="AJ87" i="2"/>
  <c r="Z87" i="2"/>
  <c r="AC43" i="2"/>
  <c r="AO43" i="2"/>
  <c r="AD33" i="2"/>
  <c r="AB35" i="2"/>
  <c r="AB47" i="2" s="1"/>
  <c r="AL43" i="2"/>
  <c r="BN86" i="2"/>
  <c r="X35" i="2"/>
  <c r="Y35" i="2"/>
  <c r="AI28" i="2"/>
  <c r="AH35" i="2"/>
  <c r="AQ28" i="2"/>
  <c r="AL37" i="2"/>
  <c r="AL39" i="2" s="1"/>
  <c r="AN48" i="2" l="1"/>
  <c r="AJ81" i="2"/>
  <c r="AN81" i="2"/>
  <c r="AO41" i="2"/>
  <c r="AF37" i="2"/>
  <c r="AF39" i="2" s="1"/>
  <c r="AF41" i="2" s="1"/>
  <c r="AF47" i="2"/>
  <c r="AK37" i="2"/>
  <c r="AK39" i="2" s="1"/>
  <c r="AK41" i="2" s="1"/>
  <c r="AK47" i="2"/>
  <c r="AG37" i="2"/>
  <c r="AG39" i="2" s="1"/>
  <c r="AG81" i="2" s="1"/>
  <c r="AG47" i="2"/>
  <c r="AO48" i="2"/>
  <c r="Z37" i="2"/>
  <c r="Z39" i="2" s="1"/>
  <c r="Z81" i="2" s="1"/>
  <c r="Z47" i="2"/>
  <c r="X37" i="2"/>
  <c r="X39" i="2" s="1"/>
  <c r="X81" i="2" s="1"/>
  <c r="X47" i="2"/>
  <c r="Y37" i="2"/>
  <c r="Y39" i="2" s="1"/>
  <c r="Y41" i="2" s="1"/>
  <c r="Y47" i="2"/>
  <c r="AH37" i="2"/>
  <c r="AH39" i="2" s="1"/>
  <c r="AH48" i="2" s="1"/>
  <c r="AH47" i="2"/>
  <c r="AC37" i="2"/>
  <c r="AC39" i="2" s="1"/>
  <c r="AC81" i="2" s="1"/>
  <c r="AC47" i="2"/>
  <c r="BM28" i="2"/>
  <c r="BM33" i="2" s="1"/>
  <c r="BM35" i="2" s="1"/>
  <c r="BM78" i="2"/>
  <c r="AM87" i="2"/>
  <c r="BQ87" i="2" s="1"/>
  <c r="W80" i="2"/>
  <c r="W81" i="2"/>
  <c r="AL80" i="2"/>
  <c r="AL81" i="2"/>
  <c r="BN83" i="2"/>
  <c r="BO83" i="2"/>
  <c r="BR85" i="2"/>
  <c r="V43" i="2"/>
  <c r="U35" i="2"/>
  <c r="U46" i="2"/>
  <c r="T33" i="2"/>
  <c r="T43" i="2"/>
  <c r="BM44" i="2"/>
  <c r="BM45" i="2"/>
  <c r="W48" i="2"/>
  <c r="W41" i="2"/>
  <c r="BP85" i="2"/>
  <c r="BO85" i="2"/>
  <c r="AA87" i="2"/>
  <c r="BN87" i="2" s="1"/>
  <c r="BP87" i="2"/>
  <c r="AL41" i="2"/>
  <c r="AL48" i="2"/>
  <c r="Z41" i="2"/>
  <c r="AK46" i="2"/>
  <c r="AA33" i="2"/>
  <c r="AA35" i="2" s="1"/>
  <c r="BO87" i="2"/>
  <c r="BR87" i="2"/>
  <c r="AD35" i="2"/>
  <c r="AD46" i="2"/>
  <c r="Z46" i="2"/>
  <c r="AB37" i="2"/>
  <c r="AB39" i="2" s="1"/>
  <c r="AE33" i="2"/>
  <c r="AM33" i="2"/>
  <c r="AI33" i="2"/>
  <c r="AI43" i="2"/>
  <c r="AQ33" i="2"/>
  <c r="AQ43" i="2"/>
  <c r="AC48" i="2" l="1"/>
  <c r="AF81" i="2"/>
  <c r="AC41" i="2"/>
  <c r="Z48" i="2"/>
  <c r="Y48" i="2"/>
  <c r="Z80" i="2"/>
  <c r="X41" i="2"/>
  <c r="AF48" i="2"/>
  <c r="AC80" i="2"/>
  <c r="X48" i="2"/>
  <c r="AK81" i="2"/>
  <c r="AK48" i="2"/>
  <c r="AH81" i="2"/>
  <c r="AH41" i="2"/>
  <c r="X80" i="2"/>
  <c r="BM37" i="2"/>
  <c r="BM39" i="2" s="1"/>
  <c r="BM80" i="2" s="1"/>
  <c r="BM47" i="2"/>
  <c r="U37" i="2"/>
  <c r="U39" i="2" s="1"/>
  <c r="U48" i="2" s="1"/>
  <c r="U47" i="2"/>
  <c r="Y81" i="2"/>
  <c r="AD37" i="2"/>
  <c r="AD39" i="2" s="1"/>
  <c r="AD41" i="2" s="1"/>
  <c r="AD47" i="2"/>
  <c r="AA37" i="2"/>
  <c r="AA39" i="2" s="1"/>
  <c r="AA80" i="2" s="1"/>
  <c r="AA47" i="2"/>
  <c r="AG48" i="2"/>
  <c r="AG41" i="2"/>
  <c r="BM43" i="2"/>
  <c r="AB81" i="2"/>
  <c r="AB80"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1" i="2" l="1"/>
  <c r="U81" i="2"/>
  <c r="AQ37" i="2"/>
  <c r="AQ39" i="2" s="1"/>
  <c r="AQ48" i="2" s="1"/>
  <c r="AQ47" i="2"/>
  <c r="AA48" i="2"/>
  <c r="AA81" i="2"/>
  <c r="V37" i="2"/>
  <c r="V39" i="2" s="1"/>
  <c r="V80" i="2" s="1"/>
  <c r="V47" i="2"/>
  <c r="U80" i="2"/>
  <c r="AA41" i="2"/>
  <c r="AE37" i="2"/>
  <c r="AE39" i="2" s="1"/>
  <c r="AE47" i="2"/>
  <c r="AD48" i="2"/>
  <c r="AD81" i="2"/>
  <c r="AD80" i="2"/>
  <c r="AM37" i="2"/>
  <c r="AM39" i="2" s="1"/>
  <c r="AM81" i="2" s="1"/>
  <c r="AM47" i="2"/>
  <c r="U41" i="2"/>
  <c r="AI37" i="2"/>
  <c r="AI47" i="2"/>
  <c r="AE80" i="2"/>
  <c r="AE81" i="2"/>
  <c r="AQ41" i="2"/>
  <c r="AQ81"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1" i="2"/>
  <c r="V41" i="2"/>
  <c r="V48" i="2"/>
  <c r="AQ12" i="2"/>
  <c r="AI81" i="2"/>
  <c r="T39" i="2"/>
  <c r="AI41" i="2"/>
  <c r="AI48" i="2"/>
  <c r="AI18" i="2"/>
  <c r="AQ18" i="2"/>
  <c r="AM18" i="2"/>
  <c r="AI23" i="2"/>
  <c r="AM23" i="2"/>
  <c r="AE19" i="2"/>
  <c r="T81" i="2" l="1"/>
  <c r="T80" i="2"/>
  <c r="T48" i="2"/>
  <c r="T41" i="2"/>
  <c r="BM48" i="2"/>
  <c r="BR4" i="2"/>
  <c r="BS4" i="2" s="1"/>
  <c r="BR3" i="2"/>
  <c r="BR34" i="2"/>
  <c r="BR31" i="2"/>
  <c r="BR30" i="2"/>
  <c r="BR29" i="2"/>
  <c r="BR27" i="2"/>
  <c r="BR79" i="2" s="1"/>
  <c r="BR15" i="2"/>
  <c r="BR14" i="2"/>
  <c r="BQ34" i="2"/>
  <c r="BQ32" i="2"/>
  <c r="BQ31" i="2"/>
  <c r="BQ30" i="2"/>
  <c r="BQ29" i="2"/>
  <c r="BQ27" i="2"/>
  <c r="BQ79" i="2" s="1"/>
  <c r="BQ15" i="2"/>
  <c r="BQ14" i="2"/>
  <c r="BQ4" i="2"/>
  <c r="BQ3" i="2"/>
  <c r="BQ5" i="2" s="1"/>
  <c r="AQ72" i="2"/>
  <c r="AQ62" i="2"/>
  <c r="BP36" i="2"/>
  <c r="BP34" i="2"/>
  <c r="BP32" i="2"/>
  <c r="BP31" i="2"/>
  <c r="BP30" i="2"/>
  <c r="BP29" i="2"/>
  <c r="BP27" i="2"/>
  <c r="BP79" i="2" s="1"/>
  <c r="BP15" i="2"/>
  <c r="BP14" i="2"/>
  <c r="BO36" i="2"/>
  <c r="BO34" i="2"/>
  <c r="BO32" i="2"/>
  <c r="BO31" i="2"/>
  <c r="BO30" i="2"/>
  <c r="BO29" i="2"/>
  <c r="BO27" i="2"/>
  <c r="BO79" i="2" s="1"/>
  <c r="BO15" i="2"/>
  <c r="BO14" i="2"/>
  <c r="BN36" i="2"/>
  <c r="BN34" i="2"/>
  <c r="BN32" i="2"/>
  <c r="BN31" i="2"/>
  <c r="BN30" i="2"/>
  <c r="BN29" i="2"/>
  <c r="BN27" i="2"/>
  <c r="BN79"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8"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8" i="2"/>
  <c r="AM80" i="2"/>
  <c r="AN78" i="2"/>
  <c r="AN80" i="2"/>
  <c r="AO78" i="2"/>
  <c r="AO80" i="2"/>
  <c r="BT3" i="2"/>
  <c r="BS5" i="2"/>
  <c r="BS8" i="2" s="1"/>
  <c r="Y78" i="2"/>
  <c r="Y80" i="2"/>
  <c r="AF78" i="2"/>
  <c r="AF80" i="2"/>
  <c r="AH78" i="2"/>
  <c r="AH80" i="2"/>
  <c r="AG78" i="2"/>
  <c r="AG80" i="2"/>
  <c r="AQ78" i="2"/>
  <c r="AQ80" i="2"/>
  <c r="AI78" i="2"/>
  <c r="AI80" i="2"/>
  <c r="AJ78" i="2"/>
  <c r="AJ80" i="2"/>
  <c r="AK78" i="2"/>
  <c r="AK80"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S27" i="2" s="1"/>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8" i="2"/>
  <c r="BN28" i="2"/>
  <c r="BN33" i="2" s="1"/>
  <c r="BN35" i="2" s="1"/>
  <c r="BN78" i="2"/>
  <c r="BR28" i="2"/>
  <c r="BR78" i="2"/>
  <c r="BP78" i="2"/>
  <c r="BT7" i="2"/>
  <c r="BU5" i="2"/>
  <c r="BU7" i="2" s="1"/>
  <c r="BV3" i="2"/>
  <c r="BR44" i="2"/>
  <c r="BR45" i="2"/>
  <c r="BS28" i="2"/>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8"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U33" i="2" s="1"/>
  <c r="BU46" i="2" s="1"/>
  <c r="BQ37" i="2"/>
  <c r="BQ39" i="2" s="1"/>
  <c r="BQ47" i="2"/>
  <c r="BR46" i="2"/>
  <c r="BT33" i="2"/>
  <c r="BT46" i="2" s="1"/>
  <c r="BQ43" i="2"/>
  <c r="BQ46" i="2"/>
  <c r="BV30" i="2"/>
  <c r="BV7" i="2"/>
  <c r="BV8" i="2"/>
  <c r="BV12" i="2"/>
  <c r="BV27" i="2"/>
  <c r="BV28" i="2" s="1"/>
  <c r="BP48" i="2"/>
  <c r="BP81" i="2"/>
  <c r="BP80" i="2"/>
  <c r="BW5" i="2"/>
  <c r="BW7" i="2" s="1"/>
  <c r="BX3" i="2"/>
  <c r="BS35" i="2"/>
  <c r="BS36" i="2" s="1"/>
  <c r="BN41" i="2"/>
  <c r="AP37" i="2"/>
  <c r="AP39" i="2" s="1"/>
  <c r="BV33" i="2" l="1"/>
  <c r="BV46" i="2" s="1"/>
  <c r="BN48" i="2"/>
  <c r="BN81" i="2"/>
  <c r="BN80" i="2"/>
  <c r="BX5" i="2"/>
  <c r="BX7" i="2" s="1"/>
  <c r="BY3" i="2"/>
  <c r="BW8" i="2"/>
  <c r="BW26" i="2"/>
  <c r="BW12" i="2"/>
  <c r="AP80" i="2"/>
  <c r="AP81" i="2"/>
  <c r="AP41" i="2"/>
  <c r="AP48" i="2"/>
  <c r="BO41" i="2"/>
  <c r="BO48" i="2" l="1"/>
  <c r="BO81" i="2"/>
  <c r="BO80" i="2"/>
  <c r="BQ48" i="2"/>
  <c r="BQ81" i="2"/>
  <c r="BQ80" i="2"/>
  <c r="BZ3" i="2"/>
  <c r="BY5" i="2"/>
  <c r="BY12" i="2" s="1"/>
  <c r="BW30" i="2"/>
  <c r="BW29" i="2"/>
  <c r="BW27" i="2"/>
  <c r="BW28" i="2" s="1"/>
  <c r="BX26" i="2"/>
  <c r="BX8" i="2"/>
  <c r="BX12" i="2"/>
  <c r="BR41" i="2"/>
  <c r="BQ41" i="2"/>
  <c r="BR48" i="2" l="1"/>
  <c r="BR81" i="2"/>
  <c r="BR80"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50" i="2" l="1"/>
  <c r="BS48" i="2"/>
  <c r="BS41"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B50" i="2"/>
  <c r="CD39" i="2" l="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DG39" i="2" s="1"/>
  <c r="DH39" i="2" s="1"/>
  <c r="DI39" i="2" s="1"/>
  <c r="DJ39" i="2" s="1"/>
  <c r="DK39" i="2" s="1"/>
  <c r="DL39" i="2" s="1"/>
  <c r="DM39" i="2" s="1"/>
  <c r="DN39" i="2" s="1"/>
  <c r="DO39" i="2" s="1"/>
  <c r="DP39" i="2" s="1"/>
  <c r="BU59" i="2" l="1"/>
  <c r="BU61" i="2" s="1"/>
  <c r="BU63" i="2" s="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tc={F4C62901-2A8D-4AE7-98F5-C86C99A16FE0}</author>
    <author>tc={3ABE8CFB-5C94-4172-B781-AAA052099CC6}</author>
    <author>tc={DB091BD2-E92B-4C65-84CF-37435A1596A1}</author>
    <author>tc={92B3D3CD-DC2C-48F4-A1D7-C377F3162060}</author>
  </authors>
  <commentList>
    <comment ref="BS39" authorId="0" shapeId="0" xr:uid="{F4C62901-2A8D-4AE7-98F5-C86C99A16FE0}">
      <text>
        <t>[Threaded comment]
Your version of Excel allows you to read this threaded comment; however, any edits to it will get removed if the file is opened in a newer version of Excel. Learn more: https://go.microsoft.com/fwlink/?linkid=870924
Comment:
    FYE: $154M</t>
      </text>
    </comment>
    <comment ref="BT39" authorId="1" shapeId="0" xr:uid="{3ABE8CFB-5C94-4172-B781-AAA052099CC6}">
      <text>
        <t>[Threaded comment]
Your version of Excel allows you to read this threaded comment; however, any edits to it will get removed if the file is opened in a newer version of Excel. Learn more: https://go.microsoft.com/fwlink/?linkid=870924
Comment:
    FYE: $198M</t>
      </text>
    </comment>
    <comment ref="BS41" authorId="2"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3"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<sst xmlns="http://schemas.openxmlformats.org/spreadsheetml/2006/main" count="1873" uniqueCount="1740">
  <si>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</si>
  <si>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</si>
  <si>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</si>
  <si>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</si>
  <si>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</si>
  <si>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</si>
  <si>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</si>
  <si>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</si>
  <si>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</si>
  <si>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</si>
  <si>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</si>
  <si>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</si>
  <si>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</si>
  <si>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</si>
  <si>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</si>
  <si>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</si>
  <si>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</si>
  <si>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</si>
  <si>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</si>
  <si>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</si>
  <si>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</si>
  <si>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</si>
  <si>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</si>
  <si>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</si>
  <si>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</si>
  <si>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</si>
  <si>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</si>
  <si>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</si>
  <si>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</si>
  <si>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</si>
  <si>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</si>
  <si>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</si>
  <si>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</si>
  <si>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</si>
  <si>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</si>
  <si>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</si>
  <si>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</si>
  <si>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</si>
  <si>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</si>
  <si>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</si>
  <si>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</si>
  <si>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</si>
  <si>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</si>
  <si>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</si>
  <si>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</si>
  <si>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</si>
  <si>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</si>
  <si>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</si>
  <si>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</si>
  <si>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</si>
  <si>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</si>
  <si>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</si>
  <si>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</si>
  <si>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</si>
  <si>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</si>
  <si>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</si>
  <si>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</si>
  <si>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</si>
  <si>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</si>
  <si>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</si>
  <si>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</si>
  <si>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</si>
  <si>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</si>
  <si>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</si>
  <si>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</si>
  <si>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</si>
  <si>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</si>
  <si>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</si>
  <si>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</si>
  <si>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</si>
  <si>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</si>
  <si>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</si>
  <si>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</si>
  <si>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</si>
  <si>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</si>
  <si>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</si>
  <si>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</si>
  <si>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</si>
  <si>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</si>
  <si>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</si>
  <si>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</si>
  <si>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</si>
  <si>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</si>
  <si>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</si>
  <si>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</si>
  <si>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</si>
  <si>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</si>
  <si>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</si>
  <si>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</si>
  <si>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</si>
  <si>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</si>
  <si>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</si>
  <si>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</si>
  <si>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</si>
  <si>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</si>
  <si>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</si>
  <si>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</si>
  <si>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</si>
  <si>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</si>
  <si>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</si>
  <si>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</si>
  <si>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</si>
  <si>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</si>
  <si>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</si>
  <si>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</si>
  <si>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</si>
  <si>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</si>
  <si>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</si>
  <si>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</si>
  <si>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</si>
  <si>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</si>
  <si>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</si>
  <si>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</si>
  <si>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</si>
  <si>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</si>
  <si>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</si>
  <si>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</si>
  <si>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</si>
  <si>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</si>
  <si>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</si>
  <si>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</si>
  <si>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</si>
  <si>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</si>
  <si>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</si>
  <si>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</si>
  <si>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</si>
  <si>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</si>
  <si>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</si>
  <si>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</si>
  <si>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</si>
  <si>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</si>
  <si>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</si>
  <si>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</si>
  <si>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</si>
  <si>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</si>
  <si>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</si>
  <si>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</si>
  <si>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</si>
  <si>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</si>
  <si>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</si>
  <si>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</si>
  <si>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</si>
  <si>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</si>
  <si>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</si>
  <si>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</si>
  <si>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</si>
  <si>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</si>
  <si>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</si>
  <si>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</si>
  <si>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</si>
  <si>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</si>
  <si>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</si>
  <si>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</si>
  <si>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</si>
  <si>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</si>
  <si>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</si>
  <si>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</si>
  <si>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</si>
  <si>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</si>
  <si>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</si>
  <si>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</si>
  <si>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</si>
  <si>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</si>
  <si>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</si>
  <si>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</si>
  <si>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</si>
  <si>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</si>
  <si>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</si>
  <si>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</si>
  <si>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</si>
  <si>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</si>
  <si>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</si>
  <si>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</si>
  <si>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</si>
  <si>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</si>
  <si>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</si>
  <si>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</si>
  <si>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</si>
  <si>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</si>
  <si>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</si>
  <si>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</si>
  <si>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</si>
  <si>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</si>
  <si>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</si>
  <si>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</si>
  <si>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</si>
  <si>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</si>
  <si>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</si>
  <si>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</si>
  <si>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</si>
  <si>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</si>
  <si>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</si>
  <si>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</si>
  <si>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</si>
  <si>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</si>
  <si>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</si>
  <si>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</si>
  <si>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</si>
  <si>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</si>
  <si>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</si>
  <si>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</si>
  <si>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</si>
  <si>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</si>
  <si>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</si>
  <si>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</si>
  <si>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</si>
  <si>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</si>
  <si>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</si>
  <si>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</si>
  <si>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</si>
  <si>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</si>
  <si>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</si>
  <si>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</si>
  <si>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</si>
  <si>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</si>
  <si>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</si>
  <si>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</si>
  <si>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</si>
  <si>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</si>
  <si>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</si>
  <si>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</si>
  <si>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</si>
  <si>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</si>
  <si>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</si>
  <si>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</si>
  <si>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</si>
  <si>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</si>
  <si>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</si>
  <si>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</si>
  <si>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</si>
  <si>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</si>
  <si>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</si>
  <si>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</si>
  <si>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</si>
  <si>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</si>
  <si>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</si>
  <si>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</si>
  <si>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</si>
  <si>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</si>
  <si>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</si>
  <si>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</si>
  <si>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</si>
  <si>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</si>
  <si>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</si>
  <si>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</si>
  <si>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</si>
  <si>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</si>
  <si>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</si>
  <si>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</si>
  <si>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</si>
  <si>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</si>
  <si>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</si>
  <si>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</si>
  <si>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</si>
  <si>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</si>
  <si>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</si>
  <si>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</si>
  <si>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</si>
  <si>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</si>
  <si>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</si>
  <si>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</si>
  <si>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</si>
  <si>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</si>
  <si>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</si>
  <si>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</si>
  <si>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</si>
  <si>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</si>
  <si>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</si>
  <si>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</si>
  <si>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</si>
  <si>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</si>
  <si>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</si>
  <si>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</si>
  <si>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</si>
  <si>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</si>
  <si>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</si>
  <si>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</si>
  <si>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</si>
  <si>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</si>
  <si>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</si>
  <si>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</si>
  <si>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</si>
  <si>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</si>
  <si>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</si>
  <si>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</si>
  <si>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</si>
  <si>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</si>
  <si>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</si>
  <si>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</si>
  <si>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</si>
  <si>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</si>
  <si>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</si>
  <si>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</si>
  <si>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</si>
  <si>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</si>
  <si>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</si>
  <si>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</si>
  <si>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</si>
  <si>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</si>
  <si>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</si>
  <si>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</si>
  <si>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</si>
  <si>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</si>
  <si>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</si>
  <si>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</si>
  <si>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</si>
  <si>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</si>
  <si>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</si>
  <si>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</si>
  <si>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</si>
  <si>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</si>
  <si>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</si>
  <si>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</si>
  <si>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</si>
  <si>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</si>
  <si>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</si>
  <si>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</si>
  <si>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</si>
  <si>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</si>
  <si>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</si>
  <si>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</si>
  <si>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</si>
  <si>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</si>
  <si>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</si>
  <si>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</si>
  <si>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</si>
  <si>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</si>
  <si>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</si>
  <si>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</si>
  <si>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</si>
  <si>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</si>
  <si>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</si>
  <si>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</si>
  <si>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</si>
  <si>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</si>
  <si>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</si>
  <si>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</si>
  <si>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</si>
  <si>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</si>
  <si>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</si>
  <si>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</si>
  <si>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</si>
  <si>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</si>
  <si>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</si>
  <si>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</si>
  <si>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</si>
  <si>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</si>
  <si>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</si>
  <si>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</si>
  <si>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</si>
  <si>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</si>
  <si>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</si>
  <si>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</si>
  <si>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</si>
  <si>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</si>
  <si>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</si>
  <si>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</si>
  <si>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</si>
  <si>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</si>
  <si>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</si>
  <si>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</si>
  <si>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</si>
  <si>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</si>
  <si>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</si>
  <si>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</si>
  <si>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</si>
  <si>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</si>
  <si>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</si>
  <si>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</si>
  <si>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</si>
  <si>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</si>
  <si>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</si>
  <si>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</si>
  <si>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Nearly 800,000 strokes occur annually, and lead to approximately 150,000 deaths per year.</t>
  </si>
  <si>
    <t>ACS includes various conditions associated with sudden, reduced blood flow to the heart</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</si>
  <si>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</si>
  <si>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</si>
  <si>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</si>
  <si>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</si>
  <si>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</si>
  <si>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</si>
  <si>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</si>
  <si>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</si>
  <si>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</si>
  <si>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</si>
  <si>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</si>
  <si>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</si>
  <si>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</si>
  <si>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</si>
  <si>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</si>
  <si>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</si>
  <si>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</si>
  <si>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</si>
  <si>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</si>
  <si>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</si>
  <si>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</si>
  <si>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</si>
  <si>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</si>
  <si>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</si>
  <si>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</si>
  <si>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</si>
  <si>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</si>
  <si>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</si>
  <si>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</si>
  <si>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</si>
  <si>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</si>
  <si>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</si>
  <si>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</si>
  <si>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</si>
  <si>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</si>
  <si>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</si>
  <si>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</si>
  <si>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</si>
  <si>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</si>
  <si>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</si>
  <si>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</si>
  <si>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</si>
  <si>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</si>
  <si>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</si>
  <si>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</si>
  <si>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</si>
  <si>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</si>
  <si>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</si>
  <si>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</si>
  <si>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</si>
  <si>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</si>
  <si>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</si>
  <si>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</si>
  <si>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</si>
  <si>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</si>
  <si>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</si>
  <si>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</si>
  <si>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</si>
  <si>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</si>
  <si>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</si>
  <si>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</si>
  <si>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</si>
  <si>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</si>
  <si>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</si>
  <si>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</si>
  <si>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</si>
  <si>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</si>
  <si>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</si>
  <si>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</si>
  <si>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</si>
  <si>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</si>
  <si>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</si>
  <si>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</si>
  <si>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</si>
  <si>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</si>
  <si>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</si>
  <si>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</si>
  <si>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</si>
  <si>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</si>
  <si>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</si>
  <si>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</si>
  <si>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</si>
  <si>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</si>
  <si>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</si>
  <si>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</si>
  <si>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</si>
  <si>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</si>
  <si>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</si>
  <si>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</si>
  <si>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</si>
  <si>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</si>
  <si>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</si>
  <si>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</si>
  <si>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</si>
  <si>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</si>
  <si>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</si>
  <si>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</si>
  <si>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</si>
  <si>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</si>
  <si>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</si>
  <si>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</si>
  <si>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</si>
  <si>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</si>
  <si>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</si>
  <si>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In addition to direct sales organizations, The Company works with distributors in certain geographic areas, having determined that selling through distributors is likely to be more effective</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</si>
  <si>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</si>
  <si>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</si>
  <si>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</si>
  <si>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</si>
  <si>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</si>
  <si>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</si>
  <si>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</si>
  <si>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</si>
  <si>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</si>
  <si>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</si>
  <si>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</si>
  <si>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</si>
  <si>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</si>
  <si>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</si>
  <si>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</si>
  <si>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</si>
  <si>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</si>
  <si>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</si>
  <si>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</si>
  <si>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</si>
  <si>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</si>
  <si>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</si>
  <si>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</si>
  <si>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</si>
  <si>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</si>
  <si>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</si>
  <si>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</si>
  <si>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</si>
  <si>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Government Regulation:</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</si>
  <si>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</si>
  <si>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</si>
  <si>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</si>
  <si>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</si>
  <si>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</si>
  <si>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</si>
  <si>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</si>
  <si>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</si>
  <si>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</si>
  <si>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</si>
  <si>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</si>
  <si>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</si>
  <si>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</si>
  <si>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</si>
  <si>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</si>
  <si>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</si>
  <si>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</si>
  <si>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</si>
  <si>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</si>
  <si>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</si>
  <si>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</si>
  <si>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</si>
  <si>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</si>
  <si>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</si>
  <si>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</si>
  <si>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</si>
  <si>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</si>
  <si>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</si>
  <si>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</si>
  <si>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</si>
  <si>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</si>
  <si>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</si>
  <si>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</si>
  <si>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</si>
  <si>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</si>
  <si>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</si>
  <si>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</si>
  <si>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</si>
  <si>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</si>
  <si>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</si>
  <si>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</si>
  <si>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</si>
  <si>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</si>
  <si>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</si>
  <si>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</si>
  <si>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</si>
  <si>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SEC filings</t>
  </si>
  <si>
    <t>NPV</t>
  </si>
  <si>
    <t>FV</t>
  </si>
  <si>
    <t>CP</t>
  </si>
  <si>
    <t>ROIC</t>
  </si>
  <si>
    <t>There is slight implied upside to mean 1-day returns</t>
  </si>
  <si>
    <t>Total Revenues, Net Income, FCF</t>
  </si>
  <si>
    <t>Clinical Trial/Product Channels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</si>
  <si>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</si>
  <si>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</si>
  <si>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</si>
  <si>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</si>
  <si>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</si>
  <si>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</si>
  <si>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</si>
  <si>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</si>
  <si>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</si>
  <si>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</si>
  <si>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</si>
  <si>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</si>
  <si>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</si>
  <si>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</si>
  <si>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</si>
  <si>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</si>
  <si>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</si>
  <si>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</si>
  <si>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</si>
  <si>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</si>
  <si>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</si>
  <si>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</si>
  <si>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</si>
  <si>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</si>
  <si>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</si>
  <si>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</si>
  <si>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</si>
  <si>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</si>
  <si>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</si>
  <si>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</si>
  <si>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</si>
  <si>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</si>
  <si>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</si>
  <si>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</si>
  <si>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</si>
  <si>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</si>
  <si>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</si>
  <si>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</si>
  <si>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</si>
  <si>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</si>
  <si>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</si>
  <si>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</si>
  <si>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</si>
  <si>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</si>
  <si>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</si>
  <si>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</si>
  <si>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</si>
  <si>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</si>
  <si>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</si>
  <si>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</si>
  <si>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</si>
  <si>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</si>
  <si>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</si>
  <si>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</si>
  <si>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</si>
  <si>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</si>
  <si>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</si>
  <si>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</si>
  <si>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</si>
  <si>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</si>
  <si>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</si>
  <si>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</si>
  <si>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</si>
  <si>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</si>
  <si>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</si>
  <si>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</si>
  <si>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</si>
  <si>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</si>
  <si>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</si>
  <si>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</si>
  <si>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</si>
  <si>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</si>
  <si>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</si>
  <si>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</si>
  <si>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</si>
  <si>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</si>
  <si>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</si>
  <si>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</si>
  <si>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</si>
  <si>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</si>
  <si>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</si>
  <si>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</si>
  <si>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</si>
  <si>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</si>
  <si>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</si>
  <si>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</si>
  <si>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</si>
  <si>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</si>
  <si>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</si>
  <si>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</si>
  <si>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</si>
  <si>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</si>
  <si>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</si>
  <si>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</si>
  <si>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</si>
  <si>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</si>
  <si>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</si>
  <si>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</si>
  <si>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</si>
  <si>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</si>
  <si>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</si>
  <si>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</si>
  <si>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</si>
  <si>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</si>
  <si>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</si>
  <si>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</si>
  <si>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</si>
  <si>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</si>
  <si>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</si>
  <si>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</si>
  <si>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</si>
  <si>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</si>
  <si>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</si>
  <si>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</si>
  <si>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</si>
  <si>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</si>
  <si>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</si>
  <si>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</si>
  <si>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</si>
  <si>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</si>
  <si>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</si>
  <si>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</si>
  <si>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</si>
  <si>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t>Domestic Patents</t>
  </si>
  <si>
    <t>Ttl Issued Patents</t>
  </si>
  <si>
    <t>Intl. Patents</t>
  </si>
  <si>
    <t>issued</t>
  </si>
  <si>
    <t>Current IP Assets:</t>
  </si>
  <si>
    <t>IP Application Pipeline</t>
  </si>
  <si>
    <t>Ttl Pending Patent Apps.</t>
  </si>
  <si>
    <t>Terminal</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</si>
  <si>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</si>
  <si>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</si>
  <si>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</si>
  <si>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</si>
  <si>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</si>
  <si>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</si>
  <si>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</si>
  <si>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</si>
  <si>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</si>
  <si>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</si>
  <si>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</si>
  <si>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</si>
  <si>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</si>
  <si>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</si>
  <si>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</si>
  <si>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</si>
  <si>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</si>
  <si>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</si>
  <si>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</si>
  <si>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</si>
  <si>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</si>
  <si>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</si>
  <si>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</si>
  <si>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</si>
  <si>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</si>
  <si>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</si>
  <si>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</si>
  <si>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</si>
  <si>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</si>
  <si>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</si>
  <si>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</si>
  <si>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</si>
  <si>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</si>
  <si>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</si>
  <si>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</si>
  <si>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</si>
  <si>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</si>
  <si>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</si>
  <si>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</si>
  <si>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</si>
  <si>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</si>
  <si>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</si>
  <si>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</si>
  <si>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</si>
  <si>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</si>
  <si>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</si>
  <si>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</si>
  <si>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</si>
  <si>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</si>
  <si>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</si>
  <si>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</si>
  <si>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</si>
  <si>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</si>
  <si>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</si>
  <si>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</si>
  <si>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</si>
  <si>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</si>
  <si>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</si>
  <si>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</si>
  <si>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</si>
  <si>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</si>
  <si>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</si>
  <si>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</si>
  <si>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</si>
  <si>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</si>
  <si>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</si>
  <si>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</si>
  <si>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</si>
  <si>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</si>
  <si>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</si>
  <si>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</si>
  <si>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</si>
  <si>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</si>
  <si>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</si>
  <si>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</si>
  <si>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</si>
  <si>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</si>
  <si>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</si>
  <si>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</si>
  <si>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</si>
  <si>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</si>
  <si>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</si>
  <si>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</si>
  <si>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</si>
  <si>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</si>
  <si>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 xml:space="preserve">[Track FDA pipeline] </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</si>
  <si>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</si>
  <si>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</si>
  <si>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</si>
  <si>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</si>
  <si>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</si>
  <si>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</si>
  <si>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</si>
  <si>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</si>
  <si>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</si>
  <si>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</si>
  <si>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</si>
  <si>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</si>
  <si>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</si>
  <si>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</si>
  <si>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</si>
  <si>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</si>
  <si>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</si>
  <si>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</si>
  <si>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</si>
  <si>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</si>
  <si>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</si>
  <si>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</si>
  <si>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</si>
  <si>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</si>
  <si>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</si>
  <si>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</si>
  <si>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</si>
  <si>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</si>
  <si>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</si>
  <si>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</si>
  <si>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</si>
  <si>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</si>
  <si>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</si>
  <si>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</si>
  <si>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</si>
  <si>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</si>
  <si>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</si>
  <si>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</si>
  <si>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</si>
  <si>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</si>
  <si>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</si>
  <si>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</si>
  <si>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</si>
  <si>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</si>
  <si>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</si>
  <si>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</si>
  <si>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</si>
  <si>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</si>
  <si>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</si>
  <si>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</si>
  <si>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</si>
  <si>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</si>
  <si>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</si>
  <si>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</si>
  <si>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</si>
  <si>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</si>
  <si>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</si>
  <si>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</si>
  <si>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</si>
  <si>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</si>
  <si>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</si>
  <si>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</si>
  <si>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</si>
  <si>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</si>
  <si>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</si>
  <si>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</si>
  <si>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</si>
  <si>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</si>
  <si>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</si>
  <si>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</si>
  <si>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</si>
  <si>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</si>
  <si>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</si>
  <si>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</si>
  <si>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</si>
  <si>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</si>
  <si>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</si>
  <si>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</si>
  <si>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</si>
  <si>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</si>
  <si>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</si>
  <si>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</si>
  <si>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</si>
  <si>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</si>
  <si>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</si>
  <si>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</si>
  <si>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</si>
  <si>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</si>
  <si>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</si>
  <si>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</si>
  <si>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</si>
  <si>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</si>
  <si>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</si>
  <si>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</si>
  <si>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</si>
  <si>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</si>
  <si>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</si>
  <si>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</si>
  <si>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</si>
  <si>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</si>
  <si>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</si>
  <si>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</si>
  <si>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</si>
  <si>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</si>
  <si>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</si>
  <si>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</si>
  <si>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</si>
  <si>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</si>
  <si>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</si>
  <si>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</si>
  <si>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</si>
  <si>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</si>
  <si>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</si>
  <si>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</si>
  <si>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</si>
  <si>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</si>
  <si>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</si>
  <si>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</si>
  <si>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</si>
  <si>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</si>
  <si>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</si>
  <si>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</si>
  <si>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</si>
  <si>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</si>
  <si>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</si>
  <si>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</si>
  <si>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</si>
  <si>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</si>
  <si>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</si>
  <si>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</si>
  <si>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</si>
  <si>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</si>
  <si>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</si>
  <si>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</si>
  <si>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</si>
  <si>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</si>
  <si>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</si>
  <si>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</si>
  <si>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</si>
  <si>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</si>
  <si>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</si>
  <si>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</si>
  <si>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</si>
  <si>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</si>
  <si>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</si>
  <si>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</si>
  <si>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</si>
  <si>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</si>
  <si>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</si>
  <si>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</si>
  <si>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</si>
  <si>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</si>
  <si>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</si>
  <si>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</si>
  <si>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</si>
  <si>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</si>
  <si>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</si>
  <si>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</si>
  <si>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</si>
  <si>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</si>
  <si>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</si>
  <si>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</si>
  <si>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</si>
  <si>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</si>
  <si>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</si>
  <si>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</si>
  <si>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</si>
  <si>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</si>
  <si>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</si>
  <si>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</si>
  <si>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</si>
  <si>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</si>
  <si>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</si>
  <si>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</si>
  <si>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</si>
  <si>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</si>
  <si>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</si>
  <si>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</si>
  <si>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</si>
  <si>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</si>
  <si>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</si>
  <si>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</si>
  <si>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</si>
  <si>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</si>
  <si>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</si>
  <si>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</si>
  <si>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</si>
  <si>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</si>
  <si>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</si>
  <si>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</si>
  <si>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</si>
  <si>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</si>
  <si>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</si>
  <si>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</si>
  <si>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</si>
  <si>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</si>
  <si>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</si>
  <si>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</si>
  <si>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</si>
  <si>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</si>
  <si>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</si>
  <si>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</si>
  <si>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</si>
  <si>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</si>
  <si>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</si>
  <si>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</si>
  <si>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</si>
  <si>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</si>
  <si>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</si>
  <si>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</si>
  <si>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</si>
  <si>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</si>
  <si>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</si>
  <si>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</si>
  <si>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</si>
  <si>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</si>
  <si>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</si>
  <si>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</si>
  <si>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</si>
  <si>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</si>
  <si>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</si>
  <si>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</si>
  <si>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</si>
  <si>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</si>
  <si>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</si>
  <si>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</si>
  <si>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</si>
  <si>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</si>
  <si>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</si>
  <si>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</si>
  <si>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</si>
  <si>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</si>
  <si>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</si>
  <si>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</si>
  <si>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</si>
  <si>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</si>
  <si>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</si>
  <si>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</si>
  <si>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</si>
  <si>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</si>
  <si>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</si>
  <si>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</si>
  <si>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</si>
  <si>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</si>
  <si>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</si>
  <si>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</si>
  <si>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</si>
  <si>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</si>
  <si>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</si>
  <si>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</si>
  <si>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</si>
  <si>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</si>
  <si>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</si>
  <si>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</si>
  <si>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</si>
  <si>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</si>
  <si>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</si>
  <si>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</si>
  <si>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</si>
  <si>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</si>
  <si>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</si>
  <si>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</si>
  <si>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</si>
  <si>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</si>
  <si>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</si>
  <si>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</si>
  <si>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</si>
  <si>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</si>
  <si>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</si>
  <si>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</si>
  <si>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</si>
  <si>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</si>
  <si>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</si>
  <si>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</si>
  <si>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</si>
  <si>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</si>
  <si>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</si>
  <si>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</si>
  <si>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</si>
  <si>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</si>
  <si>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</si>
  <si>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</si>
  <si>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</si>
  <si>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</si>
  <si>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</si>
  <si>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</si>
  <si>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</si>
  <si>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</si>
  <si>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</si>
  <si>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</si>
  <si>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</si>
  <si>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</si>
  <si>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</si>
  <si>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</si>
  <si>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</si>
  <si>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</si>
  <si>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</si>
  <si>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</si>
  <si>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</si>
  <si>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</si>
  <si>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</si>
  <si>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</si>
  <si>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</si>
  <si>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</si>
  <si>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</si>
  <si>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</si>
  <si>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</si>
  <si>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</si>
  <si>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</si>
  <si>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</si>
  <si>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</si>
  <si>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</si>
  <si>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</si>
  <si>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</si>
  <si>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</si>
  <si>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</si>
  <si>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</si>
  <si>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</si>
  <si>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</si>
  <si>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</si>
  <si>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</si>
  <si>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</si>
  <si>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</si>
  <si>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</si>
  <si>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</si>
  <si>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</si>
  <si>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</si>
  <si>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</si>
  <si>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</si>
  <si>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</si>
  <si>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</si>
  <si>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</si>
  <si>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</si>
  <si>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</si>
  <si>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</si>
  <si>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</si>
  <si>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</si>
  <si>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</si>
  <si>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</si>
  <si>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</si>
  <si>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</si>
  <si>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</si>
  <si>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</si>
  <si>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</si>
  <si>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</si>
  <si>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</si>
  <si>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</si>
  <si>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</si>
  <si>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</si>
  <si>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</si>
  <si>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</si>
  <si>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</si>
  <si>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</si>
  <si>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</si>
  <si>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</si>
  <si>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</si>
  <si>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</si>
  <si>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</si>
  <si>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</si>
  <si>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</si>
  <si>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</si>
  <si>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</si>
  <si>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</si>
  <si>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</si>
  <si>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</si>
  <si>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</si>
  <si>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</si>
  <si>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</si>
  <si>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</si>
  <si>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</si>
  <si>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</si>
  <si>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</si>
  <si>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</si>
  <si>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</si>
  <si>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</si>
  <si>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</si>
  <si>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</si>
  <si>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</si>
  <si>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</si>
  <si>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</si>
  <si>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</si>
  <si>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</si>
  <si>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</si>
  <si>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</si>
  <si>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</si>
  <si>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</si>
  <si>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</si>
  <si>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</si>
  <si>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</si>
  <si>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</si>
  <si>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</si>
  <si>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</si>
  <si>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</si>
  <si>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</si>
  <si>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</si>
  <si>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</si>
  <si>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</si>
  <si>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</si>
  <si>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</si>
  <si>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</si>
  <si>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</si>
  <si>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</si>
  <si>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</si>
  <si>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</si>
  <si>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</si>
  <si>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</si>
  <si>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</si>
  <si>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</si>
  <si>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</si>
  <si>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</si>
  <si>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</si>
  <si>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</si>
  <si>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</si>
  <si>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</si>
  <si>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</si>
  <si>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</si>
  <si>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</si>
  <si>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</si>
  <si>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</si>
  <si>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</si>
  <si>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</si>
  <si>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</si>
  <si>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</si>
  <si>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</si>
  <si>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</si>
  <si>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</si>
  <si>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</si>
  <si>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</si>
  <si>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</si>
  <si>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</si>
  <si>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</si>
  <si>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</si>
  <si>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</si>
  <si>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</si>
  <si>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</si>
  <si>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</si>
  <si>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</si>
  <si>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</si>
  <si>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</si>
  <si>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</si>
  <si>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</si>
  <si>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</si>
  <si>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</si>
  <si>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</si>
  <si>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</si>
  <si>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</si>
  <si>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</si>
  <si>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</si>
  <si>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</si>
  <si>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</si>
  <si>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</si>
  <si>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</si>
  <si>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</si>
  <si>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</si>
  <si>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</si>
  <si>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</si>
  <si>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</si>
  <si>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</si>
  <si>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</si>
  <si>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</si>
  <si>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</si>
  <si>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</si>
  <si>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</si>
  <si>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</si>
  <si>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</si>
  <si>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</si>
  <si>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</si>
  <si>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</si>
  <si>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</si>
  <si>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</si>
  <si>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</si>
  <si>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</si>
  <si>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</si>
  <si>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</si>
  <si>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</si>
  <si>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</si>
  <si>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</si>
  <si>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</si>
  <si>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</si>
  <si>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</si>
  <si>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</si>
  <si>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</si>
  <si>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</si>
  <si>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</si>
  <si>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</si>
  <si>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</si>
  <si>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</si>
  <si>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</si>
  <si>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</si>
  <si>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</si>
  <si>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</si>
  <si>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</si>
  <si>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</si>
  <si>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</si>
  <si>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</si>
  <si>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</si>
  <si>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</si>
  <si>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</si>
  <si>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</si>
  <si>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</si>
  <si>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</si>
  <si>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</si>
  <si>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</si>
  <si>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</si>
  <si>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</si>
  <si>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</si>
  <si>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</si>
  <si>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</si>
  <si>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</si>
  <si>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</si>
  <si>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</si>
  <si>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</si>
  <si>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</si>
  <si>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</si>
  <si>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</si>
  <si>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</si>
  <si>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</si>
  <si>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</si>
  <si>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</si>
  <si>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</si>
  <si>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</si>
  <si>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</si>
  <si>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</si>
  <si>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</si>
  <si>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</si>
  <si>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</si>
  <si>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</si>
  <si>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</si>
  <si>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</si>
  <si>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</si>
  <si>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</si>
  <si>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</si>
  <si>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</si>
  <si>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</si>
  <si>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</si>
  <si>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</si>
  <si>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</si>
  <si>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</si>
  <si>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</si>
  <si>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</si>
  <si>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</si>
  <si>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</si>
  <si>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</si>
  <si>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</si>
  <si>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</si>
  <si>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</si>
  <si>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</si>
  <si>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</si>
  <si>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</si>
  <si>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</si>
  <si>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</si>
  <si>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</si>
  <si>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</si>
  <si>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</si>
  <si>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</si>
  <si>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</si>
  <si>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</si>
  <si>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</si>
  <si>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</si>
  <si>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</si>
  <si>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</si>
  <si>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</si>
  <si>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</si>
  <si>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</si>
  <si>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</si>
  <si>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</si>
  <si>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</si>
  <si>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</si>
  <si>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</si>
  <si>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</si>
  <si>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</si>
  <si>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</si>
  <si>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</si>
  <si>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</si>
  <si>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</si>
  <si>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</si>
  <si>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</si>
  <si>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</si>
  <si>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</si>
  <si>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</si>
  <si>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</si>
  <si>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</si>
  <si>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</si>
  <si>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</si>
  <si>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</si>
  <si>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</si>
  <si>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</si>
  <si>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</si>
  <si>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</si>
  <si>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</si>
  <si>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</si>
  <si>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</si>
  <si>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</si>
  <si>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</si>
  <si>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</si>
  <si>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</si>
  <si>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</si>
  <si>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</si>
  <si>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</si>
  <si>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</si>
  <si>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</si>
  <si>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</si>
  <si>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</si>
  <si>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</si>
  <si>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</si>
  <si>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</si>
  <si>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</si>
  <si>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</si>
  <si>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</si>
  <si>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</si>
  <si>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</si>
  <si>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</si>
  <si>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</si>
  <si>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</si>
  <si>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</si>
  <si>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</si>
  <si>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</si>
  <si>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</si>
  <si>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</si>
  <si>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</si>
  <si>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</si>
  <si>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</si>
  <si>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</si>
  <si>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</si>
  <si>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</si>
  <si>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</si>
  <si>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</si>
  <si>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</si>
  <si>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</si>
  <si>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</si>
  <si>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</si>
  <si>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</si>
  <si>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</si>
  <si>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</si>
  <si>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</si>
  <si>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</si>
  <si>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</si>
  <si>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</si>
  <si>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</si>
  <si>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</si>
  <si>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</si>
  <si>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</si>
  <si>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</si>
  <si>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</si>
  <si>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</si>
  <si>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</si>
  <si>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</si>
  <si>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</si>
  <si>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</si>
  <si>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</si>
  <si>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</si>
  <si>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</si>
  <si>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</si>
  <si>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</si>
  <si>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</si>
  <si>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</si>
  <si>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</si>
  <si>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</si>
  <si>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</si>
  <si>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</si>
  <si>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</si>
  <si>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</si>
  <si>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</si>
  <si>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</si>
  <si>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</si>
  <si>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</si>
  <si>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</si>
  <si>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</si>
  <si>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</si>
  <si>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</si>
  <si>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</si>
  <si>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</si>
  <si>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</si>
  <si>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</si>
  <si>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</si>
  <si>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</si>
  <si>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</si>
  <si>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</si>
  <si>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</si>
  <si>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</si>
  <si>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</si>
  <si>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</si>
  <si>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</si>
  <si>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</si>
  <si>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</si>
  <si>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</si>
  <si>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</si>
  <si>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</si>
  <si>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</si>
  <si>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</si>
  <si>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</si>
  <si>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</si>
  <si>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</si>
  <si>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</si>
  <si>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</si>
  <si>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</si>
  <si>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</si>
  <si>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</si>
  <si>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</si>
  <si>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</si>
  <si>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</si>
  <si>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</si>
  <si>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</si>
  <si>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</si>
  <si>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</si>
  <si>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</si>
  <si>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</si>
  <si>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</si>
  <si>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</si>
  <si>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</si>
  <si>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</si>
  <si>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</si>
  <si>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</si>
  <si>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</si>
  <si>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</si>
  <si>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</si>
  <si>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</si>
  <si>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</si>
  <si>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</si>
  <si>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</si>
  <si>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</si>
  <si>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</si>
  <si>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</si>
  <si>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</si>
  <si>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</si>
  <si>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</si>
  <si>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</si>
  <si>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</si>
  <si>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</si>
  <si>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</si>
  <si>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</si>
  <si>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</si>
  <si>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</si>
  <si>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</si>
  <si>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</si>
  <si>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</si>
  <si>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</si>
  <si>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</si>
  <si>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</si>
  <si>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</si>
  <si>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</si>
  <si>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</si>
  <si>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</si>
  <si>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</si>
  <si>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</si>
  <si>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</si>
  <si>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</si>
  <si>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</si>
  <si>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</si>
  <si>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</si>
  <si>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</si>
  <si>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</si>
  <si>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</si>
  <si>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</si>
  <si>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</si>
  <si>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</si>
  <si>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</si>
  <si>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</si>
  <si>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</si>
  <si>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</si>
  <si>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</si>
  <si>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</si>
  <si>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</si>
  <si>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</si>
  <si>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</si>
  <si>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</si>
  <si>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</si>
  <si>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</si>
  <si>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</si>
  <si>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</si>
  <si>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</si>
  <si>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</si>
  <si>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</si>
  <si>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</si>
  <si>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</si>
  <si>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</si>
  <si>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</si>
  <si>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</si>
  <si>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</si>
  <si>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</si>
  <si>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</si>
  <si>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</si>
  <si>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</si>
  <si>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</si>
  <si>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</si>
  <si>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</si>
  <si>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</si>
  <si>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</si>
  <si>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</si>
  <si>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</si>
  <si>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</si>
  <si>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</si>
  <si>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</si>
  <si>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</si>
  <si>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</si>
  <si>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</si>
  <si>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</si>
  <si>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</si>
  <si>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</si>
  <si>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</si>
  <si>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</si>
  <si>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</si>
  <si>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</si>
  <si>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</si>
  <si>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</si>
  <si>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</si>
  <si>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</si>
  <si>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</si>
  <si>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</si>
  <si>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</si>
  <si>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</si>
  <si>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</si>
  <si>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</si>
  <si>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</si>
  <si>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</si>
  <si>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</si>
  <si>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</si>
  <si>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</si>
  <si>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</si>
  <si>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</si>
  <si>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</si>
  <si>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</si>
  <si>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</si>
  <si>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</si>
  <si>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</si>
  <si>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</si>
  <si>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</si>
  <si>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</si>
  <si>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</si>
  <si>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</si>
  <si>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</si>
  <si>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</si>
  <si>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</si>
  <si>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</si>
  <si>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</si>
  <si>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</si>
  <si>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</si>
  <si>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</si>
  <si>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</si>
  <si>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</si>
  <si>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</si>
  <si>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</si>
  <si>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</si>
  <si>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</si>
  <si>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</si>
  <si>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</si>
  <si>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</si>
  <si>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</si>
  <si>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</si>
  <si>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</si>
  <si>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</si>
  <si>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</si>
  <si>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</si>
  <si>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</si>
  <si>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</si>
  <si>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</si>
  <si>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</si>
  <si>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</si>
  <si>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</si>
  <si>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</si>
  <si>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</si>
  <si>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</si>
  <si>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</si>
  <si>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</si>
  <si>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</si>
  <si>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</si>
  <si>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</si>
  <si>
    <t>High capital intensity… that Inventory costs money and MUST be sold to generate revenue/returns</t>
  </si>
  <si>
    <t xml:space="preserve">Fat tails, with extremely volatile daily returns (±6-7% change in share price) occuring more often than expected in a Gaussian distribution </t>
  </si>
  <si>
    <t>R&amp;D as a percentage of revenues remains at a constant 10% as the company innovates into the 2030's (look into patent expiry for product mix, as well as R&amp;D + FDA pipeline)</t>
  </si>
  <si>
    <t>Sensitivity to potential swings in working capital -- stress-test model in dedicated model</t>
  </si>
  <si>
    <t>This is the tricky part, and demands learning more about Penumbra's product mix, their product's operating lifecycles, and the company's need to create/innovate to generate future returns (the patents ultimately expire in 20 years- follows similar behavior to pharma-economics)</t>
  </si>
  <si>
    <t>Each one of my inputs (terminal, cost of debt/equity, ROIC and others) for the end NPV calculation should have a separate table to record all assumptions/formulaic inputs</t>
  </si>
  <si>
    <t>&lt;- Sharpe Ratio (Risk Adjusted Return)</t>
  </si>
  <si>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divestment September 2024</t>
    </r>
    <r>
      <rPr>
        <sz val="11"/>
        <color theme="1"/>
        <rFont val="Calibre"/>
      </rPr>
      <t xml:space="preserve">) &lt;-- Decision to wind down and exit the Immersive Healthcare business, and as a result, incurred a $115.3 million impairment charge at year end </t>
    </r>
  </si>
  <si>
    <r>
      <rPr>
        <b/>
        <sz val="11"/>
        <color theme="1"/>
        <rFont val="Calibre"/>
      </rPr>
      <t>During year ended</t>
    </r>
    <r>
      <rPr>
        <sz val="11"/>
        <color theme="1"/>
        <rFont val="Calibre"/>
      </rPr>
      <t xml:space="preserve"> December 31, 2024, </t>
    </r>
    <r>
      <rPr>
        <b/>
        <sz val="11"/>
        <color theme="1"/>
        <rFont val="Calibre"/>
      </rPr>
      <t>The Company permanently ceased sales of Immersive Healthcare products and related commercial operations</t>
    </r>
  </si>
  <si>
    <r>
      <t>Premium pricing over competitors with innovative products that grant pricing power</t>
    </r>
    <r>
      <rPr>
        <b/>
        <sz val="11"/>
        <color theme="1"/>
        <rFont val="Calibre"/>
      </rPr>
      <t xml:space="preserve"> [look into measuring/quantifying brand moat… if there even is such a thing in MedTech]</t>
    </r>
  </si>
  <si>
    <t>How do you value IP??? Commercialization ramp track</t>
  </si>
  <si>
    <t>Fixed Asset Turnover Ratio</t>
  </si>
  <si>
    <t>Technology</t>
  </si>
  <si>
    <t>https://evtoday.com/</t>
  </si>
  <si>
    <t>Resources:</t>
  </si>
  <si>
    <t>Thrombecotomy News</t>
  </si>
  <si>
    <t xml:space="preserve">Comp. + Board structure </t>
  </si>
  <si>
    <t>https://www.fda.gov/medical-devices</t>
  </si>
  <si>
    <t>Penumbra IP Catalog</t>
  </si>
  <si>
    <t xml:space="preserve">&lt;-- USPTO update sucks </t>
  </si>
  <si>
    <t>U.S. Patent Office Search</t>
  </si>
  <si>
    <t>Disruption of blood flow to the vasculature can have serious adverse consequences, including death and morbidity, and The Companysolutions address the intervention of these diseases</t>
  </si>
  <si>
    <t>The Companysales representatives and sales managers generally have substantial medical device experience and market The Companyproducts directly to a variety of specialist physicians engaged in the treatment of vascular disorders, who are the end users of The Companyproducts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</si>
  <si>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The Companyproducts</t>
  </si>
  <si>
    <t>In 2024, direct sales accounted for approximately 87% of The Companyrevenue, with the balance generated by independent distributors that sell The Companyproducts outside of the United States and by the arrangements with The Companypartner in China, which include licensing royalty and distribution revenue</t>
  </si>
  <si>
    <t>https://ppubs.uspto.gov/pubThe Companybapp/static/pages/ppubsbasic.html</t>
  </si>
  <si>
    <t>The Company sells products to healthcare providers primarily through The Companydirect sales organization in the United States, most of Europe, Canada and Australia, as The Companyll as through distributors in select international markets (China, APac, LatAm)</t>
  </si>
  <si>
    <t>Similar to BioPharma, economic returns decline once a treatment option "goes generic," or a neThe Companyr, more effective form of treatment is developed/commercialized</t>
  </si>
  <si>
    <t>The pandemic impacted the performance of certain elective and semi-elective medical procedures, which The Companyre deferred to provide resources to fight the pandemic</t>
  </si>
  <si>
    <t>Embolization and Access, which include products to treat aneurysms and to occlude vessels as The Companyll as products to access the vasculature</t>
  </si>
  <si>
    <t>Of these cases, The Company estimate that approximately 200,000 are treatable with mechanical thrombectomy, which involves removal of the clot causing the blockage by mechanical means and restoring blood flow to the blocked vessels</t>
  </si>
  <si>
    <t>Outside of the United States, The Company estimate, based on published sources, that there are approximately 9.7 million ischemic strokes annually and that 1.9 million of these patients are treatable with mechanical thrombectomy</t>
  </si>
  <si>
    <t>The Company estimate there are approximately 8 million annual AMIs outside the U.S. that are eligible for mechanical thrombectomy.</t>
  </si>
  <si>
    <t>The Embolization and Access markets are comprised of various diseases and conditions throughout the body, such as aneurysm, hemorrhagic stroke, vessel malformations, bleeding, endoleaks, ovarian veins, varicoceles, and hematomas, as The Companyll as products that provide access to the diseased area.</t>
  </si>
  <si>
    <t>An aneurysm is a The Companyak area in a blood vessel that usually enlarges and is often described as a “ballooning” of the blood vessel.</t>
  </si>
  <si>
    <t>The Company has continued licensing the technology of certain products to The Companyexisting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The Companyll as, in certain cases, royalty payments on downstream sales of the licensed products</t>
  </si>
  <si>
    <t>The Company's direct sales have been, and The Company anticipate will continue to represent, a majority of The Companyrevenues</t>
  </si>
  <si>
    <t>Most of these competitors are large, The Companyll-capitalized companies with longer operating histories and greater resources than The Company has</t>
  </si>
  <si>
    <t>&lt;- Acquired in 2017 by Shandong The Companyigao Group (Chinese) for $850M</t>
  </si>
  <si>
    <t>Innovation is in MedTech is absolutely key; consequences include falling behind in the value chain -&gt; reduces earnings potential if The Company falls behind in product pipeline while requiring the same if not more R&amp;D spend to catch up/leapfrog competitors back into a dominant position (think mix betThe Companyen semiconductor and biopharma industries)</t>
  </si>
  <si>
    <t>! Important ! As of December 31, 2024, The Company owned and/or had rights to 120 issued patents globally, of which 58 The Companyre U.S. patents. As of December 31, 2024, The Company owned and/or had rights to 55 pending patent applications, of which 29 The Companyre patent applications pending in the United States</t>
  </si>
  <si>
    <t>16 of The Company's issued patents are currently set to expire betThe Companyen 2025 and 2026</t>
  </si>
  <si>
    <t>Thirty-seven of The Companyissued patents, which relate to components of the Penumbra Coil 400, Ruby Coil System and Smart Coil System, are currently expected to expire betThe Companyen 2029 and 2037</t>
  </si>
  <si>
    <t>Eighteen patents pertaining to the 3D Revascularization Device are projected to expire betThe Companyen 2032 and 2034</t>
  </si>
  <si>
    <t>The Companyproducts are subject to extensive and ongoing regulation by the United States Food and Drug Administration (“FDA”) under the Federal Food, Drug, and Cosmetic Act (the “FD&amp;C Act”) and its implementing regulations, as The Companyll as other federal and state regulatory bodies in the United States and comparable authorities in other countries under other statutes and regulations</t>
  </si>
  <si>
    <t>The Company's existing products may be rendered obsolete and The Company may be unable to effectively introduce and market new products or may fail to keep pace with advances in technologies</t>
  </si>
  <si>
    <t>Any delays in The Companyproduct launches may significantly impede The Companyability to enter or compete in a given market and may reduce the sales that The Company are able to generate from these products</t>
  </si>
  <si>
    <t>To compete in the marketplace, The Company have made, and The Company must continue to make, substantial investments in new product development, whether internally through research and development or externally through licensing or acquisitions</t>
  </si>
  <si>
    <t>Strong track record of organic product development and commercial expansion that has established the foundation of The Company's global organization</t>
  </si>
  <si>
    <t>The Indigo System is a continuous aspiration mechanical thrombectomy platform, leveraging aspiration catheters and a dedicated aspiration source (the Penumbra ENGINE) to remove fresh, soft emboli and thrombi from peripheral arteries and veins</t>
  </si>
  <si>
    <r>
      <rPr>
        <b/>
        <sz val="11"/>
        <color theme="1"/>
        <rFont val="Calibre"/>
      </rPr>
      <t>FDA 510k Clearance (Original): 2014</t>
    </r>
    <r>
      <rPr>
        <sz val="11"/>
        <color theme="1"/>
        <rFont val="Calibre"/>
      </rPr>
      <t xml:space="preserve"> - clearance covered its use for the removal of emboli and thrombi from peripheral arterial and venous systems</t>
    </r>
  </si>
  <si>
    <t>Change Δ</t>
  </si>
  <si>
    <r>
      <t xml:space="preserve">I understand that to accurately value a firm's common stock, the analyst must derive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</si>
  <si>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</si>
  <si>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</si>
  <si>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</si>
  <si>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</si>
  <si>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Penumbra IR Page</t>
  </si>
  <si>
    <t>https://seekingalpha.com/article/4777404-penumbra-inc-pen-q1-2025-earnings-call-transcript</t>
  </si>
  <si>
    <t>https://app.godelterminal.com/</t>
  </si>
  <si>
    <t>Earnings Calls</t>
  </si>
  <si>
    <t>FDA Med Device reporting's</t>
  </si>
  <si>
    <t>https://pubmed.ncbi.nlm.nih.gov/</t>
  </si>
  <si>
    <t>Investor Relations / Corporate Strategy Contacts</t>
  </si>
  <si>
    <t>Investor Relations</t>
  </si>
  <si>
    <t>Phone:</t>
  </si>
  <si>
    <t>510-995-2461</t>
  </si>
  <si>
    <t xml:space="preserve">Email: </t>
  </si>
  <si>
    <t>investors@penumbrainc.com</t>
  </si>
  <si>
    <t>Stryker sees mechanical thrombectomy for VTE as a $15 billion total addressable market globally</t>
  </si>
  <si>
    <t>https://evtoday.com/news/penumbra-commences-stride-ii-of-lightning-bolt-cavt-to-treat-lower-extremity-ali?c4src=home</t>
  </si>
  <si>
    <t>Penumbra announced that it will begin recruitment for the STRIDE II study of its Lightning Bolt computer-assisted vacuum thrombectomy (CAVT) technology, which uses modulated aspiration for removing clots</t>
  </si>
  <si>
    <t>Penumbra Commences STRIDE II Study of Lightning Bolt CAVT to Treat Lower Extremity ALI (May 7, 2025)</t>
  </si>
  <si>
    <t>According to the company, the prospective, multicenter, global clinical study will evaluate the safety and effectiveness of Lightning Bolt CAVT devices in patients with lower-extremity acute limb ischemia (ALI)</t>
  </si>
  <si>
    <t>The Lightning Bolt portfolio includes Lightning Bolt 6x with Trax, Lightning Bolt 7, and Lightning Bolt 12</t>
  </si>
  <si>
    <t>Compared to the first STRIDE study, STRIDE II will more than double the number of patients enrolled</t>
  </si>
  <si>
    <t>approximately triple the number of sites reporting data; and be more inclusive in terms of vessel locations, including iliac arteries and below, noted The Company</t>
  </si>
  <si>
    <t>STRIDE showed that the use of Penumbra’s Indigo aspiration system in lower extremity ALI is safe and effective with a 30-day limb-salvage rate of 98.2% and a mortality rate of 3.4%</t>
  </si>
  <si>
    <t>By comparison, data suggest that traditional open vascular surgery to perform an embolectomy has an 83% 30-day limb salvage rate, advised Penumbra in the press release</t>
  </si>
  <si>
    <t>The first STRIDE study showed that the Indigo aspiration system, including CAVT technology, was safe and effective for managing arterial thrombus with high limb-salvage rates, very low adverse events, low risk of bleeding, low mortality, all while being extremely efficient with an average 22 minutes of device time</t>
  </si>
  <si>
    <t>STRIDE II will test the latest technology while expanding the sample size and geographic scope of the investigation on a wider set of cases</t>
  </si>
  <si>
    <t>STRIDE II will enroll up to 300 adult patients at up to 50 global sites. Patients will be followed through 6 months postprocedure</t>
  </si>
  <si>
    <t>Penumbra Introduces Red 72 Silver Label Large-Bore Reperfusion Catheter (April 24, 2025)</t>
  </si>
  <si>
    <t>Penumbra recently announced the introduction of the Red 72 Silver Label large-bore reperfusion catheter with SendIt technology</t>
  </si>
  <si>
    <t xml:space="preserve"> The device is an update of the company’s flagship Red 72 device</t>
  </si>
  <si>
    <t>Penumbra stated that the new Red 72 Silver Label is adapted from the company’s Red 43 and Red 62 catheters, which are designed to support more distal vessels</t>
  </si>
  <si>
    <t>As outlined in Penumbra’s press release, Red 72 Silver Label has a 0.072-inch (1.83-mm) lumen, an 0.085-inch (2.16-mm) outer diameter, and a 132-cm length to reach target vessels</t>
  </si>
  <si>
    <t>Additionally, the company noted that Red 72 was designed to occupy approximately 72% to 77% of the average M1 segment of the middle cerebral artery, which is within the optimal catheter-to-vessel inner-diameter ratio to create a pressure differential necessary for an effective thrombectomy procedure</t>
  </si>
  <si>
    <t>Penumbra’s SendIt technology is intended to minimize the ledge effect, simplify preparation, and ease delivery in large vessel occlusion</t>
  </si>
  <si>
    <t>It features a smooth 1.5-cm taper for ease of navigation and close clot proximity</t>
  </si>
  <si>
    <t>The Red 72 Silver Label, which has been developed for speed and ease of navigation, has shown a 50% increase in trackability versus the original Red 72 with SendIt technology, stated Penumbra</t>
  </si>
  <si>
    <t>Red 72 Silver Label tracked with ease to an M1 occlusion in a patient in their 90s with extreme cervical carotid tortuosity and underlying atherosclerotic disease</t>
  </si>
  <si>
    <t>https://evtoday.com/news/penumbra-introduces-red-72-silver-label-large-bore-reperfusion-catheter?c4src=news-landing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</si>
</sst>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5">
    <font>
      <sz val="11"/>
      <color theme="1"/>
      <name val="Calibri"/>
      <family val="2"/>
      <scheme val="minor"/>
    </font>
    <font>
      <b/>
      <sz val="11"/>
      <color theme="1"/>
      <name val="Calibre"/>
    </font>
    <font>
      <sz val="11"/>
      <color theme="1"/>
      <name val="Calibre"/>
    </font>
    <font>
      <b/>
      <sz val="1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s>
  <fills count="12">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145398"/>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6" fillId="0" borderId="0" applyNumberFormat="0" applyFill="0" applyBorder="0" applyAlignment="0" applyProtection="0"/>
    <xf numFmtId="9" fontId="16" fillId="0" borderId="0" applyFont="0" applyFill="0" applyBorder="0" applyAlignment="0" applyProtection="0"/>
  </cellStyleXfs>
  <cellXfs count="159">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4" fillId="3" borderId="10" xfId="0" applyFont="1" applyFill="1" applyBorder="1"/>
    <xf numFmtId="0" fontId="4" fillId="3" borderId="11" xfId="0" applyFont="1" applyFill="1" applyBorder="1"/>
    <xf numFmtId="0" fontId="5" fillId="3" borderId="9" xfId="0" applyFont="1" applyFill="1" applyBorder="1"/>
    <xf numFmtId="0" fontId="5" fillId="3" borderId="10" xfId="0" applyFont="1" applyFill="1" applyBorder="1"/>
    <xf numFmtId="0" fontId="7" fillId="0" borderId="0" xfId="0" applyFont="1"/>
    <xf numFmtId="0" fontId="7" fillId="0" borderId="0" xfId="0" applyFont="1" applyAlignment="1">
      <alignment vertical="center" wrapText="1"/>
    </xf>
    <xf numFmtId="0" fontId="9" fillId="0" borderId="0" xfId="0" applyFont="1"/>
    <xf numFmtId="0" fontId="10" fillId="0" borderId="0" xfId="0" applyFont="1"/>
    <xf numFmtId="0" fontId="4" fillId="5" borderId="0" xfId="0" applyFont="1" applyFill="1" applyAlignment="1">
      <alignment horizontal="center"/>
    </xf>
    <xf numFmtId="0" fontId="5" fillId="5" borderId="0" xfId="0" applyFont="1" applyFill="1" applyAlignment="1">
      <alignment horizontal="center"/>
    </xf>
    <xf numFmtId="0" fontId="4" fillId="5" borderId="1" xfId="0" applyFont="1" applyFill="1" applyBorder="1" applyAlignment="1">
      <alignment horizontal="center"/>
    </xf>
    <xf numFmtId="0" fontId="4" fillId="5" borderId="4" xfId="0" applyFont="1" applyFill="1" applyBorder="1" applyAlignment="1">
      <alignment horizontal="center"/>
    </xf>
    <xf numFmtId="0" fontId="5" fillId="5" borderId="4" xfId="0" applyFont="1" applyFill="1" applyBorder="1" applyAlignment="1">
      <alignment horizontal="center"/>
    </xf>
    <xf numFmtId="0" fontId="4" fillId="5" borderId="6" xfId="0" applyFont="1" applyFill="1" applyBorder="1" applyAlignment="1">
      <alignment horizontal="center"/>
    </xf>
    <xf numFmtId="0" fontId="5" fillId="5" borderId="1" xfId="0" applyFont="1" applyFill="1" applyBorder="1" applyAlignment="1">
      <alignment horizontal="left"/>
    </xf>
    <xf numFmtId="0" fontId="4" fillId="5" borderId="2" xfId="0" applyFont="1" applyFill="1" applyBorder="1" applyAlignment="1">
      <alignment horizontal="center"/>
    </xf>
    <xf numFmtId="0" fontId="5" fillId="5" borderId="4" xfId="0" applyFont="1" applyFill="1" applyBorder="1" applyAlignment="1">
      <alignment horizontal="left"/>
    </xf>
    <xf numFmtId="0" fontId="5" fillId="5" borderId="6" xfId="0" applyFont="1" applyFill="1" applyBorder="1" applyAlignment="1">
      <alignment horizontal="left"/>
    </xf>
    <xf numFmtId="0" fontId="12" fillId="0" borderId="0" xfId="0" applyFont="1"/>
    <xf numFmtId="0" fontId="13" fillId="0" borderId="0" xfId="1" applyFont="1"/>
    <xf numFmtId="0" fontId="2" fillId="4" borderId="9" xfId="0" applyFont="1" applyFill="1" applyBorder="1"/>
    <xf numFmtId="0" fontId="2" fillId="4" borderId="11" xfId="0" applyFont="1" applyFill="1" applyBorder="1"/>
    <xf numFmtId="0" fontId="5" fillId="6" borderId="1" xfId="0" applyFont="1" applyFill="1" applyBorder="1"/>
    <xf numFmtId="0" fontId="4" fillId="6" borderId="2" xfId="0" applyFont="1" applyFill="1" applyBorder="1"/>
    <xf numFmtId="0" fontId="5" fillId="8" borderId="9" xfId="0" applyFont="1" applyFill="1" applyBorder="1" applyAlignment="1">
      <alignment horizontal="left"/>
    </xf>
    <xf numFmtId="0" fontId="4" fillId="8" borderId="10" xfId="0" applyFont="1" applyFill="1" applyBorder="1" applyAlignment="1">
      <alignment horizontal="center"/>
    </xf>
    <xf numFmtId="0" fontId="5" fillId="8" borderId="11" xfId="0" applyFont="1" applyFill="1" applyBorder="1" applyAlignment="1">
      <alignment horizontal="left"/>
    </xf>
    <xf numFmtId="0" fontId="5" fillId="3" borderId="1" xfId="0" applyFont="1" applyFill="1" applyBorder="1"/>
    <xf numFmtId="0" fontId="5" fillId="5" borderId="12" xfId="0" applyFont="1" applyFill="1" applyBorder="1" applyAlignment="1">
      <alignment horizontal="left"/>
    </xf>
    <xf numFmtId="0" fontId="5" fillId="5" borderId="13" xfId="0" applyFont="1" applyFill="1" applyBorder="1" applyAlignment="1">
      <alignment horizontal="left"/>
    </xf>
    <xf numFmtId="0" fontId="5" fillId="5" borderId="14" xfId="0" applyFont="1" applyFill="1" applyBorder="1" applyAlignment="1">
      <alignment horizontal="left"/>
    </xf>
    <xf numFmtId="0" fontId="4" fillId="3" borderId="2" xfId="0" applyFont="1" applyFill="1" applyBorder="1"/>
    <xf numFmtId="0" fontId="5" fillId="3" borderId="2" xfId="0" applyFont="1" applyFill="1" applyBorder="1"/>
    <xf numFmtId="0" fontId="5" fillId="5" borderId="5" xfId="0" applyFont="1" applyFill="1" applyBorder="1" applyAlignment="1">
      <alignment horizontal="right"/>
    </xf>
    <xf numFmtId="0" fontId="5" fillId="5" borderId="8" xfId="0" applyFont="1" applyFill="1" applyBorder="1" applyAlignment="1">
      <alignment horizontal="right"/>
    </xf>
    <xf numFmtId="0" fontId="5" fillId="3" borderId="11" xfId="0" applyFont="1" applyFill="1" applyBorder="1" applyAlignment="1">
      <alignment horizontal="right"/>
    </xf>
    <xf numFmtId="0" fontId="4" fillId="3" borderId="9" xfId="0" applyFont="1" applyFill="1" applyBorder="1"/>
    <xf numFmtId="0" fontId="5"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4" fillId="3" borderId="1" xfId="0" applyFont="1" applyFill="1" applyBorder="1"/>
    <xf numFmtId="0" fontId="2" fillId="3" borderId="3" xfId="0" applyFont="1" applyFill="1" applyBorder="1"/>
    <xf numFmtId="0" fontId="4" fillId="5" borderId="12" xfId="0" applyFont="1" applyFill="1" applyBorder="1" applyAlignment="1">
      <alignment horizontal="center"/>
    </xf>
    <xf numFmtId="0" fontId="4" fillId="5" borderId="13" xfId="0" applyFont="1" applyFill="1" applyBorder="1" applyAlignment="1">
      <alignment horizontal="center"/>
    </xf>
    <xf numFmtId="0" fontId="5" fillId="5" borderId="13" xfId="0" applyFont="1" applyFill="1" applyBorder="1" applyAlignment="1">
      <alignment horizontal="center"/>
    </xf>
    <xf numFmtId="0" fontId="4" fillId="5" borderId="14" xfId="0" applyFont="1" applyFill="1" applyBorder="1" applyAlignment="1">
      <alignment horizontal="center"/>
    </xf>
    <xf numFmtId="0" fontId="6" fillId="0" borderId="0" xfId="1"/>
    <xf numFmtId="0" fontId="15" fillId="0" borderId="0" xfId="0" applyFont="1"/>
    <xf numFmtId="0" fontId="17" fillId="2" borderId="0" xfId="0" applyFont="1" applyFill="1" applyAlignment="1">
      <alignment horizontal="center" vertical="center"/>
    </xf>
    <xf numFmtId="10" fontId="15" fillId="0" borderId="0" xfId="2" applyNumberFormat="1" applyFont="1"/>
    <xf numFmtId="10" fontId="0" fillId="0" borderId="0" xfId="0" applyNumberFormat="1"/>
    <xf numFmtId="0" fontId="0" fillId="0" borderId="15" xfId="0" applyBorder="1"/>
    <xf numFmtId="0" fontId="18"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18" fillId="0" borderId="16" xfId="0" applyFont="1" applyBorder="1" applyAlignment="1">
      <alignment horizontal="left"/>
    </xf>
    <xf numFmtId="0" fontId="18"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1" fillId="10" borderId="4" xfId="0" applyFont="1" applyFill="1" applyBorder="1"/>
    <xf numFmtId="0" fontId="11" fillId="10" borderId="0" xfId="0" applyFont="1" applyFill="1"/>
    <xf numFmtId="0" fontId="11" fillId="10" borderId="5" xfId="0" applyFont="1" applyFill="1" applyBorder="1"/>
    <xf numFmtId="0" fontId="11" fillId="10" borderId="1" xfId="0" applyFont="1" applyFill="1" applyBorder="1"/>
    <xf numFmtId="0" fontId="11" fillId="10" borderId="2" xfId="0" applyFont="1" applyFill="1" applyBorder="1"/>
    <xf numFmtId="0" fontId="11" fillId="10" borderId="3" xfId="0" applyFont="1" applyFill="1" applyBorder="1"/>
    <xf numFmtId="0" fontId="10" fillId="10" borderId="4" xfId="0" applyFont="1" applyFill="1" applyBorder="1"/>
    <xf numFmtId="0" fontId="10" fillId="10" borderId="0" xfId="0" applyFont="1" applyFill="1" applyAlignment="1">
      <alignment horizontal="center"/>
    </xf>
    <xf numFmtId="0" fontId="11" fillId="10" borderId="0" xfId="0" applyFont="1" applyFill="1" applyAlignment="1">
      <alignment horizontal="center"/>
    </xf>
    <xf numFmtId="0" fontId="11" fillId="10" borderId="6" xfId="0" applyFont="1" applyFill="1" applyBorder="1"/>
    <xf numFmtId="0" fontId="11" fillId="10" borderId="7" xfId="0" applyFont="1" applyFill="1" applyBorder="1" applyAlignment="1">
      <alignment horizontal="center"/>
    </xf>
    <xf numFmtId="0" fontId="11" fillId="10" borderId="8" xfId="0" applyFont="1" applyFill="1" applyBorder="1"/>
    <xf numFmtId="0" fontId="11" fillId="10" borderId="7" xfId="0" applyFont="1" applyFill="1" applyBorder="1"/>
    <xf numFmtId="0" fontId="11" fillId="10" borderId="2" xfId="0" applyFont="1" applyFill="1" applyBorder="1" applyAlignment="1">
      <alignment horizontal="center"/>
    </xf>
    <xf numFmtId="0" fontId="10" fillId="10" borderId="4" xfId="0" applyFont="1" applyFill="1" applyBorder="1" applyAlignment="1">
      <alignment horizontal="right"/>
    </xf>
    <xf numFmtId="0" fontId="10" fillId="10" borderId="5" xfId="0" applyFont="1" applyFill="1" applyBorder="1" applyAlignment="1">
      <alignment horizontal="left"/>
    </xf>
    <xf numFmtId="0" fontId="11" fillId="10" borderId="5" xfId="0" applyFont="1" applyFill="1" applyBorder="1" applyAlignment="1">
      <alignment horizontal="left"/>
    </xf>
    <xf numFmtId="0" fontId="10" fillId="10" borderId="9" xfId="0" applyFont="1" applyFill="1" applyBorder="1" applyAlignment="1">
      <alignment horizontal="left"/>
    </xf>
    <xf numFmtId="0" fontId="10" fillId="10" borderId="10" xfId="0" applyFont="1" applyFill="1" applyBorder="1" applyAlignment="1">
      <alignment horizontal="center"/>
    </xf>
    <xf numFmtId="0" fontId="11" fillId="10" borderId="11" xfId="0" applyFont="1" applyFill="1" applyBorder="1"/>
    <xf numFmtId="0" fontId="11" fillId="10" borderId="9" xfId="0" applyFont="1" applyFill="1" applyBorder="1"/>
    <xf numFmtId="0" fontId="11" fillId="10" borderId="10" xfId="0" applyFont="1" applyFill="1" applyBorder="1"/>
    <xf numFmtId="0" fontId="17"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1" fillId="0" borderId="0" xfId="0" applyFont="1"/>
    <xf numFmtId="0" fontId="22" fillId="0" borderId="0" xfId="0" applyFont="1"/>
    <xf numFmtId="1" fontId="21" fillId="0" borderId="0" xfId="0" applyNumberFormat="1" applyFont="1"/>
    <xf numFmtId="166" fontId="21" fillId="0" borderId="0" xfId="0" applyNumberFormat="1" applyFont="1"/>
    <xf numFmtId="165" fontId="22" fillId="0" borderId="0" xfId="0" applyNumberFormat="1" applyFont="1"/>
    <xf numFmtId="165" fontId="21" fillId="0" borderId="0" xfId="0" applyNumberFormat="1" applyFont="1"/>
    <xf numFmtId="2" fontId="21" fillId="0" borderId="0" xfId="0" applyNumberFormat="1" applyFont="1"/>
    <xf numFmtId="10" fontId="21" fillId="0" borderId="0" xfId="0" applyNumberFormat="1" applyFont="1"/>
    <xf numFmtId="0" fontId="21" fillId="0" borderId="0" xfId="0" applyFont="1" applyAlignment="1">
      <alignment vertical="top" wrapText="1"/>
    </xf>
    <xf numFmtId="14" fontId="21" fillId="0" borderId="0" xfId="0" applyNumberFormat="1" applyFont="1" applyAlignment="1">
      <alignment horizontal="right"/>
    </xf>
    <xf numFmtId="0" fontId="21" fillId="0" borderId="0" xfId="0" applyFont="1" applyAlignment="1">
      <alignment horizontal="right"/>
    </xf>
    <xf numFmtId="14" fontId="24" fillId="0" borderId="0" xfId="0" applyNumberFormat="1" applyFont="1" applyAlignment="1">
      <alignment horizontal="right"/>
    </xf>
    <xf numFmtId="10" fontId="22"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5" fillId="5" borderId="12" xfId="0" applyFont="1" applyFill="1" applyBorder="1" applyAlignment="1">
      <alignment horizontal="right"/>
    </xf>
    <xf numFmtId="0" fontId="5" fillId="5" borderId="13" xfId="0" applyFont="1" applyFill="1" applyBorder="1" applyAlignment="1">
      <alignment horizontal="right"/>
    </xf>
    <xf numFmtId="0" fontId="5" fillId="5" borderId="14" xfId="0" applyFont="1" applyFill="1" applyBorder="1" applyAlignment="1">
      <alignment horizontal="right"/>
    </xf>
    <xf numFmtId="10" fontId="13" fillId="9" borderId="21" xfId="0" applyNumberFormat="1" applyFont="1" applyFill="1" applyBorder="1"/>
    <xf numFmtId="10" fontId="13" fillId="9" borderId="18" xfId="0" applyNumberFormat="1" applyFont="1" applyFill="1" applyBorder="1"/>
    <xf numFmtId="10" fontId="13" fillId="0" borderId="21" xfId="0" applyNumberFormat="1" applyFont="1" applyBorder="1"/>
    <xf numFmtId="0" fontId="20" fillId="10" borderId="1" xfId="1" applyFont="1" applyFill="1" applyBorder="1"/>
    <xf numFmtId="0" fontId="12" fillId="10" borderId="2" xfId="0" applyFont="1" applyFill="1" applyBorder="1"/>
    <xf numFmtId="0" fontId="20" fillId="10" borderId="4" xfId="1" applyFont="1" applyFill="1" applyBorder="1"/>
    <xf numFmtId="0" fontId="12" fillId="10" borderId="0" xfId="0" applyFont="1" applyFill="1"/>
    <xf numFmtId="0" fontId="20" fillId="10" borderId="6" xfId="1" applyFont="1" applyFill="1" applyBorder="1"/>
    <xf numFmtId="0" fontId="12" fillId="10" borderId="7" xfId="0" applyFont="1" applyFill="1" applyBorder="1"/>
    <xf numFmtId="0" fontId="10" fillId="10" borderId="6" xfId="0" applyFont="1" applyFill="1" applyBorder="1" applyAlignment="1">
      <alignment horizontal="left"/>
    </xf>
    <xf numFmtId="0" fontId="10" fillId="10" borderId="7" xfId="0" applyFont="1" applyFill="1" applyBorder="1" applyAlignment="1">
      <alignment horizontal="center"/>
    </xf>
    <xf numFmtId="0" fontId="20" fillId="10" borderId="9" xfId="1" applyFont="1" applyFill="1" applyBorder="1"/>
    <xf numFmtId="0" fontId="12" fillId="10" borderId="10" xfId="0" applyFont="1" applyFill="1" applyBorder="1"/>
    <xf numFmtId="0" fontId="5" fillId="11" borderId="1" xfId="0" applyFont="1" applyFill="1" applyBorder="1" applyAlignment="1">
      <alignment horizontal="left"/>
    </xf>
    <xf numFmtId="0" fontId="4" fillId="11" borderId="2" xfId="0" applyFont="1" applyFill="1" applyBorder="1" applyAlignment="1">
      <alignment horizontal="center"/>
    </xf>
    <xf numFmtId="0" fontId="5" fillId="11" borderId="4" xfId="0" applyFont="1" applyFill="1" applyBorder="1" applyAlignment="1">
      <alignment horizontal="left"/>
    </xf>
    <xf numFmtId="0" fontId="4" fillId="11" borderId="0" xfId="0" applyFont="1" applyFill="1" applyAlignment="1">
      <alignment horizontal="center"/>
    </xf>
    <xf numFmtId="10" fontId="2" fillId="9" borderId="17" xfId="0" applyNumberFormat="1" applyFont="1" applyFill="1" applyBorder="1" applyAlignment="1">
      <alignment horizontal="center" wrapText="1"/>
    </xf>
    <xf numFmtId="10" fontId="2" fillId="9" borderId="22" xfId="0" applyNumberFormat="1" applyFont="1" applyFill="1" applyBorder="1" applyAlignment="1">
      <alignment horizontal="center" wrapText="1"/>
    </xf>
    <xf numFmtId="0" fontId="0" fillId="0" borderId="0" xfId="0" applyAlignment="1">
      <alignment horizontal="left"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45398"/>
      <color rgb="FF124A88"/>
      <color rgb="FF1A6BC4"/>
      <color rgb="FF0033CC"/>
      <color rgb="FF99CCFF"/>
      <color rgb="FF66CCFF"/>
      <color rgb="FF3A58EE"/>
      <color rgb="FFFD6203"/>
      <color rgb="FF9900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Model!$T$85:$AR$85</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192</xdr:row>
      <xdr:rowOff>112057</xdr:rowOff>
    </xdr:from>
    <xdr:to>
      <xdr:col>15</xdr:col>
      <xdr:colOff>582707</xdr:colOff>
      <xdr:row>192</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185</xdr:row>
      <xdr:rowOff>112059</xdr:rowOff>
    </xdr:from>
    <xdr:to>
      <xdr:col>15</xdr:col>
      <xdr:colOff>571500</xdr:colOff>
      <xdr:row>185</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204</xdr:row>
      <xdr:rowOff>22412</xdr:rowOff>
    </xdr:from>
    <xdr:to>
      <xdr:col>6</xdr:col>
      <xdr:colOff>0</xdr:colOff>
      <xdr:row>217</xdr:row>
      <xdr:rowOff>156881</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37640559"/>
          <a:ext cx="2835090" cy="2487705"/>
        </a:xfrm>
        <a:prstGeom prst="rect">
          <a:avLst/>
        </a:prstGeom>
      </xdr:spPr>
    </xdr:pic>
    <xdr:clientData/>
  </xdr:twoCellAnchor>
  <xdr:twoCellAnchor editAs="oneCell">
    <xdr:from>
      <xdr:col>6</xdr:col>
      <xdr:colOff>11206</xdr:colOff>
      <xdr:row>204</xdr:row>
      <xdr:rowOff>11206</xdr:rowOff>
    </xdr:from>
    <xdr:to>
      <xdr:col>18</xdr:col>
      <xdr:colOff>616324</xdr:colOff>
      <xdr:row>214</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908177" y="37640559"/>
          <a:ext cx="7866529" cy="1792943"/>
        </a:xfrm>
        <a:prstGeom prst="rect">
          <a:avLst/>
        </a:prstGeom>
      </xdr:spPr>
    </xdr:pic>
    <xdr:clientData/>
  </xdr:twoCellAnchor>
  <xdr:twoCellAnchor>
    <xdr:from>
      <xdr:col>2</xdr:col>
      <xdr:colOff>257735</xdr:colOff>
      <xdr:row>27</xdr:row>
      <xdr:rowOff>100853</xdr:rowOff>
    </xdr:from>
    <xdr:to>
      <xdr:col>4</xdr:col>
      <xdr:colOff>168088</xdr:colOff>
      <xdr:row>27</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104</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98</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679029"/>
          <a:ext cx="8482854" cy="5983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39" dT="2025-05-11T05:59:26.41" personId="{598EBCF7-6202-498B-B8DD-217B370E0E02}" id="{F4C62901-2A8D-4AE7-98F5-C86C99A16FE0}">
    <text>FYE: $154M</text>
  </threadedComment>
  <threadedComment ref="BT39" dT="2025-05-11T05:59:41.30" personId="{598EBCF7-6202-498B-B8DD-217B370E0E02}" id="{3ABE8CFB-5C94-4172-B781-AAA052099CC6}">
    <text>FYE: $198M</text>
  </threadedComment>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hyperlink" Target="https://evtoday.com/" TargetMode="External"/><Relationship Id="rId18" Type="http://schemas.openxmlformats.org/officeDocument/2006/relationships/hyperlink" Target="https://seekingalpha.com/article/4777404-penumbra-inc-pen-q1-2025-earnings-call-transcript" TargetMode="External"/><Relationship Id="rId3" Type="http://schemas.openxmlformats.org/officeDocument/2006/relationships/hyperlink" Target="000%20Med-Devices%20Master%20List%20000.xlsx" TargetMode="External"/><Relationship Id="rId21" Type="http://schemas.openxmlformats.org/officeDocument/2006/relationships/hyperlink" Target="mailto:investors@penumbrainc.com"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17" Type="http://schemas.openxmlformats.org/officeDocument/2006/relationships/hyperlink" Target="https://ppubs.uspto.gov/pubwebapp/static/pages/ppubsbasic.html" TargetMode="External"/><Relationship Id="rId2" Type="http://schemas.openxmlformats.org/officeDocument/2006/relationships/hyperlink" Target="NARI_Model.xlsx" TargetMode="External"/><Relationship Id="rId16" Type="http://schemas.openxmlformats.org/officeDocument/2006/relationships/hyperlink" Target="https://www.fda.gov/medical-devices" TargetMode="External"/><Relationship Id="rId20" Type="http://schemas.openxmlformats.org/officeDocument/2006/relationships/hyperlink" Target="https://pubmed.ncbi.nlm.nih.gov/"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5" Type="http://schemas.openxmlformats.org/officeDocument/2006/relationships/hyperlink" Target="https://www.sec.gov/Archives/edgar/data/1321732/000114036125014193/ef20047412_ars.pdf" TargetMode="External"/><Relationship Id="rId10" Type="http://schemas.openxmlformats.org/officeDocument/2006/relationships/hyperlink" Target="MDT_Model.xlsx" TargetMode="External"/><Relationship Id="rId19" Type="http://schemas.openxmlformats.org/officeDocument/2006/relationships/hyperlink" Target="https://app.godelterminal.com/"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 Id="rId14" Type="http://schemas.openxmlformats.org/officeDocument/2006/relationships/hyperlink" Target="https://www.penumbrainc.com/about-us/leadership/"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hyperlink" Target="https://evtoday.com/news/penumbra-introduces-red-72-silver-label-large-bore-reperfusion-catheter?c4src=news-landing" TargetMode="External"/><Relationship Id="rId1" Type="http://schemas.openxmlformats.org/officeDocument/2006/relationships/hyperlink" Target="https://evtoday.com/news/penumbra-commences-stride-ii-of-lightning-bolt-cavt-to-treat-lower-extremity-ali?c4src=hom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5"/>
  <sheetViews>
    <sheetView topLeftCell="A172" zoomScale="85" zoomScaleNormal="85" workbookViewId="0">
      <selection activeCell="A2" sqref="A2"/>
    </sheetView>
  </sheetViews>
  <sheetFormatPr defaultColWidth="9.140625" defaultRowHeight="14.25"/>
  <cols>
    <col min="1" max="1" width="2.85546875" style="2" customWidth="1"/>
    <col min="2" max="2" width="26.570312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18" width="9.140625" style="2"/>
    <col min="19" max="19" width="11.42578125" style="2" customWidth="1"/>
    <col min="20" max="29" width="9.140625" style="2"/>
    <col min="30" max="30" width="8.5703125" style="2" customWidth="1"/>
    <col min="31" max="31" width="9.140625" style="2" customWidth="1"/>
    <col min="32" max="16384" width="9.140625" style="2"/>
  </cols>
  <sheetData>
    <row r="1" spans="1:80">
      <c r="A1" s="37" t="s">
        <v>514</v>
      </c>
      <c r="CB1" s="2" t="s">
        <v>330</v>
      </c>
    </row>
    <row r="2" spans="1:80" ht="15">
      <c r="A2" s="1" t="s">
        <v>323</v>
      </c>
      <c r="AK2" s="1" t="s">
        <v>344</v>
      </c>
      <c r="BU2" s="2" t="s">
        <v>345</v>
      </c>
    </row>
    <row r="4" spans="1:80" ht="15">
      <c r="B4" s="1" t="s">
        <v>4</v>
      </c>
      <c r="AK4" s="2" t="s">
        <v>355</v>
      </c>
    </row>
    <row r="5" spans="1:80">
      <c r="B5" s="2" t="s">
        <v>1</v>
      </c>
      <c r="C5" s="4">
        <v>297.91000000000003</v>
      </c>
      <c r="D5" s="3">
        <v>45771</v>
      </c>
    </row>
    <row r="6" spans="1:80">
      <c r="B6" s="2" t="s">
        <v>468</v>
      </c>
      <c r="C6" s="2">
        <v>38.561999999999998</v>
      </c>
      <c r="D6" s="2" t="s">
        <v>275</v>
      </c>
      <c r="AK6" s="2" t="s">
        <v>331</v>
      </c>
    </row>
    <row r="7" spans="1:80" ht="15">
      <c r="B7" s="2" t="s">
        <v>0</v>
      </c>
      <c r="C7" s="4">
        <f>C5*C6</f>
        <v>11488.00542</v>
      </c>
      <c r="AL7" s="2" t="s">
        <v>332</v>
      </c>
    </row>
    <row r="8" spans="1:80">
      <c r="B8" s="2" t="s">
        <v>1</v>
      </c>
      <c r="C8" s="4">
        <f>376.054+2.794</f>
        <v>378.84799999999996</v>
      </c>
      <c r="D8" s="2" t="s">
        <v>275</v>
      </c>
    </row>
    <row r="9" spans="1:80">
      <c r="B9" s="2" t="s">
        <v>2</v>
      </c>
      <c r="C9" s="4">
        <v>0</v>
      </c>
      <c r="D9" s="2" t="s">
        <v>275</v>
      </c>
      <c r="O9" s="2" t="s">
        <v>1661</v>
      </c>
      <c r="AK9" s="2" t="s">
        <v>602</v>
      </c>
    </row>
    <row r="10" spans="1:80">
      <c r="B10" s="2" t="s">
        <v>3</v>
      </c>
      <c r="C10" s="4">
        <f>C7-C8+C9</f>
        <v>11109.15742</v>
      </c>
      <c r="O10" s="2" t="s">
        <v>555</v>
      </c>
      <c r="R10" s="37" t="s">
        <v>594</v>
      </c>
    </row>
    <row r="11" spans="1:80">
      <c r="O11" s="2" t="s">
        <v>1704</v>
      </c>
      <c r="R11" s="37" t="s">
        <v>512</v>
      </c>
      <c r="AK11" s="2" t="s">
        <v>401</v>
      </c>
    </row>
    <row r="12" spans="1:80" ht="15">
      <c r="B12" s="1" t="s">
        <v>500</v>
      </c>
      <c r="O12" s="2" t="s">
        <v>1663</v>
      </c>
      <c r="Q12" s="36"/>
      <c r="R12" s="37" t="s">
        <v>620</v>
      </c>
    </row>
    <row r="13" spans="1:80">
      <c r="O13" s="2" t="s">
        <v>1707</v>
      </c>
      <c r="Q13" s="36"/>
      <c r="R13" s="37" t="s">
        <v>1705</v>
      </c>
      <c r="AK13" s="2" t="s">
        <v>354</v>
      </c>
    </row>
    <row r="14" spans="1:80" ht="15">
      <c r="A14" s="1" t="s">
        <v>5</v>
      </c>
      <c r="O14" s="2" t="s">
        <v>595</v>
      </c>
      <c r="R14" s="37" t="s">
        <v>1706</v>
      </c>
    </row>
    <row r="15" spans="1:80">
      <c r="B15" s="2" t="s">
        <v>6</v>
      </c>
      <c r="F15" s="2" t="s">
        <v>535</v>
      </c>
      <c r="O15" s="2" t="s">
        <v>597</v>
      </c>
      <c r="R15" s="37" t="s">
        <v>1709</v>
      </c>
      <c r="AA15" s="2" t="s">
        <v>1666</v>
      </c>
    </row>
    <row r="16" spans="1:80">
      <c r="B16" s="2" t="s">
        <v>7</v>
      </c>
      <c r="F16" s="2" t="s">
        <v>534</v>
      </c>
      <c r="O16" s="2" t="s">
        <v>1667</v>
      </c>
      <c r="R16" s="37" t="s">
        <v>1672</v>
      </c>
    </row>
    <row r="17" spans="2:18">
      <c r="B17" s="2" t="s">
        <v>786</v>
      </c>
      <c r="F17" s="2" t="s">
        <v>1710</v>
      </c>
      <c r="P17" s="2" t="s">
        <v>1665</v>
      </c>
      <c r="R17" s="37"/>
    </row>
    <row r="18" spans="2:18">
      <c r="B18" s="2" t="s">
        <v>8</v>
      </c>
      <c r="G18" s="2" t="s">
        <v>1711</v>
      </c>
      <c r="O18" s="2" t="s">
        <v>1708</v>
      </c>
      <c r="R18" s="37" t="s">
        <v>1664</v>
      </c>
    </row>
    <row r="19" spans="2:18">
      <c r="G19" s="2" t="s">
        <v>1712</v>
      </c>
      <c r="H19" s="2" t="s">
        <v>1713</v>
      </c>
      <c r="J19" s="2" t="s">
        <v>1714</v>
      </c>
      <c r="K19" s="37" t="s">
        <v>1715</v>
      </c>
      <c r="O19" s="2" t="s">
        <v>1662</v>
      </c>
      <c r="R19" s="37" t="s">
        <v>1660</v>
      </c>
    </row>
    <row r="20" spans="2:18" ht="15">
      <c r="B20" s="1"/>
    </row>
    <row r="21" spans="2:18" ht="15">
      <c r="B21" s="2" t="s">
        <v>324</v>
      </c>
    </row>
    <row r="22" spans="2:18">
      <c r="C22" s="2" t="s">
        <v>1695</v>
      </c>
    </row>
    <row r="23" spans="2:18" ht="15">
      <c r="B23" s="2" t="s">
        <v>343</v>
      </c>
    </row>
    <row r="24" spans="2:18" ht="15">
      <c r="C24" s="2" t="s">
        <v>325</v>
      </c>
    </row>
    <row r="25" spans="2:18" ht="15">
      <c r="C25" s="2" t="s">
        <v>326</v>
      </c>
    </row>
    <row r="26" spans="2:18" ht="15">
      <c r="C26" s="2" t="s">
        <v>327</v>
      </c>
    </row>
    <row r="27" spans="2:18" ht="15">
      <c r="C27" s="2" t="s">
        <v>328</v>
      </c>
    </row>
    <row r="28" spans="2:18" ht="15">
      <c r="C28" s="2" t="s">
        <v>1654</v>
      </c>
    </row>
    <row r="29" spans="2:18" ht="15">
      <c r="D29" s="2" t="s">
        <v>1655</v>
      </c>
    </row>
    <row r="30" spans="2:18">
      <c r="D30" s="2" t="s">
        <v>322</v>
      </c>
    </row>
    <row r="31" spans="2:18">
      <c r="B31" s="2" t="s">
        <v>329</v>
      </c>
    </row>
    <row r="32" spans="2:18">
      <c r="C32" s="2" t="s">
        <v>1673</v>
      </c>
    </row>
    <row r="33" spans="1:4">
      <c r="B33" s="2" t="s">
        <v>333</v>
      </c>
    </row>
    <row r="34" spans="1:4">
      <c r="C34" s="2" t="s">
        <v>337</v>
      </c>
    </row>
    <row r="35" spans="1:4" ht="15">
      <c r="C35" s="2" t="s">
        <v>336</v>
      </c>
    </row>
    <row r="36" spans="1:4">
      <c r="D36" s="2" t="s">
        <v>1674</v>
      </c>
    </row>
    <row r="37" spans="1:4">
      <c r="B37" s="2" t="s">
        <v>338</v>
      </c>
    </row>
    <row r="38" spans="1:4">
      <c r="C38" s="2" t="s">
        <v>1675</v>
      </c>
    </row>
    <row r="39" spans="1:4">
      <c r="C39" s="2" t="s">
        <v>339</v>
      </c>
    </row>
    <row r="41" spans="1:4" ht="15">
      <c r="A41" s="1" t="s">
        <v>340</v>
      </c>
    </row>
    <row r="42" spans="1:4">
      <c r="B42" s="2" t="s">
        <v>341</v>
      </c>
    </row>
    <row r="43" spans="1:4">
      <c r="C43" s="2" t="s">
        <v>342</v>
      </c>
    </row>
    <row r="44" spans="1:4" ht="15">
      <c r="B44" s="2" t="s">
        <v>377</v>
      </c>
    </row>
    <row r="45" spans="1:4" ht="15">
      <c r="C45" s="2" t="s">
        <v>378</v>
      </c>
    </row>
    <row r="46" spans="1:4" ht="15">
      <c r="C46" s="2" t="s">
        <v>379</v>
      </c>
    </row>
    <row r="47" spans="1:4" ht="15">
      <c r="B47" s="2" t="s">
        <v>380</v>
      </c>
    </row>
    <row r="48" spans="1:4" ht="15">
      <c r="C48" s="2" t="s">
        <v>381</v>
      </c>
    </row>
    <row r="49" spans="1:36">
      <c r="C49" s="2" t="s">
        <v>1676</v>
      </c>
    </row>
    <row r="51" spans="1:36" ht="15">
      <c r="A51" s="1" t="s">
        <v>346</v>
      </c>
    </row>
    <row r="52" spans="1:36" ht="15">
      <c r="B52" s="2" t="s">
        <v>755</v>
      </c>
    </row>
    <row r="53" spans="1:36">
      <c r="C53" s="2" t="s">
        <v>1668</v>
      </c>
    </row>
    <row r="54" spans="1:36">
      <c r="C54" s="2" t="s">
        <v>348</v>
      </c>
    </row>
    <row r="55" spans="1:36">
      <c r="C55" s="2" t="s">
        <v>347</v>
      </c>
    </row>
    <row r="56" spans="1:36">
      <c r="B56" s="2" t="s">
        <v>572</v>
      </c>
    </row>
    <row r="58" spans="1:36" ht="15">
      <c r="B58" s="20"/>
      <c r="C58" s="53" t="s">
        <v>507</v>
      </c>
      <c r="E58" s="1" t="s">
        <v>402</v>
      </c>
      <c r="I58" s="2" t="s">
        <v>352</v>
      </c>
    </row>
    <row r="59" spans="1:36" ht="15">
      <c r="B59" s="136" t="s">
        <v>363</v>
      </c>
      <c r="C59" s="133" t="s">
        <v>730</v>
      </c>
      <c r="J59" s="2" t="s">
        <v>353</v>
      </c>
    </row>
    <row r="60" spans="1:36" ht="15">
      <c r="B60" s="137" t="s">
        <v>454</v>
      </c>
      <c r="C60" s="134" t="s">
        <v>731</v>
      </c>
      <c r="J60" s="2" t="s">
        <v>386</v>
      </c>
    </row>
    <row r="61" spans="1:36" ht="15">
      <c r="B61" s="138" t="s">
        <v>739</v>
      </c>
      <c r="C61" s="135" t="s">
        <v>365</v>
      </c>
      <c r="J61" s="2" t="s">
        <v>362</v>
      </c>
    </row>
    <row r="62" spans="1:36">
      <c r="AI62" s="8"/>
      <c r="AJ62" s="8"/>
    </row>
    <row r="63" spans="1:36" ht="15">
      <c r="B63" s="20"/>
      <c r="C63" s="53" t="s">
        <v>507</v>
      </c>
      <c r="E63" s="10" t="s">
        <v>349</v>
      </c>
      <c r="I63" s="2" t="s">
        <v>366</v>
      </c>
    </row>
    <row r="64" spans="1:36" ht="15">
      <c r="B64" s="136" t="s">
        <v>445</v>
      </c>
      <c r="C64" s="133" t="s">
        <v>730</v>
      </c>
      <c r="E64" s="9"/>
      <c r="J64" s="2" t="s">
        <v>385</v>
      </c>
    </row>
    <row r="65" spans="2:12" ht="15">
      <c r="B65" s="137" t="s">
        <v>453</v>
      </c>
      <c r="C65" s="134" t="s">
        <v>443</v>
      </c>
      <c r="E65" s="9"/>
      <c r="J65" s="2" t="s">
        <v>382</v>
      </c>
    </row>
    <row r="66" spans="2:12" ht="15">
      <c r="B66" s="138" t="s">
        <v>738</v>
      </c>
      <c r="C66" s="135" t="s">
        <v>444</v>
      </c>
      <c r="E66" s="9"/>
      <c r="L66" s="2" t="s">
        <v>384</v>
      </c>
    </row>
    <row r="67" spans="2:12">
      <c r="E67" s="9"/>
      <c r="J67" s="2" t="s">
        <v>383</v>
      </c>
    </row>
    <row r="68" spans="2:12">
      <c r="E68" s="9"/>
    </row>
    <row r="69" spans="2:12" ht="15">
      <c r="B69" s="21"/>
      <c r="C69" s="53" t="s">
        <v>507</v>
      </c>
      <c r="E69" s="10" t="s">
        <v>350</v>
      </c>
      <c r="I69" s="2" t="s">
        <v>367</v>
      </c>
    </row>
    <row r="70" spans="2:12" ht="15">
      <c r="B70" s="136" t="s">
        <v>449</v>
      </c>
      <c r="C70" s="133" t="s">
        <v>732</v>
      </c>
      <c r="E70" s="10"/>
      <c r="J70" s="2" t="s">
        <v>368</v>
      </c>
    </row>
    <row r="71" spans="2:12" ht="15">
      <c r="B71" s="137" t="s">
        <v>452</v>
      </c>
      <c r="C71" s="134" t="s">
        <v>447</v>
      </c>
      <c r="E71" s="10"/>
      <c r="J71" s="2" t="s">
        <v>446</v>
      </c>
    </row>
    <row r="72" spans="2:12" ht="15">
      <c r="B72" s="138" t="s">
        <v>737</v>
      </c>
      <c r="C72" s="135" t="s">
        <v>448</v>
      </c>
      <c r="E72" s="10"/>
      <c r="I72" s="22"/>
      <c r="J72" s="2" t="s">
        <v>369</v>
      </c>
    </row>
    <row r="73" spans="2:12" ht="15">
      <c r="E73" s="10"/>
      <c r="I73" s="22"/>
      <c r="J73" s="22"/>
    </row>
    <row r="74" spans="2:12" ht="15">
      <c r="B74" s="21"/>
      <c r="C74" s="53" t="s">
        <v>507</v>
      </c>
      <c r="E74" s="10" t="s">
        <v>351</v>
      </c>
      <c r="I74" s="2" t="s">
        <v>370</v>
      </c>
    </row>
    <row r="75" spans="2:12" ht="15">
      <c r="B75" s="136" t="s">
        <v>450</v>
      </c>
      <c r="C75" s="133" t="s">
        <v>733</v>
      </c>
      <c r="E75" s="10"/>
      <c r="J75" s="2" t="s">
        <v>371</v>
      </c>
    </row>
    <row r="76" spans="2:12" ht="15">
      <c r="B76" s="137" t="s">
        <v>451</v>
      </c>
      <c r="C76" s="134" t="s">
        <v>501</v>
      </c>
      <c r="E76" s="10"/>
      <c r="J76" s="2" t="s">
        <v>373</v>
      </c>
    </row>
    <row r="77" spans="2:12" ht="15">
      <c r="B77" s="138" t="s">
        <v>736</v>
      </c>
      <c r="C77" s="135" t="s">
        <v>502</v>
      </c>
      <c r="E77" s="10"/>
      <c r="J77" s="2" t="s">
        <v>372</v>
      </c>
    </row>
    <row r="78" spans="2:12" ht="15">
      <c r="E78" s="10"/>
      <c r="L78" s="2" t="s">
        <v>1677</v>
      </c>
    </row>
    <row r="79" spans="2:12" ht="15">
      <c r="E79" s="10"/>
      <c r="J79" s="2" t="s">
        <v>1678</v>
      </c>
    </row>
    <row r="80" spans="2:12" ht="15">
      <c r="E80" s="10"/>
    </row>
    <row r="81" spans="1:12" ht="15">
      <c r="B81" s="21"/>
      <c r="C81" s="53" t="s">
        <v>507</v>
      </c>
      <c r="E81" s="10" t="s">
        <v>510</v>
      </c>
      <c r="I81" s="2" t="s">
        <v>374</v>
      </c>
    </row>
    <row r="82" spans="1:12" ht="15">
      <c r="B82" s="51" t="s">
        <v>505</v>
      </c>
      <c r="C82" s="133" t="s">
        <v>734</v>
      </c>
      <c r="E82" s="10"/>
      <c r="J82" s="2" t="s">
        <v>387</v>
      </c>
    </row>
    <row r="83" spans="1:12" ht="15">
      <c r="B83" s="51" t="s">
        <v>506</v>
      </c>
      <c r="C83" s="134" t="s">
        <v>503</v>
      </c>
      <c r="E83" s="10"/>
      <c r="I83" s="2" t="s">
        <v>388</v>
      </c>
    </row>
    <row r="84" spans="1:12" ht="15">
      <c r="B84" s="52" t="s">
        <v>735</v>
      </c>
      <c r="C84" s="135" t="s">
        <v>504</v>
      </c>
      <c r="E84" s="10"/>
      <c r="I84" s="2" t="s">
        <v>389</v>
      </c>
    </row>
    <row r="85" spans="1:12" ht="15">
      <c r="E85" s="10"/>
      <c r="J85" s="2" t="s">
        <v>390</v>
      </c>
    </row>
    <row r="86" spans="1:12" ht="15">
      <c r="E86" s="10"/>
      <c r="I86" s="2" t="s">
        <v>1679</v>
      </c>
    </row>
    <row r="87" spans="1:12" ht="15">
      <c r="E87" s="10"/>
      <c r="J87" s="22"/>
      <c r="L87" s="22"/>
    </row>
    <row r="88" spans="1:12" ht="15">
      <c r="E88" s="10" t="s">
        <v>364</v>
      </c>
      <c r="I88" s="2" t="s">
        <v>375</v>
      </c>
    </row>
    <row r="89" spans="1:12">
      <c r="J89" s="2" t="s">
        <v>376</v>
      </c>
    </row>
    <row r="90" spans="1:12" ht="15">
      <c r="A90" s="1" t="s">
        <v>356</v>
      </c>
    </row>
    <row r="91" spans="1:12">
      <c r="B91" s="2" t="s">
        <v>1680</v>
      </c>
    </row>
    <row r="93" spans="1:12" ht="15">
      <c r="C93" s="1" t="s">
        <v>357</v>
      </c>
      <c r="G93" s="2" t="s">
        <v>1681</v>
      </c>
    </row>
    <row r="94" spans="1:12">
      <c r="G94" s="2" t="s">
        <v>391</v>
      </c>
    </row>
    <row r="95" spans="1:12">
      <c r="H95" s="2" t="s">
        <v>392</v>
      </c>
    </row>
    <row r="96" spans="1:12">
      <c r="G96" s="2" t="s">
        <v>393</v>
      </c>
    </row>
    <row r="98" spans="1:8" ht="15">
      <c r="C98" s="1" t="s">
        <v>358</v>
      </c>
      <c r="G98" s="2" t="s">
        <v>395</v>
      </c>
    </row>
    <row r="99" spans="1:8" ht="15">
      <c r="C99" s="1"/>
      <c r="H99" s="2" t="s">
        <v>394</v>
      </c>
    </row>
    <row r="100" spans="1:8" ht="15">
      <c r="C100" s="1"/>
      <c r="H100" s="2" t="s">
        <v>396</v>
      </c>
    </row>
    <row r="101" spans="1:8" ht="15">
      <c r="C101" s="1"/>
      <c r="H101" s="2" t="s">
        <v>397</v>
      </c>
    </row>
    <row r="102" spans="1:8" ht="15">
      <c r="C102" s="1"/>
      <c r="H102" s="2" t="s">
        <v>398</v>
      </c>
    </row>
    <row r="103" spans="1:8" ht="15">
      <c r="C103" s="1"/>
      <c r="G103" s="22"/>
      <c r="H103" s="22"/>
    </row>
    <row r="104" spans="1:8" ht="15">
      <c r="B104" s="2" t="s">
        <v>604</v>
      </c>
    </row>
    <row r="105" spans="1:8">
      <c r="C105" s="2" t="s">
        <v>359</v>
      </c>
    </row>
    <row r="106" spans="1:8">
      <c r="C106" s="2" t="s">
        <v>360</v>
      </c>
    </row>
    <row r="107" spans="1:8">
      <c r="D107" s="2" t="s">
        <v>605</v>
      </c>
    </row>
    <row r="108" spans="1:8">
      <c r="C108" s="2" t="s">
        <v>361</v>
      </c>
    </row>
    <row r="110" spans="1:8" ht="15">
      <c r="B110" s="2" t="s">
        <v>606</v>
      </c>
    </row>
    <row r="112" spans="1:8" ht="15">
      <c r="A112" s="1" t="s">
        <v>399</v>
      </c>
    </row>
    <row r="113" spans="2:11" ht="15">
      <c r="B113" s="54"/>
      <c r="C113" s="55" t="s">
        <v>400</v>
      </c>
      <c r="D113" s="18"/>
      <c r="E113" s="19"/>
      <c r="F113" s="54"/>
      <c r="G113" s="18"/>
      <c r="H113" s="21" t="s">
        <v>403</v>
      </c>
      <c r="I113" s="18"/>
      <c r="J113" s="18"/>
      <c r="K113" s="56"/>
    </row>
    <row r="114" spans="2:11">
      <c r="B114" s="26"/>
      <c r="C114" s="80"/>
      <c r="D114" s="81"/>
      <c r="E114" s="82"/>
      <c r="F114" s="83" t="s">
        <v>404</v>
      </c>
      <c r="G114" s="84"/>
      <c r="H114" s="84"/>
      <c r="I114" s="84"/>
      <c r="J114" s="84"/>
      <c r="K114" s="85"/>
    </row>
    <row r="115" spans="2:11" ht="15">
      <c r="B115" s="26"/>
      <c r="C115" s="86"/>
      <c r="D115" s="87" t="s">
        <v>431</v>
      </c>
      <c r="E115" s="82"/>
      <c r="F115" s="80" t="s">
        <v>405</v>
      </c>
      <c r="G115" s="81"/>
      <c r="H115" s="81"/>
      <c r="I115" s="81"/>
      <c r="J115" s="81"/>
      <c r="K115" s="82"/>
    </row>
    <row r="116" spans="2:11">
      <c r="B116" s="26"/>
      <c r="C116" s="80"/>
      <c r="D116" s="88"/>
      <c r="E116" s="82"/>
      <c r="F116" s="80" t="s">
        <v>406</v>
      </c>
      <c r="G116" s="81"/>
      <c r="H116" s="81"/>
      <c r="I116" s="81"/>
      <c r="J116" s="81"/>
      <c r="K116" s="82"/>
    </row>
    <row r="117" spans="2:11" ht="15">
      <c r="B117" s="27" t="s">
        <v>278</v>
      </c>
      <c r="C117" s="89"/>
      <c r="D117" s="90"/>
      <c r="E117" s="91"/>
      <c r="F117" s="89" t="s">
        <v>407</v>
      </c>
      <c r="G117" s="92"/>
      <c r="H117" s="92"/>
      <c r="I117" s="92"/>
      <c r="J117" s="92"/>
      <c r="K117" s="91"/>
    </row>
    <row r="118" spans="2:11">
      <c r="B118" s="26"/>
      <c r="C118" s="83"/>
      <c r="D118" s="93"/>
      <c r="E118" s="85"/>
      <c r="F118" s="83" t="s">
        <v>408</v>
      </c>
      <c r="G118" s="84"/>
      <c r="H118" s="84"/>
      <c r="I118" s="84"/>
      <c r="J118" s="84"/>
      <c r="K118" s="85"/>
    </row>
    <row r="119" spans="2:11" ht="15">
      <c r="B119" s="26"/>
      <c r="C119" s="86"/>
      <c r="D119" s="87" t="s">
        <v>432</v>
      </c>
      <c r="E119" s="82"/>
      <c r="F119" s="80" t="s">
        <v>409</v>
      </c>
      <c r="G119" s="81"/>
      <c r="H119" s="81"/>
      <c r="I119" s="81"/>
      <c r="J119" s="81"/>
      <c r="K119" s="82"/>
    </row>
    <row r="120" spans="2:11">
      <c r="B120" s="26"/>
      <c r="C120" s="80"/>
      <c r="D120" s="88"/>
      <c r="E120" s="82"/>
      <c r="F120" s="80" t="s">
        <v>410</v>
      </c>
      <c r="G120" s="81"/>
      <c r="H120" s="81"/>
      <c r="I120" s="81"/>
      <c r="J120" s="81"/>
      <c r="K120" s="82"/>
    </row>
    <row r="121" spans="2:11">
      <c r="B121" s="26"/>
      <c r="C121" s="89"/>
      <c r="D121" s="90"/>
      <c r="E121" s="91"/>
      <c r="F121" s="89" t="s">
        <v>411</v>
      </c>
      <c r="G121" s="92"/>
      <c r="H121" s="92"/>
      <c r="I121" s="92"/>
      <c r="J121" s="92"/>
      <c r="K121" s="91"/>
    </row>
    <row r="122" spans="2:11">
      <c r="B122" s="62"/>
      <c r="C122" s="83"/>
      <c r="D122" s="93"/>
      <c r="E122" s="85"/>
      <c r="F122" s="83" t="s">
        <v>412</v>
      </c>
      <c r="G122" s="84"/>
      <c r="H122" s="84"/>
      <c r="I122" s="84"/>
      <c r="J122" s="84"/>
      <c r="K122" s="85"/>
    </row>
    <row r="123" spans="2:11">
      <c r="B123" s="63"/>
      <c r="C123" s="80"/>
      <c r="D123" s="88"/>
      <c r="E123" s="82"/>
      <c r="F123" s="80" t="s">
        <v>413</v>
      </c>
      <c r="G123" s="81"/>
      <c r="H123" s="81"/>
      <c r="I123" s="81"/>
      <c r="J123" s="81"/>
      <c r="K123" s="82"/>
    </row>
    <row r="124" spans="2:11" ht="15">
      <c r="B124" s="63"/>
      <c r="C124" s="94"/>
      <c r="D124" s="87" t="s">
        <v>433</v>
      </c>
      <c r="E124" s="95"/>
      <c r="F124" s="80" t="s">
        <v>414</v>
      </c>
      <c r="G124" s="81"/>
      <c r="H124" s="81"/>
      <c r="I124" s="81"/>
      <c r="J124" s="81"/>
      <c r="K124" s="82"/>
    </row>
    <row r="125" spans="2:11" ht="15">
      <c r="B125" s="63"/>
      <c r="C125" s="94"/>
      <c r="D125" s="87" t="s">
        <v>434</v>
      </c>
      <c r="E125" s="95"/>
      <c r="F125" s="80" t="s">
        <v>415</v>
      </c>
      <c r="G125" s="81"/>
      <c r="H125" s="81"/>
      <c r="I125" s="81"/>
      <c r="J125" s="81"/>
      <c r="K125" s="82"/>
    </row>
    <row r="126" spans="2:11">
      <c r="B126" s="63"/>
      <c r="C126" s="80"/>
      <c r="D126" s="88"/>
      <c r="E126" s="96"/>
      <c r="F126" s="80" t="s">
        <v>416</v>
      </c>
      <c r="G126" s="81"/>
      <c r="H126" s="81"/>
      <c r="I126" s="81"/>
      <c r="J126" s="81"/>
      <c r="K126" s="82"/>
    </row>
    <row r="127" spans="2:11">
      <c r="B127" s="63"/>
      <c r="C127" s="89"/>
      <c r="D127" s="90"/>
      <c r="E127" s="91"/>
      <c r="F127" s="89" t="s">
        <v>417</v>
      </c>
      <c r="G127" s="92"/>
      <c r="H127" s="92"/>
      <c r="I127" s="92"/>
      <c r="J127" s="92"/>
      <c r="K127" s="91"/>
    </row>
    <row r="128" spans="2:11">
      <c r="B128" s="63"/>
      <c r="C128" s="83"/>
      <c r="D128" s="93"/>
      <c r="E128" s="85"/>
      <c r="F128" s="83" t="s">
        <v>418</v>
      </c>
      <c r="G128" s="84"/>
      <c r="H128" s="84"/>
      <c r="I128" s="84"/>
      <c r="J128" s="84"/>
      <c r="K128" s="85"/>
    </row>
    <row r="129" spans="1:11" ht="15">
      <c r="B129" s="63"/>
      <c r="C129" s="86"/>
      <c r="D129" s="87" t="s">
        <v>432</v>
      </c>
      <c r="E129" s="82"/>
      <c r="F129" s="80" t="s">
        <v>419</v>
      </c>
      <c r="G129" s="81"/>
      <c r="H129" s="81"/>
      <c r="I129" s="81"/>
      <c r="J129" s="81"/>
      <c r="K129" s="82"/>
    </row>
    <row r="130" spans="1:11" ht="15">
      <c r="B130" s="64" t="s">
        <v>469</v>
      </c>
      <c r="C130" s="86"/>
      <c r="D130" s="87" t="s">
        <v>434</v>
      </c>
      <c r="E130" s="82"/>
      <c r="F130" s="80" t="s">
        <v>420</v>
      </c>
      <c r="G130" s="81"/>
      <c r="H130" s="81"/>
      <c r="I130" s="81"/>
      <c r="J130" s="81"/>
      <c r="K130" s="82"/>
    </row>
    <row r="131" spans="1:11" ht="15">
      <c r="B131" s="64" t="s">
        <v>470</v>
      </c>
      <c r="C131" s="80"/>
      <c r="D131" s="88"/>
      <c r="E131" s="82"/>
      <c r="F131" s="80" t="s">
        <v>421</v>
      </c>
      <c r="G131" s="81"/>
      <c r="H131" s="81"/>
      <c r="I131" s="81"/>
      <c r="J131" s="81"/>
      <c r="K131" s="82"/>
    </row>
    <row r="132" spans="1:11">
      <c r="B132" s="63"/>
      <c r="C132" s="89"/>
      <c r="D132" s="90"/>
      <c r="E132" s="91"/>
      <c r="F132" s="89" t="s">
        <v>422</v>
      </c>
      <c r="G132" s="92"/>
      <c r="H132" s="92"/>
      <c r="I132" s="92"/>
      <c r="J132" s="92"/>
      <c r="K132" s="91"/>
    </row>
    <row r="133" spans="1:11">
      <c r="B133" s="63"/>
      <c r="C133" s="83"/>
      <c r="D133" s="93"/>
      <c r="E133" s="85"/>
      <c r="F133" s="83" t="s">
        <v>423</v>
      </c>
      <c r="G133" s="84"/>
      <c r="H133" s="84"/>
      <c r="I133" s="84"/>
      <c r="J133" s="84"/>
      <c r="K133" s="85"/>
    </row>
    <row r="134" spans="1:11">
      <c r="B134" s="63"/>
      <c r="C134" s="80"/>
      <c r="D134" s="88"/>
      <c r="E134" s="82"/>
      <c r="F134" s="80" t="s">
        <v>424</v>
      </c>
      <c r="G134" s="81"/>
      <c r="H134" s="81"/>
      <c r="I134" s="81"/>
      <c r="J134" s="81"/>
      <c r="K134" s="82"/>
    </row>
    <row r="135" spans="1:11">
      <c r="B135" s="63"/>
      <c r="C135" s="80"/>
      <c r="D135" s="88"/>
      <c r="E135" s="82"/>
      <c r="F135" s="80" t="s">
        <v>425</v>
      </c>
      <c r="G135" s="81"/>
      <c r="H135" s="81"/>
      <c r="I135" s="81"/>
      <c r="J135" s="81"/>
      <c r="K135" s="82"/>
    </row>
    <row r="136" spans="1:11" ht="15">
      <c r="B136" s="63"/>
      <c r="C136" s="86"/>
      <c r="D136" s="87" t="s">
        <v>435</v>
      </c>
      <c r="E136" s="82"/>
      <c r="F136" s="80" t="s">
        <v>426</v>
      </c>
      <c r="G136" s="81"/>
      <c r="H136" s="81"/>
      <c r="I136" s="81"/>
      <c r="J136" s="81"/>
      <c r="K136" s="82"/>
    </row>
    <row r="137" spans="1:11">
      <c r="B137" s="63"/>
      <c r="C137" s="80"/>
      <c r="D137" s="88"/>
      <c r="E137" s="82"/>
      <c r="F137" s="80" t="s">
        <v>427</v>
      </c>
      <c r="G137" s="81"/>
      <c r="H137" s="81"/>
      <c r="I137" s="81"/>
      <c r="J137" s="81"/>
      <c r="K137" s="82"/>
    </row>
    <row r="138" spans="1:11">
      <c r="B138" s="63"/>
      <c r="C138" s="80"/>
      <c r="D138" s="88"/>
      <c r="E138" s="82"/>
      <c r="F138" s="80" t="s">
        <v>428</v>
      </c>
      <c r="G138" s="81"/>
      <c r="H138" s="81"/>
      <c r="I138" s="81"/>
      <c r="J138" s="81"/>
      <c r="K138" s="82"/>
    </row>
    <row r="139" spans="1:11">
      <c r="B139" s="63"/>
      <c r="C139" s="89"/>
      <c r="D139" s="90"/>
      <c r="E139" s="91"/>
      <c r="F139" s="89" t="s">
        <v>429</v>
      </c>
      <c r="G139" s="92"/>
      <c r="H139" s="92"/>
      <c r="I139" s="92"/>
      <c r="J139" s="92"/>
      <c r="K139" s="91"/>
    </row>
    <row r="140" spans="1:11" ht="15">
      <c r="B140" s="65"/>
      <c r="C140" s="97"/>
      <c r="D140" s="98" t="s">
        <v>436</v>
      </c>
      <c r="E140" s="99"/>
      <c r="F140" s="100" t="s">
        <v>430</v>
      </c>
      <c r="G140" s="101"/>
      <c r="H140" s="101"/>
      <c r="I140" s="101"/>
      <c r="J140" s="101"/>
      <c r="K140" s="99"/>
    </row>
    <row r="141" spans="1:11">
      <c r="B141" s="2" t="s">
        <v>437</v>
      </c>
    </row>
    <row r="142" spans="1:11">
      <c r="C142" s="37" t="s">
        <v>1672</v>
      </c>
    </row>
    <row r="143" spans="1:11">
      <c r="C143" s="36"/>
    </row>
    <row r="144" spans="1:11" ht="15">
      <c r="A144" s="1" t="s">
        <v>438</v>
      </c>
      <c r="C144" s="36"/>
    </row>
    <row r="145" spans="1:3">
      <c r="B145" s="2" t="s">
        <v>607</v>
      </c>
    </row>
    <row r="146" spans="1:3">
      <c r="C146" s="2" t="s">
        <v>573</v>
      </c>
    </row>
    <row r="147" spans="1:3">
      <c r="B147" s="2" t="s">
        <v>563</v>
      </c>
    </row>
    <row r="148" spans="1:3">
      <c r="C148" s="2" t="s">
        <v>574</v>
      </c>
    </row>
    <row r="149" spans="1:3" ht="15">
      <c r="B149" s="1" t="s">
        <v>536</v>
      </c>
    </row>
    <row r="151" spans="1:3" ht="15">
      <c r="A151" s="1" t="s">
        <v>439</v>
      </c>
    </row>
    <row r="152" spans="1:3" ht="15">
      <c r="B152" s="1" t="s">
        <v>564</v>
      </c>
    </row>
    <row r="153" spans="1:3">
      <c r="B153" s="2" t="s">
        <v>575</v>
      </c>
    </row>
    <row r="154" spans="1:3">
      <c r="C154" s="2" t="s">
        <v>576</v>
      </c>
    </row>
    <row r="155" spans="1:3">
      <c r="C155" s="2" t="s">
        <v>577</v>
      </c>
    </row>
    <row r="156" spans="1:3">
      <c r="C156" s="2" t="s">
        <v>578</v>
      </c>
    </row>
    <row r="157" spans="1:3">
      <c r="C157" s="2" t="s">
        <v>579</v>
      </c>
    </row>
    <row r="158" spans="1:3">
      <c r="B158" s="2" t="s">
        <v>598</v>
      </c>
    </row>
    <row r="160" spans="1:3" ht="15">
      <c r="A160" s="1" t="s">
        <v>440</v>
      </c>
    </row>
    <row r="161" spans="2:3" ht="15">
      <c r="B161" s="1" t="s">
        <v>482</v>
      </c>
    </row>
    <row r="162" spans="2:3">
      <c r="C162" s="2" t="s">
        <v>580</v>
      </c>
    </row>
    <row r="163" spans="2:3" ht="15">
      <c r="B163" s="1" t="s">
        <v>481</v>
      </c>
    </row>
    <row r="164" spans="2:3">
      <c r="C164" s="2" t="s">
        <v>1669</v>
      </c>
    </row>
    <row r="165" spans="2:3">
      <c r="B165" s="23"/>
      <c r="C165" s="2" t="s">
        <v>1670</v>
      </c>
    </row>
    <row r="166" spans="2:3">
      <c r="B166" s="2" t="s">
        <v>480</v>
      </c>
    </row>
    <row r="167" spans="2:3" ht="15">
      <c r="C167" s="2" t="s">
        <v>455</v>
      </c>
    </row>
    <row r="168" spans="2:3" ht="15">
      <c r="C168" s="1" t="s">
        <v>596</v>
      </c>
    </row>
    <row r="169" spans="2:3">
      <c r="B169" s="2" t="s">
        <v>479</v>
      </c>
    </row>
    <row r="170" spans="2:3">
      <c r="C170" s="2" t="s">
        <v>775</v>
      </c>
    </row>
    <row r="171" spans="2:3">
      <c r="B171" s="2" t="s">
        <v>1682</v>
      </c>
    </row>
    <row r="172" spans="2:3">
      <c r="C172" s="2" t="s">
        <v>741</v>
      </c>
    </row>
    <row r="173" spans="2:3">
      <c r="B173" s="2" t="s">
        <v>1683</v>
      </c>
    </row>
    <row r="174" spans="2:3">
      <c r="C174" s="2" t="s">
        <v>1671</v>
      </c>
    </row>
    <row r="175" spans="2:3" ht="15">
      <c r="B175" s="2" t="s">
        <v>581</v>
      </c>
    </row>
    <row r="177" spans="1:19" ht="15">
      <c r="A177" s="1" t="s">
        <v>456</v>
      </c>
    </row>
    <row r="178" spans="1:19" ht="15">
      <c r="B178" s="1" t="s">
        <v>457</v>
      </c>
    </row>
    <row r="179" spans="1:19">
      <c r="C179" s="2" t="s">
        <v>582</v>
      </c>
    </row>
    <row r="180" spans="1:19">
      <c r="B180" s="2" t="s">
        <v>565</v>
      </c>
    </row>
    <row r="181" spans="1:19">
      <c r="C181" s="22"/>
    </row>
    <row r="182" spans="1:19" ht="15">
      <c r="B182" s="45" t="s">
        <v>464</v>
      </c>
      <c r="C182" s="50" t="s">
        <v>463</v>
      </c>
      <c r="D182" s="50" t="s">
        <v>726</v>
      </c>
      <c r="E182" s="50"/>
      <c r="F182" s="49"/>
      <c r="G182" s="49"/>
      <c r="H182" s="45"/>
      <c r="I182" s="49"/>
      <c r="J182" s="49"/>
      <c r="K182" s="49"/>
      <c r="L182" s="49"/>
      <c r="M182" s="49"/>
      <c r="N182" s="45"/>
      <c r="O182" s="45"/>
      <c r="P182" s="45"/>
      <c r="R182" s="2" t="s">
        <v>1684</v>
      </c>
    </row>
    <row r="183" spans="1:19" ht="15">
      <c r="B183" s="32" t="s">
        <v>708</v>
      </c>
      <c r="C183" s="140" t="s">
        <v>709</v>
      </c>
      <c r="D183" s="104"/>
      <c r="E183" s="104"/>
      <c r="F183" s="104"/>
      <c r="G183" s="104"/>
      <c r="H183" s="104"/>
      <c r="I183" s="104"/>
      <c r="J183" s="104"/>
      <c r="K183" s="104"/>
      <c r="L183" s="104"/>
      <c r="M183" s="104"/>
      <c r="N183" s="104"/>
      <c r="O183" s="104"/>
      <c r="P183" s="105"/>
      <c r="S183" s="2" t="s">
        <v>599</v>
      </c>
    </row>
    <row r="184" spans="1:19" ht="15">
      <c r="B184" s="34" t="s">
        <v>710</v>
      </c>
      <c r="C184" s="106" t="s">
        <v>711</v>
      </c>
      <c r="D184" s="79"/>
      <c r="E184" s="79"/>
      <c r="F184" s="79"/>
      <c r="G184" s="79"/>
      <c r="H184" s="79"/>
      <c r="I184" s="79"/>
      <c r="J184" s="79"/>
      <c r="K184" s="79"/>
      <c r="L184" s="79"/>
      <c r="M184" s="79"/>
      <c r="N184" s="79"/>
      <c r="O184" s="79"/>
      <c r="P184" s="107"/>
      <c r="R184" s="2" t="s">
        <v>583</v>
      </c>
    </row>
    <row r="185" spans="1:19" ht="15">
      <c r="B185" s="34" t="s">
        <v>458</v>
      </c>
      <c r="C185" s="139" t="s">
        <v>465</v>
      </c>
      <c r="D185" s="78"/>
      <c r="E185" s="78"/>
      <c r="F185" s="78"/>
      <c r="G185" s="78"/>
      <c r="H185" s="78"/>
      <c r="I185" s="78"/>
      <c r="J185" s="78"/>
      <c r="K185" s="78"/>
      <c r="L185" s="78"/>
      <c r="M185" s="78"/>
      <c r="N185" s="78"/>
      <c r="O185" s="78"/>
      <c r="P185" s="109"/>
    </row>
    <row r="186" spans="1:19" ht="15" customHeight="1">
      <c r="B186" s="34" t="s">
        <v>476</v>
      </c>
      <c r="C186" s="106" t="s">
        <v>475</v>
      </c>
      <c r="D186" s="79" t="s">
        <v>524</v>
      </c>
      <c r="E186" s="79"/>
      <c r="F186" s="79"/>
      <c r="G186" s="79"/>
      <c r="H186" s="79"/>
      <c r="I186" s="79"/>
      <c r="J186" s="79"/>
      <c r="K186" s="79"/>
      <c r="L186" s="79"/>
      <c r="M186" s="79"/>
      <c r="N186" s="79"/>
      <c r="O186" s="79"/>
      <c r="P186" s="107"/>
      <c r="R186" s="2" t="s">
        <v>483</v>
      </c>
    </row>
    <row r="187" spans="1:19" ht="15">
      <c r="B187" s="34" t="s">
        <v>713</v>
      </c>
      <c r="C187" s="139" t="s">
        <v>714</v>
      </c>
      <c r="D187" s="78"/>
      <c r="E187" s="78"/>
      <c r="F187" s="78"/>
      <c r="G187" s="78"/>
      <c r="H187" s="78"/>
      <c r="I187" s="78"/>
      <c r="J187" s="78"/>
      <c r="K187" s="78"/>
      <c r="L187" s="78"/>
      <c r="M187" s="78"/>
      <c r="N187" s="78"/>
      <c r="O187" s="78"/>
      <c r="P187" s="109"/>
      <c r="R187" s="8" t="s">
        <v>330</v>
      </c>
      <c r="S187" s="2" t="s">
        <v>484</v>
      </c>
    </row>
    <row r="188" spans="1:19" ht="15">
      <c r="B188" s="34" t="s">
        <v>462</v>
      </c>
      <c r="C188" s="141" t="s">
        <v>473</v>
      </c>
      <c r="D188" s="79"/>
      <c r="E188" s="79"/>
      <c r="F188" s="79"/>
      <c r="G188" s="79"/>
      <c r="H188" s="79"/>
      <c r="I188" s="79"/>
      <c r="J188" s="79"/>
      <c r="K188" s="79"/>
      <c r="L188" s="79"/>
      <c r="M188" s="79"/>
      <c r="N188" s="79"/>
      <c r="O188" s="79"/>
      <c r="P188" s="107"/>
      <c r="R188" s="8" t="s">
        <v>330</v>
      </c>
      <c r="S188" s="2" t="s">
        <v>485</v>
      </c>
    </row>
    <row r="189" spans="1:19" ht="15" customHeight="1">
      <c r="B189" s="34" t="s">
        <v>715</v>
      </c>
      <c r="C189" s="108" t="s">
        <v>1568</v>
      </c>
      <c r="D189" s="78" t="s">
        <v>727</v>
      </c>
      <c r="E189" s="78"/>
      <c r="F189" s="78"/>
      <c r="G189" s="78"/>
      <c r="H189" s="78"/>
      <c r="I189" s="78"/>
      <c r="J189" s="78"/>
      <c r="K189" s="78"/>
      <c r="L189" s="78"/>
      <c r="M189" s="78"/>
      <c r="N189" s="78"/>
      <c r="O189" s="78"/>
      <c r="P189" s="109"/>
      <c r="R189" s="8" t="s">
        <v>330</v>
      </c>
      <c r="S189" s="2" t="s">
        <v>486</v>
      </c>
    </row>
    <row r="190" spans="1:19" ht="15">
      <c r="B190" s="34" t="s">
        <v>716</v>
      </c>
      <c r="C190" s="106" t="s">
        <v>717</v>
      </c>
      <c r="D190" s="79"/>
      <c r="E190" s="79"/>
      <c r="F190" s="79"/>
      <c r="G190" s="79"/>
      <c r="H190" s="79"/>
      <c r="I190" s="79"/>
      <c r="J190" s="79"/>
      <c r="K190" s="79"/>
      <c r="L190" s="79"/>
      <c r="M190" s="79"/>
      <c r="N190" s="79"/>
      <c r="O190" s="79"/>
      <c r="P190" s="107"/>
      <c r="R190" s="8" t="s">
        <v>330</v>
      </c>
      <c r="S190" s="2" t="s">
        <v>487</v>
      </c>
    </row>
    <row r="191" spans="1:19" ht="15">
      <c r="B191" s="34" t="s">
        <v>460</v>
      </c>
      <c r="C191" s="139" t="s">
        <v>472</v>
      </c>
      <c r="D191" s="78"/>
      <c r="E191" s="78"/>
      <c r="F191" s="78"/>
      <c r="G191" s="78"/>
      <c r="H191" s="78"/>
      <c r="I191" s="78"/>
      <c r="J191" s="78"/>
      <c r="K191" s="78"/>
      <c r="L191" s="78"/>
      <c r="M191" s="78"/>
      <c r="N191" s="78"/>
      <c r="O191" s="78"/>
      <c r="P191" s="109"/>
      <c r="R191" s="8" t="s">
        <v>330</v>
      </c>
      <c r="S191" s="2" t="s">
        <v>488</v>
      </c>
    </row>
    <row r="192" spans="1:19" ht="15">
      <c r="B192" s="34" t="s">
        <v>461</v>
      </c>
      <c r="C192" s="141" t="s">
        <v>499</v>
      </c>
      <c r="D192" s="79"/>
      <c r="E192" s="79"/>
      <c r="F192" s="79"/>
      <c r="G192" s="79"/>
      <c r="H192" s="79"/>
      <c r="I192" s="79"/>
      <c r="J192" s="79"/>
      <c r="K192" s="79"/>
      <c r="L192" s="79"/>
      <c r="M192" s="79"/>
      <c r="N192" s="79"/>
      <c r="O192" s="79"/>
      <c r="P192" s="107"/>
      <c r="R192" s="8" t="s">
        <v>330</v>
      </c>
      <c r="S192" s="2" t="s">
        <v>489</v>
      </c>
    </row>
    <row r="193" spans="2:19" ht="15" customHeight="1">
      <c r="B193" s="34" t="s">
        <v>459</v>
      </c>
      <c r="C193" s="113" t="s">
        <v>466</v>
      </c>
      <c r="D193" s="156" t="s">
        <v>725</v>
      </c>
      <c r="E193" s="156"/>
      <c r="F193" s="156"/>
      <c r="G193" s="156"/>
      <c r="H193" s="156"/>
      <c r="I193" s="156"/>
      <c r="J193" s="156"/>
      <c r="K193" s="156"/>
      <c r="L193" s="156"/>
      <c r="M193" s="156"/>
      <c r="N193" s="156"/>
      <c r="O193" s="156"/>
      <c r="P193" s="157"/>
    </row>
    <row r="194" spans="2:19" ht="15" customHeight="1">
      <c r="B194" s="34" t="s">
        <v>720</v>
      </c>
      <c r="C194" s="106" t="s">
        <v>1567</v>
      </c>
      <c r="D194" s="79" t="s">
        <v>727</v>
      </c>
      <c r="E194" s="79"/>
      <c r="F194" s="79"/>
      <c r="G194" s="79"/>
      <c r="H194" s="79"/>
      <c r="I194" s="79"/>
      <c r="J194" s="79"/>
      <c r="K194" s="79"/>
      <c r="L194" s="79"/>
      <c r="M194" s="79"/>
      <c r="N194" s="79"/>
      <c r="O194" s="79"/>
      <c r="P194" s="107"/>
      <c r="R194" s="2" t="s">
        <v>584</v>
      </c>
    </row>
    <row r="195" spans="2:19" ht="15">
      <c r="B195" s="35" t="s">
        <v>718</v>
      </c>
      <c r="C195" s="114" t="s">
        <v>719</v>
      </c>
      <c r="D195" s="115"/>
      <c r="E195" s="115"/>
      <c r="F195" s="115"/>
      <c r="G195" s="115"/>
      <c r="H195" s="115"/>
      <c r="I195" s="115"/>
      <c r="J195" s="115"/>
      <c r="K195" s="115"/>
      <c r="L195" s="115"/>
      <c r="M195" s="115"/>
      <c r="N195" s="115"/>
      <c r="O195" s="115"/>
      <c r="P195" s="116"/>
    </row>
    <row r="196" spans="2:19" ht="15">
      <c r="C196" s="1" t="s">
        <v>728</v>
      </c>
      <c r="R196" s="2" t="s">
        <v>490</v>
      </c>
    </row>
    <row r="197" spans="2:19" ht="15">
      <c r="B197" s="45" t="s">
        <v>471</v>
      </c>
      <c r="C197" s="20" t="s">
        <v>726</v>
      </c>
      <c r="D197" s="21"/>
      <c r="E197" s="18"/>
      <c r="F197" s="18"/>
      <c r="G197" s="21"/>
      <c r="H197" s="18"/>
      <c r="I197" s="18"/>
      <c r="J197" s="18"/>
      <c r="K197" s="18"/>
      <c r="L197" s="18"/>
      <c r="M197" s="21"/>
      <c r="N197" s="21"/>
      <c r="O197" s="21"/>
      <c r="P197" s="19"/>
      <c r="R197" s="8" t="s">
        <v>330</v>
      </c>
      <c r="S197" s="2" t="s">
        <v>491</v>
      </c>
    </row>
    <row r="198" spans="2:19" ht="15">
      <c r="B198" s="46" t="s">
        <v>729</v>
      </c>
      <c r="C198" s="103" t="s">
        <v>1685</v>
      </c>
      <c r="D198" s="104"/>
      <c r="E198" s="104"/>
      <c r="F198" s="104"/>
      <c r="G198" s="104"/>
      <c r="H198" s="104"/>
      <c r="I198" s="104"/>
      <c r="J198" s="104"/>
      <c r="K198" s="104"/>
      <c r="L198" s="104"/>
      <c r="M198" s="104"/>
      <c r="N198" s="104"/>
      <c r="O198" s="104"/>
      <c r="P198" s="105"/>
      <c r="R198" s="8" t="s">
        <v>330</v>
      </c>
      <c r="S198" s="2" t="s">
        <v>492</v>
      </c>
    </row>
    <row r="199" spans="2:19" ht="15">
      <c r="B199" s="47" t="s">
        <v>721</v>
      </c>
      <c r="C199" s="106"/>
      <c r="D199" s="79"/>
      <c r="E199" s="79"/>
      <c r="F199" s="79"/>
      <c r="G199" s="79"/>
      <c r="H199" s="79"/>
      <c r="I199" s="79"/>
      <c r="J199" s="79"/>
      <c r="K199" s="79"/>
      <c r="L199" s="79"/>
      <c r="M199" s="79"/>
      <c r="N199" s="79"/>
      <c r="O199" s="79"/>
      <c r="P199" s="107"/>
      <c r="R199" s="8" t="s">
        <v>330</v>
      </c>
      <c r="S199" s="2" t="s">
        <v>493</v>
      </c>
    </row>
    <row r="200" spans="2:19" ht="15">
      <c r="B200" s="47" t="s">
        <v>712</v>
      </c>
      <c r="C200" s="108"/>
      <c r="D200" s="78"/>
      <c r="E200" s="78"/>
      <c r="F200" s="78"/>
      <c r="G200" s="78"/>
      <c r="H200" s="78"/>
      <c r="I200" s="78"/>
      <c r="J200" s="78"/>
      <c r="K200" s="78"/>
      <c r="L200" s="78"/>
      <c r="M200" s="78"/>
      <c r="N200" s="78"/>
      <c r="O200" s="78"/>
      <c r="P200" s="109"/>
      <c r="R200" s="8" t="s">
        <v>330</v>
      </c>
      <c r="S200" s="2" t="s">
        <v>494</v>
      </c>
    </row>
    <row r="201" spans="2:19" ht="15">
      <c r="B201" s="47" t="s">
        <v>474</v>
      </c>
      <c r="C201" s="106"/>
      <c r="D201" s="79"/>
      <c r="E201" s="79"/>
      <c r="F201" s="79"/>
      <c r="G201" s="79"/>
      <c r="H201" s="79"/>
      <c r="I201" s="79"/>
      <c r="J201" s="79"/>
      <c r="K201" s="79"/>
      <c r="L201" s="79"/>
      <c r="M201" s="79"/>
      <c r="N201" s="79"/>
      <c r="O201" s="79"/>
      <c r="P201" s="107"/>
      <c r="R201" s="8" t="s">
        <v>330</v>
      </c>
      <c r="S201" s="2" t="s">
        <v>495</v>
      </c>
    </row>
    <row r="202" spans="2:19" ht="15">
      <c r="B202" s="47" t="s">
        <v>477</v>
      </c>
      <c r="C202" s="108"/>
      <c r="D202" s="78"/>
      <c r="E202" s="78"/>
      <c r="F202" s="78"/>
      <c r="G202" s="78"/>
      <c r="H202" s="78"/>
      <c r="I202" s="78"/>
      <c r="J202" s="78"/>
      <c r="K202" s="78"/>
      <c r="L202" s="78"/>
      <c r="M202" s="78"/>
      <c r="N202" s="78"/>
      <c r="O202" s="78"/>
      <c r="P202" s="109"/>
      <c r="R202" s="8" t="s">
        <v>330</v>
      </c>
      <c r="S202" s="2" t="s">
        <v>496</v>
      </c>
    </row>
    <row r="203" spans="2:19" ht="15">
      <c r="B203" s="48" t="s">
        <v>478</v>
      </c>
      <c r="C203" s="110"/>
      <c r="D203" s="111"/>
      <c r="E203" s="111"/>
      <c r="F203" s="111"/>
      <c r="G203" s="111"/>
      <c r="H203" s="111"/>
      <c r="I203" s="111"/>
      <c r="J203" s="111"/>
      <c r="K203" s="111"/>
      <c r="L203" s="111"/>
      <c r="M203" s="111"/>
      <c r="N203" s="111"/>
      <c r="O203" s="111"/>
      <c r="P203" s="112"/>
      <c r="R203" s="8" t="s">
        <v>330</v>
      </c>
      <c r="S203" s="2" t="s">
        <v>497</v>
      </c>
    </row>
    <row r="205" spans="2:19" ht="15">
      <c r="B205" s="8" t="s">
        <v>612</v>
      </c>
      <c r="H205"/>
    </row>
    <row r="206" spans="2:19">
      <c r="B206" s="8"/>
    </row>
    <row r="207" spans="2:19">
      <c r="B207" s="8"/>
    </row>
    <row r="208" spans="2:19">
      <c r="B208" s="8"/>
    </row>
    <row r="209" spans="1:3">
      <c r="B209" s="8"/>
    </row>
    <row r="210" spans="1:3">
      <c r="B210" s="8"/>
    </row>
    <row r="211" spans="1:3">
      <c r="B211" s="8"/>
    </row>
    <row r="212" spans="1:3">
      <c r="B212" s="8"/>
    </row>
    <row r="213" spans="1:3">
      <c r="B213" s="8"/>
    </row>
    <row r="214" spans="1:3">
      <c r="B214" s="8"/>
    </row>
    <row r="216" spans="1:3" ht="15">
      <c r="A216" s="1"/>
    </row>
    <row r="220" spans="1:3" ht="15">
      <c r="A220" s="1" t="s">
        <v>498</v>
      </c>
    </row>
    <row r="221" spans="1:3">
      <c r="B221" s="2" t="s">
        <v>682</v>
      </c>
    </row>
    <row r="222" spans="1:3">
      <c r="C222" s="2" t="s">
        <v>1686</v>
      </c>
    </row>
    <row r="223" spans="1:3">
      <c r="C223" s="2" t="s">
        <v>683</v>
      </c>
    </row>
    <row r="224" spans="1:3">
      <c r="C224" s="2" t="s">
        <v>684</v>
      </c>
    </row>
    <row r="225" spans="1:30">
      <c r="B225" s="2" t="s">
        <v>685</v>
      </c>
    </row>
    <row r="226" spans="1:30">
      <c r="B226" s="2" t="s">
        <v>1687</v>
      </c>
    </row>
    <row r="227" spans="1:30" ht="15">
      <c r="C227" s="1" t="s">
        <v>585</v>
      </c>
      <c r="F227" s="37" t="s">
        <v>586</v>
      </c>
      <c r="R227" s="20" t="s">
        <v>690</v>
      </c>
      <c r="S227" s="18"/>
      <c r="T227" s="18"/>
      <c r="U227" s="18"/>
      <c r="V227" s="18"/>
      <c r="W227" s="18"/>
      <c r="Y227" s="20" t="s">
        <v>691</v>
      </c>
      <c r="Z227" s="18"/>
      <c r="AA227" s="18"/>
      <c r="AB227" s="18"/>
      <c r="AC227" s="18"/>
      <c r="AD227" s="18"/>
    </row>
    <row r="228" spans="1:30" ht="15">
      <c r="C228" s="1" t="s">
        <v>587</v>
      </c>
      <c r="F228" s="37" t="s">
        <v>1672</v>
      </c>
      <c r="R228" s="32" t="s">
        <v>686</v>
      </c>
      <c r="S228" s="33"/>
      <c r="T228" s="32" t="s">
        <v>688</v>
      </c>
      <c r="U228" s="33"/>
      <c r="V228" s="32" t="s">
        <v>687</v>
      </c>
      <c r="W228" s="33"/>
      <c r="Y228" s="32" t="s">
        <v>686</v>
      </c>
      <c r="Z228" s="33"/>
      <c r="AA228" s="32" t="s">
        <v>688</v>
      </c>
      <c r="AB228" s="33"/>
      <c r="AC228" s="32" t="s">
        <v>692</v>
      </c>
      <c r="AD228" s="33"/>
    </row>
    <row r="229" spans="1:30">
      <c r="R229" s="38">
        <v>58</v>
      </c>
      <c r="S229" s="39" t="s">
        <v>689</v>
      </c>
      <c r="T229" s="38">
        <v>62</v>
      </c>
      <c r="U229" s="39" t="s">
        <v>689</v>
      </c>
      <c r="V229" s="38">
        <f>SUM(R229+T229)</f>
        <v>120</v>
      </c>
      <c r="W229" s="39" t="s">
        <v>689</v>
      </c>
      <c r="Y229" s="38">
        <v>29</v>
      </c>
      <c r="Z229" s="39" t="s">
        <v>689</v>
      </c>
      <c r="AA229" s="38">
        <v>26</v>
      </c>
      <c r="AB229" s="39" t="s">
        <v>689</v>
      </c>
      <c r="AC229" s="38">
        <f>SUM(Y229+AA229)</f>
        <v>55</v>
      </c>
      <c r="AD229" s="39" t="s">
        <v>689</v>
      </c>
    </row>
    <row r="230" spans="1:30" ht="15">
      <c r="B230" s="1" t="s">
        <v>1688</v>
      </c>
    </row>
    <row r="231" spans="1:30" ht="15">
      <c r="C231" s="1" t="s">
        <v>696</v>
      </c>
      <c r="U231" s="40" t="s">
        <v>695</v>
      </c>
      <c r="V231" s="41"/>
      <c r="W231" s="41"/>
    </row>
    <row r="232" spans="1:30" ht="15">
      <c r="B232" s="2" t="s">
        <v>1689</v>
      </c>
      <c r="U232" s="42" t="s">
        <v>697</v>
      </c>
      <c r="V232" s="43"/>
      <c r="W232" s="44"/>
    </row>
    <row r="233" spans="1:30" ht="15">
      <c r="B233" s="1" t="s">
        <v>1690</v>
      </c>
      <c r="U233" s="57" t="s">
        <v>740</v>
      </c>
      <c r="V233" s="58"/>
      <c r="W233" s="59"/>
    </row>
    <row r="234" spans="1:30" ht="15">
      <c r="B234" s="1"/>
    </row>
    <row r="235" spans="1:30">
      <c r="B235" s="2" t="s">
        <v>591</v>
      </c>
    </row>
    <row r="236" spans="1:30">
      <c r="B236" s="2" t="s">
        <v>600</v>
      </c>
    </row>
    <row r="237" spans="1:30">
      <c r="C237" s="2" t="s">
        <v>592</v>
      </c>
    </row>
    <row r="239" spans="1:30" ht="15">
      <c r="A239" s="1" t="s">
        <v>508</v>
      </c>
    </row>
    <row r="240" spans="1:30">
      <c r="B240" s="2" t="s">
        <v>1691</v>
      </c>
    </row>
    <row r="242" spans="1:16">
      <c r="C242" s="2" t="s">
        <v>509</v>
      </c>
      <c r="E242" s="2" t="s">
        <v>511</v>
      </c>
    </row>
    <row r="244" spans="1:16">
      <c r="C244" s="2" t="s">
        <v>515</v>
      </c>
    </row>
    <row r="246" spans="1:16">
      <c r="C246" s="2" t="s">
        <v>516</v>
      </c>
    </row>
    <row r="248" spans="1:16" ht="15">
      <c r="A248" s="1" t="s">
        <v>517</v>
      </c>
      <c r="E248" s="2" t="s">
        <v>588</v>
      </c>
    </row>
    <row r="250" spans="1:16" ht="15">
      <c r="A250" s="1" t="s">
        <v>518</v>
      </c>
    </row>
    <row r="251" spans="1:16">
      <c r="B251" s="2" t="s">
        <v>519</v>
      </c>
    </row>
    <row r="253" spans="1:16" ht="15">
      <c r="B253" s="20" t="s">
        <v>589</v>
      </c>
      <c r="C253" s="18"/>
      <c r="D253" s="18"/>
      <c r="E253" s="21" t="s">
        <v>590</v>
      </c>
      <c r="F253" s="18"/>
      <c r="G253" s="18"/>
      <c r="H253" s="18"/>
      <c r="I253" s="18"/>
      <c r="J253" s="18"/>
      <c r="K253" s="18"/>
      <c r="L253" s="18"/>
      <c r="M253" s="18"/>
      <c r="N253" s="18"/>
      <c r="O253" s="18"/>
      <c r="P253" s="19"/>
    </row>
    <row r="254" spans="1:16" ht="15">
      <c r="B254" s="152" t="s">
        <v>523</v>
      </c>
      <c r="C254" s="153"/>
      <c r="D254" s="153"/>
      <c r="E254" s="103" t="s">
        <v>1700</v>
      </c>
      <c r="F254" s="104"/>
      <c r="G254" s="104"/>
      <c r="H254" s="104"/>
      <c r="I254" s="104"/>
      <c r="J254" s="104"/>
      <c r="K254" s="104"/>
      <c r="L254" s="104"/>
      <c r="M254" s="104"/>
      <c r="N254" s="104"/>
      <c r="O254" s="104"/>
      <c r="P254" s="105"/>
    </row>
    <row r="255" spans="1:16" ht="15">
      <c r="B255" s="154" t="s">
        <v>520</v>
      </c>
      <c r="C255" s="155"/>
      <c r="D255" s="155"/>
      <c r="E255" s="106" t="s">
        <v>1701</v>
      </c>
      <c r="F255" s="79"/>
      <c r="G255" s="79"/>
      <c r="H255" s="79"/>
      <c r="I255" s="79"/>
      <c r="J255" s="79"/>
      <c r="K255" s="79"/>
      <c r="L255" s="79"/>
      <c r="M255" s="79"/>
      <c r="N255" s="79"/>
      <c r="O255" s="79"/>
      <c r="P255" s="107"/>
    </row>
    <row r="256" spans="1:16" ht="15">
      <c r="B256" s="154" t="s">
        <v>521</v>
      </c>
      <c r="C256" s="155"/>
      <c r="D256" s="155"/>
      <c r="E256" s="108" t="s">
        <v>1702</v>
      </c>
      <c r="F256" s="78"/>
      <c r="G256" s="78"/>
      <c r="H256" s="78"/>
      <c r="I256" s="78"/>
      <c r="J256" s="78"/>
      <c r="K256" s="78"/>
      <c r="L256" s="78"/>
      <c r="M256" s="78"/>
      <c r="N256" s="78"/>
      <c r="O256" s="78"/>
      <c r="P256" s="109"/>
    </row>
    <row r="257" spans="1:16" ht="15">
      <c r="B257" s="154" t="s">
        <v>522</v>
      </c>
      <c r="C257" s="155"/>
      <c r="D257" s="155"/>
      <c r="E257" s="110" t="s">
        <v>1703</v>
      </c>
      <c r="F257" s="111"/>
      <c r="G257" s="111"/>
      <c r="H257" s="111"/>
      <c r="I257" s="111"/>
      <c r="J257" s="111"/>
      <c r="K257" s="111"/>
      <c r="L257" s="111"/>
      <c r="M257" s="111"/>
      <c r="N257" s="111"/>
      <c r="O257" s="111"/>
      <c r="P257" s="112"/>
    </row>
    <row r="259" spans="1:16">
      <c r="B259" s="2" t="s">
        <v>601</v>
      </c>
    </row>
    <row r="260" spans="1:16" ht="15">
      <c r="B260" s="1" t="s">
        <v>603</v>
      </c>
    </row>
    <row r="262" spans="1:16" ht="15">
      <c r="A262" s="1" t="s">
        <v>776</v>
      </c>
    </row>
    <row r="264" spans="1:16">
      <c r="B264" s="2" t="s">
        <v>1692</v>
      </c>
    </row>
    <row r="265" spans="1:16">
      <c r="C265" s="2" t="s">
        <v>777</v>
      </c>
    </row>
    <row r="266" spans="1:16" ht="15">
      <c r="D266" s="2" t="s">
        <v>781</v>
      </c>
    </row>
    <row r="267" spans="1:16">
      <c r="D267" s="2" t="s">
        <v>782</v>
      </c>
    </row>
    <row r="268" spans="1:16">
      <c r="C268" s="2" t="s">
        <v>778</v>
      </c>
    </row>
    <row r="269" spans="1:16">
      <c r="C269" s="2" t="s">
        <v>1693</v>
      </c>
    </row>
    <row r="270" spans="1:16" ht="15">
      <c r="D270" s="1" t="s">
        <v>779</v>
      </c>
    </row>
    <row r="271" spans="1:16">
      <c r="C271" s="2" t="s">
        <v>1694</v>
      </c>
    </row>
    <row r="272" spans="1:16" ht="15">
      <c r="D272" s="2" t="s">
        <v>780</v>
      </c>
    </row>
    <row r="273" spans="3:4">
      <c r="C273" s="2" t="s">
        <v>783</v>
      </c>
    </row>
    <row r="274" spans="3:4">
      <c r="D274" s="2" t="s">
        <v>784</v>
      </c>
    </row>
    <row r="275" spans="3:4">
      <c r="D275" s="2" t="s">
        <v>785</v>
      </c>
    </row>
  </sheetData>
  <mergeCells count="1">
    <mergeCell ref="D193:P193"/>
  </mergeCells>
  <hyperlinks>
    <hyperlink ref="C192" r:id="rId1" xr:uid="{2B61F1B9-6BCB-4C40-A12D-45F75BC73872}"/>
    <hyperlink ref="C193" r:id="rId2" xr:uid="{CF1E1441-ECBB-4D65-9CD0-6BB8E929929E}"/>
    <hyperlink ref="A1" r:id="rId3" xr:uid="{BC1C6A08-4388-4BD0-AAE8-E5ACAF15E89E}"/>
    <hyperlink ref="C188" r:id="rId4" xr:uid="{74B948AA-FC91-4FC0-958B-F40D0DB78BC3}"/>
    <hyperlink ref="C185" r:id="rId5" xr:uid="{77EA6C23-9DFF-40C3-B5ED-EE4F4A389016}"/>
    <hyperlink ref="C142" r:id="rId6" display="https://ppubs.uspto.gov/pubwebapp/static/pages/ppubsbasic.html" xr:uid="{AA46E780-E291-4159-A138-19C3E1AC761F}"/>
    <hyperlink ref="F227" r:id="rId7" xr:uid="{CED68A2F-9E92-4804-87D7-CBF761610ECF}"/>
    <hyperlink ref="F228" r:id="rId8" display="https://ppubs.uspto.gov/pubwebapp/static/pages/ppubsbasic.html" xr:uid="{02F22DF9-1E5F-49CE-A5C7-5625EB993A2B}"/>
    <hyperlink ref="R10" r:id="rId9" xr:uid="{5E7FAC50-D41D-4D67-B454-DDCC9CB837C3}"/>
    <hyperlink ref="C191" r:id="rId10" xr:uid="{B8F8763B-5F62-4DA0-A505-A5B81CCBB4BE}"/>
    <hyperlink ref="C183" r:id="rId11" xr:uid="{462D2EC2-649A-4647-AF5F-63CBDB8DE394}"/>
    <hyperlink ref="C187" r:id="rId12" xr:uid="{7006DA10-781B-457F-B640-71A9579146D1}"/>
    <hyperlink ref="R19" r:id="rId13" xr:uid="{828D9CBB-63BA-479C-92DD-C6DB4F3B627A}"/>
    <hyperlink ref="R11" r:id="rId14" xr:uid="{13AFFF33-EEA7-40A1-90A9-9314A6E28102}"/>
    <hyperlink ref="R12" r:id="rId15" xr:uid="{AA58F203-9104-43C6-8F5D-CFF58FF5CB74}"/>
    <hyperlink ref="R18" r:id="rId16" xr:uid="{51E40AD0-6D88-485B-AD2E-CF9C5CBEA8E8}"/>
    <hyperlink ref="R16" r:id="rId17" display="https://ppubs.uspto.gov/pubwebapp/static/pages/ppubsbasic.html" xr:uid="{04B3F909-B65C-4ADA-B877-26B6FB2EE9A9}"/>
    <hyperlink ref="R13" r:id="rId18" xr:uid="{417FB2F5-BFE0-4868-8DBB-E9189C5ACCBF}"/>
    <hyperlink ref="R14" r:id="rId19" xr:uid="{9FE5778F-ACAC-468B-A3FE-E682CE016BFE}"/>
    <hyperlink ref="R15" r:id="rId20" xr:uid="{D0094C6A-1F4D-4CE0-82E0-A631CDDEF3B5}"/>
    <hyperlink ref="K19" r:id="rId21" display="mailto:investors@penumbrainc.com" xr:uid="{F262DD7E-2938-4DB7-8873-66511E7EB9DE}"/>
  </hyperlinks>
  <pageMargins left="0.7" right="0.7" top="0.75" bottom="0.75" header="0.3" footer="0.3"/>
  <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P93"/>
  <sheetViews>
    <sheetView tabSelected="1" zoomScale="85" zoomScaleNormal="85" workbookViewId="0">
      <pane xSplit="2" ySplit="2" topLeftCell="BN35" activePane="bottomRight" state="frozen"/>
      <selection pane="topRight" activeCell="C1" sqref="C1"/>
      <selection pane="bottomLeft" activeCell="A3" sqref="A3"/>
      <selection pane="bottomRight" activeCell="BU54" sqref="BU54"/>
    </sheetView>
  </sheetViews>
  <sheetFormatPr defaultColWidth="9.140625" defaultRowHeight="15"/>
  <cols>
    <col min="1" max="1" width="3.140625" style="2" customWidth="1"/>
    <col min="2" max="2" width="37.28515625" style="2" customWidth="1"/>
    <col min="3" max="19" width="9" style="6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21"/>
    <col min="56" max="64" width="9.140625" style="2"/>
    <col min="65" max="70" width="9.28515625" style="2" bestFit="1" customWidth="1"/>
    <col min="71" max="72" width="9.140625" style="120"/>
    <col min="73" max="74" width="9.140625" style="120" customWidth="1"/>
    <col min="75" max="120" width="9.140625" style="120"/>
    <col min="121" max="16384" width="9.140625" style="2"/>
  </cols>
  <sheetData>
    <row r="1" spans="2:120">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21" t="s">
        <v>271</v>
      </c>
      <c r="AT1" s="121" t="s">
        <v>272</v>
      </c>
      <c r="AU1" s="121" t="s">
        <v>273</v>
      </c>
      <c r="AV1" s="121" t="s">
        <v>270</v>
      </c>
      <c r="AW1" s="121" t="s">
        <v>271</v>
      </c>
      <c r="AX1" s="121" t="s">
        <v>272</v>
      </c>
      <c r="AY1" s="121" t="s">
        <v>273</v>
      </c>
      <c r="AZ1" s="121" t="s">
        <v>270</v>
      </c>
      <c r="BA1" s="121" t="s">
        <v>271</v>
      </c>
      <c r="BB1" s="121" t="s">
        <v>272</v>
      </c>
      <c r="BC1" s="121" t="s">
        <v>273</v>
      </c>
    </row>
    <row r="2" spans="2:120">
      <c r="B2" s="1" t="s">
        <v>277</v>
      </c>
      <c r="C2" s="102" t="s">
        <v>1586</v>
      </c>
      <c r="D2" s="102" t="s">
        <v>1585</v>
      </c>
      <c r="E2" s="102" t="s">
        <v>1584</v>
      </c>
      <c r="F2" s="102" t="s">
        <v>1583</v>
      </c>
      <c r="G2" s="102" t="s">
        <v>1582</v>
      </c>
      <c r="H2" s="102" t="s">
        <v>1581</v>
      </c>
      <c r="I2" s="102" t="s">
        <v>1580</v>
      </c>
      <c r="J2" s="102" t="s">
        <v>1579</v>
      </c>
      <c r="K2" s="102" t="s">
        <v>1578</v>
      </c>
      <c r="L2" s="102" t="s">
        <v>1577</v>
      </c>
      <c r="M2" s="102" t="s">
        <v>1576</v>
      </c>
      <c r="N2" s="102" t="s">
        <v>1575</v>
      </c>
      <c r="O2" s="102" t="s">
        <v>1574</v>
      </c>
      <c r="P2" s="102" t="s">
        <v>1573</v>
      </c>
      <c r="Q2" s="102" t="s">
        <v>1572</v>
      </c>
      <c r="R2" s="102" t="s">
        <v>1571</v>
      </c>
      <c r="S2" s="102" t="s">
        <v>1570</v>
      </c>
      <c r="T2" s="102" t="s">
        <v>1611</v>
      </c>
      <c r="U2" s="102" t="s">
        <v>1610</v>
      </c>
      <c r="V2" s="102" t="s">
        <v>1609</v>
      </c>
      <c r="W2" s="102" t="s">
        <v>1608</v>
      </c>
      <c r="X2" s="102" t="s">
        <v>1607</v>
      </c>
      <c r="Y2" s="102" t="s">
        <v>1606</v>
      </c>
      <c r="Z2" s="102" t="s">
        <v>1605</v>
      </c>
      <c r="AA2" s="102" t="s">
        <v>1604</v>
      </c>
      <c r="AB2" s="102" t="s">
        <v>1603</v>
      </c>
      <c r="AC2" s="102" t="s">
        <v>1602</v>
      </c>
      <c r="AD2" s="102" t="s">
        <v>1601</v>
      </c>
      <c r="AE2" s="102" t="s">
        <v>1600</v>
      </c>
      <c r="AF2" s="102" t="s">
        <v>1599</v>
      </c>
      <c r="AG2" s="102" t="s">
        <v>1598</v>
      </c>
      <c r="AH2" s="102" t="s">
        <v>1597</v>
      </c>
      <c r="AI2" s="102" t="s">
        <v>1596</v>
      </c>
      <c r="AJ2" s="102" t="s">
        <v>1595</v>
      </c>
      <c r="AK2" s="102" t="s">
        <v>1594</v>
      </c>
      <c r="AL2" s="102" t="s">
        <v>1593</v>
      </c>
      <c r="AM2" s="102" t="s">
        <v>1592</v>
      </c>
      <c r="AN2" s="102" t="s">
        <v>1591</v>
      </c>
      <c r="AO2" s="102" t="s">
        <v>1590</v>
      </c>
      <c r="AP2" s="102" t="s">
        <v>1589</v>
      </c>
      <c r="AQ2" s="102" t="s">
        <v>1588</v>
      </c>
      <c r="AR2" s="102" t="s">
        <v>1587</v>
      </c>
      <c r="AS2" s="121" t="s">
        <v>1612</v>
      </c>
      <c r="AT2" s="121" t="s">
        <v>1613</v>
      </c>
      <c r="AU2" s="121" t="s">
        <v>1614</v>
      </c>
      <c r="AV2" s="121" t="s">
        <v>1615</v>
      </c>
      <c r="AW2" s="121" t="s">
        <v>1616</v>
      </c>
      <c r="AX2" s="121" t="s">
        <v>1617</v>
      </c>
      <c r="AY2" s="121" t="s">
        <v>1618</v>
      </c>
      <c r="AZ2" s="121" t="s">
        <v>1619</v>
      </c>
      <c r="BA2" s="121" t="s">
        <v>1620</v>
      </c>
      <c r="BB2" s="121" t="s">
        <v>1621</v>
      </c>
      <c r="BC2" s="121" t="s">
        <v>1622</v>
      </c>
      <c r="BM2" s="1">
        <v>2019</v>
      </c>
      <c r="BN2" s="1">
        <v>2020</v>
      </c>
      <c r="BO2" s="1">
        <v>2021</v>
      </c>
      <c r="BP2" s="1">
        <v>2022</v>
      </c>
      <c r="BQ2" s="1">
        <f t="shared" ref="BQ2:BS2" si="0">BP2+1</f>
        <v>2023</v>
      </c>
      <c r="BR2" s="1">
        <f t="shared" si="0"/>
        <v>2024</v>
      </c>
      <c r="BS2" s="121">
        <f t="shared" si="0"/>
        <v>2025</v>
      </c>
      <c r="BT2" s="121">
        <f t="shared" ref="BT2" si="1">BS2+1</f>
        <v>2026</v>
      </c>
      <c r="BU2" s="121">
        <f t="shared" ref="BU2" si="2">BT2+1</f>
        <v>2027</v>
      </c>
      <c r="BV2" s="121">
        <f t="shared" ref="BV2" si="3">BU2+1</f>
        <v>2028</v>
      </c>
      <c r="BW2" s="121">
        <f t="shared" ref="BW2" si="4">BV2+1</f>
        <v>2029</v>
      </c>
      <c r="BX2" s="121">
        <f t="shared" ref="BX2" si="5">BW2+1</f>
        <v>2030</v>
      </c>
      <c r="BY2" s="121">
        <f t="shared" ref="BY2" si="6">BX2+1</f>
        <v>2031</v>
      </c>
      <c r="BZ2" s="121">
        <f t="shared" ref="BZ2" si="7">BY2+1</f>
        <v>2032</v>
      </c>
      <c r="CA2" s="121">
        <f t="shared" ref="CA2" si="8">BZ2+1</f>
        <v>2033</v>
      </c>
      <c r="CB2" s="121">
        <f t="shared" ref="CB2" si="9">CA2+1</f>
        <v>2034</v>
      </c>
      <c r="CC2" s="121">
        <f t="shared" ref="CC2" si="10">CB2+1</f>
        <v>2035</v>
      </c>
      <c r="CD2" s="121">
        <f t="shared" ref="CD2" si="11">CC2+1</f>
        <v>2036</v>
      </c>
      <c r="CE2" s="121">
        <f t="shared" ref="CE2" si="12">CD2+1</f>
        <v>2037</v>
      </c>
      <c r="CF2" s="121">
        <f t="shared" ref="CF2" si="13">CE2+1</f>
        <v>2038</v>
      </c>
      <c r="CG2" s="121">
        <f t="shared" ref="CG2" si="14">CF2+1</f>
        <v>2039</v>
      </c>
      <c r="CH2" s="121">
        <f t="shared" ref="CH2" si="15">CG2+1</f>
        <v>2040</v>
      </c>
      <c r="CI2" s="121">
        <f t="shared" ref="CI2" si="16">CH2+1</f>
        <v>2041</v>
      </c>
      <c r="CJ2" s="121">
        <f t="shared" ref="CJ2" si="17">CI2+1</f>
        <v>2042</v>
      </c>
      <c r="CK2" s="121">
        <f t="shared" ref="CK2" si="18">CJ2+1</f>
        <v>2043</v>
      </c>
      <c r="CL2" s="121">
        <f t="shared" ref="CL2" si="19">CK2+1</f>
        <v>2044</v>
      </c>
      <c r="CM2" s="121">
        <f t="shared" ref="CM2" si="20">CL2+1</f>
        <v>2045</v>
      </c>
      <c r="CN2" s="121">
        <f t="shared" ref="CN2" si="21">CM2+1</f>
        <v>2046</v>
      </c>
      <c r="CO2" s="121">
        <f t="shared" ref="CO2" si="22">CN2+1</f>
        <v>2047</v>
      </c>
      <c r="CP2" s="121">
        <f t="shared" ref="CP2" si="23">CO2+1</f>
        <v>2048</v>
      </c>
      <c r="CQ2" s="121">
        <f t="shared" ref="CQ2" si="24">CP2+1</f>
        <v>2049</v>
      </c>
      <c r="CR2" s="121">
        <f t="shared" ref="CR2" si="25">CQ2+1</f>
        <v>2050</v>
      </c>
      <c r="CS2" s="121">
        <f t="shared" ref="CS2" si="26">CR2+1</f>
        <v>2051</v>
      </c>
      <c r="CT2" s="121">
        <f t="shared" ref="CT2" si="27">CS2+1</f>
        <v>2052</v>
      </c>
      <c r="CU2" s="121">
        <f t="shared" ref="CU2" si="28">CT2+1</f>
        <v>2053</v>
      </c>
      <c r="CV2" s="121">
        <f t="shared" ref="CV2" si="29">CU2+1</f>
        <v>2054</v>
      </c>
      <c r="CW2" s="121">
        <f t="shared" ref="CW2" si="30">CV2+1</f>
        <v>2055</v>
      </c>
      <c r="CX2" s="121">
        <f t="shared" ref="CX2" si="31">CW2+1</f>
        <v>2056</v>
      </c>
      <c r="CY2" s="121">
        <f t="shared" ref="CY2" si="32">CX2+1</f>
        <v>2057</v>
      </c>
      <c r="CZ2" s="121">
        <f t="shared" ref="CZ2" si="33">CY2+1</f>
        <v>2058</v>
      </c>
      <c r="DA2" s="121">
        <f t="shared" ref="DA2" si="34">CZ2+1</f>
        <v>2059</v>
      </c>
      <c r="DB2" s="121">
        <f t="shared" ref="DB2" si="35">DA2+1</f>
        <v>2060</v>
      </c>
      <c r="DC2" s="121">
        <f t="shared" ref="DC2" si="36">DB2+1</f>
        <v>2061</v>
      </c>
      <c r="DD2" s="121">
        <f t="shared" ref="DD2" si="37">DC2+1</f>
        <v>2062</v>
      </c>
      <c r="DE2" s="121">
        <f t="shared" ref="DE2" si="38">DD2+1</f>
        <v>2063</v>
      </c>
      <c r="DF2" s="121">
        <f t="shared" ref="DF2" si="39">DE2+1</f>
        <v>2064</v>
      </c>
      <c r="DG2" s="121">
        <f t="shared" ref="DG2" si="40">DF2+1</f>
        <v>2065</v>
      </c>
      <c r="DH2" s="121">
        <f t="shared" ref="DH2" si="41">DG2+1</f>
        <v>2066</v>
      </c>
      <c r="DI2" s="121">
        <f t="shared" ref="DI2" si="42">DH2+1</f>
        <v>2067</v>
      </c>
      <c r="DJ2" s="121">
        <f t="shared" ref="DJ2" si="43">DI2+1</f>
        <v>2068</v>
      </c>
      <c r="DK2" s="121">
        <f t="shared" ref="DK2" si="44">DJ2+1</f>
        <v>2069</v>
      </c>
      <c r="DL2" s="121">
        <f t="shared" ref="DL2" si="45">DK2+1</f>
        <v>2070</v>
      </c>
      <c r="DM2" s="121">
        <f t="shared" ref="DM2" si="46">DL2+1</f>
        <v>2071</v>
      </c>
      <c r="DN2" s="121">
        <f t="shared" ref="DN2" si="47">DM2+1</f>
        <v>2072</v>
      </c>
      <c r="DO2" s="121">
        <f t="shared" ref="DO2" si="48">DN2+1</f>
        <v>2073</v>
      </c>
      <c r="DP2" s="121">
        <f t="shared" ref="DP2" si="49">DO2+1</f>
        <v>2074</v>
      </c>
    </row>
    <row r="3" spans="2:120" ht="15" customHeight="1">
      <c r="B3" s="118" t="s">
        <v>698</v>
      </c>
      <c r="AJ3" s="2">
        <v>145</v>
      </c>
      <c r="AK3" s="2">
        <v>162</v>
      </c>
      <c r="AL3" s="2">
        <v>179</v>
      </c>
      <c r="AM3" s="12">
        <f>677-SUM(AJ3:AL3)</f>
        <v>191</v>
      </c>
      <c r="AN3" s="2">
        <v>188</v>
      </c>
      <c r="AO3" s="2">
        <v>203</v>
      </c>
      <c r="AP3" s="2">
        <v>204</v>
      </c>
      <c r="AQ3" s="12">
        <f>815-SUM(AN3:AP3)</f>
        <v>220</v>
      </c>
      <c r="AR3" s="12">
        <v>226.54400000000001</v>
      </c>
      <c r="BQ3" s="2">
        <f>SUM(AJ3:AM3)</f>
        <v>677</v>
      </c>
      <c r="BR3" s="2">
        <f t="shared" ref="BR3:BR4" si="50">SUM(AN3:AQ3)</f>
        <v>815</v>
      </c>
      <c r="BS3" s="122">
        <f t="shared" ref="BS3:BX4" si="51">BR3*(1+BS10)</f>
        <v>982.07500000000005</v>
      </c>
      <c r="BT3" s="122">
        <f t="shared" si="51"/>
        <v>1177.5079250000001</v>
      </c>
      <c r="BU3" s="122">
        <f t="shared" si="51"/>
        <v>1389.4593515000001</v>
      </c>
      <c r="BV3" s="122">
        <f t="shared" si="51"/>
        <v>1632.6147380125003</v>
      </c>
      <c r="BW3" s="122">
        <f t="shared" si="51"/>
        <v>1893.8330960945002</v>
      </c>
      <c r="BX3" s="122">
        <f t="shared" si="51"/>
        <v>2177.9080605086751</v>
      </c>
      <c r="BY3" s="122">
        <f t="shared" ref="BY3:BY4" si="52">BX3*(1+BY10)</f>
        <v>2482.8151889798901</v>
      </c>
      <c r="BZ3" s="122">
        <f t="shared" ref="BZ3:BZ4" si="53">BY3*(1+BZ10)</f>
        <v>2780.7530116574771</v>
      </c>
      <c r="CA3" s="122">
        <f t="shared" ref="CA3:CA4" si="54">BZ3*(1+CA10)</f>
        <v>3058.8283128232251</v>
      </c>
      <c r="CB3" s="122">
        <f t="shared" ref="CB3:CB4" si="55">CA3*(1+CB10)</f>
        <v>3303.5345778490832</v>
      </c>
    </row>
    <row r="4" spans="2:120" ht="15.75" customHeight="1">
      <c r="B4" s="118" t="s">
        <v>700</v>
      </c>
      <c r="AJ4" s="2">
        <v>96</v>
      </c>
      <c r="AK4" s="2">
        <v>99</v>
      </c>
      <c r="AL4" s="2">
        <v>92</v>
      </c>
      <c r="AM4" s="12">
        <f>381-SUM(AJ4:AL4)</f>
        <v>94</v>
      </c>
      <c r="AN4" s="2">
        <v>91</v>
      </c>
      <c r="AO4" s="2">
        <v>96</v>
      </c>
      <c r="AP4" s="12">
        <v>96.89</v>
      </c>
      <c r="AQ4" s="12">
        <f>379-SUM(AN4:AP4)</f>
        <v>95.110000000000014</v>
      </c>
      <c r="AR4" s="12">
        <v>97.596000000000004</v>
      </c>
      <c r="BQ4" s="2">
        <f t="shared" ref="BQ4:BQ41" si="56">SUM(AJ4:AM4)</f>
        <v>381</v>
      </c>
      <c r="BR4" s="2">
        <f t="shared" si="50"/>
        <v>379</v>
      </c>
      <c r="BS4" s="122">
        <f t="shared" si="51"/>
        <v>388.47499999999997</v>
      </c>
      <c r="BT4" s="122">
        <f t="shared" si="51"/>
        <v>389.25194999999997</v>
      </c>
      <c r="BU4" s="122">
        <f t="shared" si="51"/>
        <v>391.19820974999993</v>
      </c>
      <c r="BV4" s="122">
        <f t="shared" si="51"/>
        <v>395.11019184749995</v>
      </c>
      <c r="BW4" s="122">
        <f t="shared" si="51"/>
        <v>399.06129376597494</v>
      </c>
      <c r="BX4" s="122">
        <f t="shared" si="51"/>
        <v>401.05660023480476</v>
      </c>
      <c r="BY4" s="122">
        <f t="shared" si="52"/>
        <v>403.06188323597877</v>
      </c>
      <c r="BZ4" s="122">
        <f t="shared" si="53"/>
        <v>405.0771926521586</v>
      </c>
      <c r="CA4" s="122">
        <f t="shared" si="54"/>
        <v>407.10257861541936</v>
      </c>
      <c r="CB4" s="122">
        <f t="shared" si="55"/>
        <v>409.13809150849642</v>
      </c>
    </row>
    <row r="5" spans="2:120">
      <c r="B5" s="1" t="s">
        <v>279</v>
      </c>
      <c r="AF5" s="12"/>
      <c r="AG5" s="12"/>
      <c r="AH5" s="12"/>
      <c r="AI5" s="12"/>
      <c r="AJ5" s="2">
        <f t="shared" ref="AJ5:AO5" si="57">SUM(AJ3:AJ4)</f>
        <v>241</v>
      </c>
      <c r="AK5" s="2">
        <f t="shared" si="57"/>
        <v>261</v>
      </c>
      <c r="AL5" s="2">
        <f t="shared" si="57"/>
        <v>271</v>
      </c>
      <c r="AM5" s="2">
        <f t="shared" si="57"/>
        <v>285</v>
      </c>
      <c r="AN5" s="2">
        <f t="shared" si="57"/>
        <v>279</v>
      </c>
      <c r="AO5" s="2">
        <f t="shared" si="57"/>
        <v>299</v>
      </c>
      <c r="AP5" s="12">
        <f>SUM(AP3:AP4)</f>
        <v>300.89</v>
      </c>
      <c r="AQ5" s="12">
        <f>SUM(AQ3:AQ4)</f>
        <v>315.11</v>
      </c>
      <c r="AR5" s="12">
        <f>SUM(AR3:AR4)</f>
        <v>324.14</v>
      </c>
      <c r="BQ5" s="2">
        <f>BQ3+BQ4</f>
        <v>1058</v>
      </c>
      <c r="BR5" s="2">
        <f>BR3+BR4</f>
        <v>1194</v>
      </c>
      <c r="BS5" s="122">
        <f t="shared" ref="BS5:BX5" si="58">BS3+BS4</f>
        <v>1370.55</v>
      </c>
      <c r="BT5" s="122">
        <f t="shared" si="58"/>
        <v>1566.7598750000002</v>
      </c>
      <c r="BU5" s="122">
        <f t="shared" si="58"/>
        <v>1780.6575612500001</v>
      </c>
      <c r="BV5" s="122">
        <f t="shared" si="58"/>
        <v>2027.7249298600002</v>
      </c>
      <c r="BW5" s="122">
        <f t="shared" si="58"/>
        <v>2292.8943898604753</v>
      </c>
      <c r="BX5" s="122">
        <f t="shared" si="58"/>
        <v>2578.9646607434797</v>
      </c>
      <c r="BY5" s="122">
        <f t="shared" ref="BY5:CB5" si="59">BY3+BY4</f>
        <v>2885.8770722158688</v>
      </c>
      <c r="BZ5" s="122">
        <f t="shared" si="59"/>
        <v>3185.8302043096355</v>
      </c>
      <c r="CA5" s="122">
        <f t="shared" si="59"/>
        <v>3465.9308914386447</v>
      </c>
      <c r="CB5" s="122">
        <f t="shared" si="59"/>
        <v>3712.6726693575797</v>
      </c>
    </row>
    <row r="6" spans="2:120">
      <c r="AR6" s="2"/>
    </row>
    <row r="7" spans="2:120">
      <c r="B7" s="2" t="s">
        <v>283</v>
      </c>
      <c r="X7" s="13"/>
      <c r="Y7" s="13"/>
      <c r="Z7" s="13"/>
      <c r="AA7" s="13"/>
      <c r="AB7" s="13"/>
      <c r="AC7" s="13"/>
      <c r="AD7" s="13"/>
      <c r="AE7" s="13"/>
      <c r="AF7" s="13"/>
      <c r="AG7" s="13"/>
      <c r="AH7" s="13"/>
      <c r="AI7" s="13"/>
      <c r="AJ7" s="13">
        <f t="shared" ref="AJ7:AO7" si="60">AJ3/AJ5</f>
        <v>0.60165975103734437</v>
      </c>
      <c r="AK7" s="13">
        <f t="shared" si="60"/>
        <v>0.62068965517241381</v>
      </c>
      <c r="AL7" s="13">
        <f t="shared" si="60"/>
        <v>0.66051660516605171</v>
      </c>
      <c r="AM7" s="13">
        <f t="shared" si="60"/>
        <v>0.6701754385964912</v>
      </c>
      <c r="AN7" s="13">
        <f t="shared" si="60"/>
        <v>0.6738351254480287</v>
      </c>
      <c r="AO7" s="13">
        <f t="shared" si="60"/>
        <v>0.67892976588628762</v>
      </c>
      <c r="AP7" s="13">
        <f>AP3/AP5</f>
        <v>0.6779886337199641</v>
      </c>
      <c r="AQ7" s="13">
        <f>AQ3/AQ5</f>
        <v>0.69816889340230393</v>
      </c>
      <c r="AR7" s="13">
        <f>AR3/AR5</f>
        <v>0.69890787931140874</v>
      </c>
      <c r="BN7" s="13"/>
      <c r="BO7" s="13"/>
      <c r="BP7" s="13"/>
      <c r="BQ7" s="13">
        <f>AVERAGE(AJ7:AM7)</f>
        <v>0.63826036249307527</v>
      </c>
      <c r="BR7" s="13">
        <f>AVERAGE(AN7:AQ7)</f>
        <v>0.68223060461414609</v>
      </c>
      <c r="BS7" s="123">
        <f>BS3/BS5</f>
        <v>0.71655539746816976</v>
      </c>
      <c r="BT7" s="123">
        <f t="shared" ref="BT7:BV7" si="61">BT3/BT5</f>
        <v>0.75155608960179676</v>
      </c>
      <c r="BU7" s="123">
        <f t="shared" si="61"/>
        <v>0.78030688310705654</v>
      </c>
      <c r="BV7" s="123">
        <f t="shared" si="61"/>
        <v>0.80514605998616418</v>
      </c>
      <c r="BW7" s="123">
        <f t="shared" ref="BW7:BX7" si="62">BW3/BW5</f>
        <v>0.82595740321460753</v>
      </c>
      <c r="BX7" s="123">
        <f t="shared" si="62"/>
        <v>0.84448929978001885</v>
      </c>
      <c r="BY7" s="123">
        <f t="shared" ref="BY7:CB7" si="63">BY3/BY5</f>
        <v>0.86033296874752363</v>
      </c>
      <c r="BZ7" s="123">
        <f t="shared" si="63"/>
        <v>0.87285035087425888</v>
      </c>
      <c r="CA7" s="123">
        <f t="shared" si="63"/>
        <v>0.88254163416211717</v>
      </c>
      <c r="CB7" s="123">
        <f t="shared" si="63"/>
        <v>0.88979957891647599</v>
      </c>
    </row>
    <row r="8" spans="2:120">
      <c r="B8" s="2" t="s">
        <v>284</v>
      </c>
      <c r="X8" s="13"/>
      <c r="Y8" s="13"/>
      <c r="Z8" s="13"/>
      <c r="AA8" s="13"/>
      <c r="AB8" s="13"/>
      <c r="AC8" s="13"/>
      <c r="AD8" s="13"/>
      <c r="AE8" s="13"/>
      <c r="AF8" s="13"/>
      <c r="AG8" s="13"/>
      <c r="AH8" s="13"/>
      <c r="AI8" s="13"/>
      <c r="AJ8" s="13">
        <f t="shared" ref="AJ8:AO8" si="64">AJ4/AJ5</f>
        <v>0.39834024896265557</v>
      </c>
      <c r="AK8" s="13">
        <f t="shared" si="64"/>
        <v>0.37931034482758619</v>
      </c>
      <c r="AL8" s="13">
        <f t="shared" si="64"/>
        <v>0.33948339483394835</v>
      </c>
      <c r="AM8" s="13">
        <f t="shared" si="64"/>
        <v>0.3298245614035088</v>
      </c>
      <c r="AN8" s="13">
        <f t="shared" si="64"/>
        <v>0.32616487455197135</v>
      </c>
      <c r="AO8" s="13">
        <f t="shared" si="64"/>
        <v>0.32107023411371238</v>
      </c>
      <c r="AP8" s="13">
        <f>AP4/AP5</f>
        <v>0.3220113662800359</v>
      </c>
      <c r="AQ8" s="13">
        <f>AQ4/AQ5</f>
        <v>0.30183110659769607</v>
      </c>
      <c r="AR8" s="13">
        <f>AR4/AR5</f>
        <v>0.30109212068859137</v>
      </c>
      <c r="BN8" s="13"/>
      <c r="BO8" s="13"/>
      <c r="BP8" s="13"/>
      <c r="BQ8" s="13">
        <f t="shared" ref="BQ8" si="65">AVERAGE(AJ8:AM8)</f>
        <v>0.36173963750692473</v>
      </c>
      <c r="BR8" s="13">
        <f>AVERAGE(AN8:AQ8)</f>
        <v>0.31776939538585391</v>
      </c>
      <c r="BS8" s="123">
        <f>BS4/BS5</f>
        <v>0.28344460253183029</v>
      </c>
      <c r="BT8" s="123">
        <f t="shared" ref="BT8:BV8" si="66">BT4/BT5</f>
        <v>0.24844391039820313</v>
      </c>
      <c r="BU8" s="123">
        <f t="shared" si="66"/>
        <v>0.21969311689294349</v>
      </c>
      <c r="BV8" s="123">
        <f t="shared" si="66"/>
        <v>0.19485394001383582</v>
      </c>
      <c r="BW8" s="123">
        <f t="shared" ref="BW8:BX8" si="67">BW4/BW5</f>
        <v>0.17404259678539236</v>
      </c>
      <c r="BX8" s="123">
        <f t="shared" si="67"/>
        <v>0.15551070021998117</v>
      </c>
      <c r="BY8" s="123">
        <f t="shared" ref="BY8:CB8" si="68">BY4/BY5</f>
        <v>0.13966703125247637</v>
      </c>
      <c r="BZ8" s="123">
        <f t="shared" si="68"/>
        <v>0.12714964912574123</v>
      </c>
      <c r="CA8" s="123">
        <f t="shared" si="68"/>
        <v>0.11745836583788273</v>
      </c>
      <c r="CB8" s="123">
        <f t="shared" si="68"/>
        <v>0.11020042108352401</v>
      </c>
    </row>
    <row r="9" spans="2:120">
      <c r="X9" s="13"/>
      <c r="Y9" s="13"/>
      <c r="Z9" s="13"/>
      <c r="AA9" s="13"/>
      <c r="AB9" s="13"/>
      <c r="AC9" s="13"/>
      <c r="AD9" s="13"/>
      <c r="AE9" s="13"/>
      <c r="AF9" s="13"/>
      <c r="AG9" s="13"/>
      <c r="AH9" s="13"/>
      <c r="AI9" s="13"/>
      <c r="AJ9" s="13"/>
      <c r="AK9" s="13"/>
      <c r="AL9" s="13"/>
      <c r="AM9" s="13"/>
      <c r="AN9" s="13"/>
      <c r="AO9" s="13"/>
      <c r="AP9" s="13"/>
      <c r="AQ9" s="13"/>
      <c r="AR9" s="13"/>
      <c r="BN9" s="13"/>
      <c r="BO9" s="13"/>
      <c r="BP9" s="13"/>
      <c r="BQ9" s="13"/>
      <c r="BR9" s="13"/>
    </row>
    <row r="10" spans="2:120">
      <c r="B10" s="2" t="s">
        <v>285</v>
      </c>
      <c r="X10" s="13"/>
      <c r="Y10" s="13"/>
      <c r="Z10" s="13"/>
      <c r="AA10" s="13"/>
      <c r="AB10" s="13"/>
      <c r="AC10" s="13"/>
      <c r="AD10" s="13"/>
      <c r="AE10" s="13"/>
      <c r="AF10" s="13"/>
      <c r="AG10" s="13"/>
      <c r="AH10" s="13"/>
      <c r="AI10" s="13"/>
      <c r="AJ10" s="13"/>
      <c r="AK10" s="13"/>
      <c r="AL10" s="13"/>
      <c r="AM10" s="13"/>
      <c r="AN10" s="13">
        <f t="shared" ref="AN10:AO10" si="69">AN3/AJ3-1</f>
        <v>0.29655172413793096</v>
      </c>
      <c r="AO10" s="13">
        <f t="shared" si="69"/>
        <v>0.25308641975308643</v>
      </c>
      <c r="AP10" s="13">
        <f>AP3/AL3-1</f>
        <v>0.13966480446927365</v>
      </c>
      <c r="AQ10" s="13">
        <f>AQ3/AM3-1</f>
        <v>0.1518324607329844</v>
      </c>
      <c r="AR10" s="13">
        <f>AR3/AN3-1</f>
        <v>0.20502127659574465</v>
      </c>
      <c r="BN10" s="13"/>
      <c r="BO10" s="13"/>
      <c r="BP10" s="13"/>
      <c r="BQ10" s="13"/>
      <c r="BR10" s="13">
        <f>BR3/BQ3-1</f>
        <v>0.20384047267355987</v>
      </c>
      <c r="BS10" s="123">
        <v>0.20499999999999999</v>
      </c>
      <c r="BT10" s="123">
        <v>0.19900000000000001</v>
      </c>
      <c r="BU10" s="123">
        <v>0.18</v>
      </c>
      <c r="BV10" s="123">
        <v>0.17499999999999999</v>
      </c>
      <c r="BW10" s="123">
        <v>0.16</v>
      </c>
      <c r="BX10" s="123">
        <v>0.15</v>
      </c>
      <c r="BY10" s="123">
        <v>0.14000000000000001</v>
      </c>
      <c r="BZ10" s="123">
        <v>0.12</v>
      </c>
      <c r="CA10" s="123">
        <v>0.1</v>
      </c>
      <c r="CB10" s="123">
        <v>0.08</v>
      </c>
    </row>
    <row r="11" spans="2:120">
      <c r="B11" s="2" t="s">
        <v>286</v>
      </c>
      <c r="X11" s="13"/>
      <c r="Y11" s="13"/>
      <c r="Z11" s="13"/>
      <c r="AA11" s="13"/>
      <c r="AB11" s="13"/>
      <c r="AC11" s="13"/>
      <c r="AD11" s="13"/>
      <c r="AE11" s="13"/>
      <c r="AF11" s="13"/>
      <c r="AG11" s="13"/>
      <c r="AH11" s="13"/>
      <c r="AI11" s="13"/>
      <c r="AJ11" s="13"/>
      <c r="AK11" s="13"/>
      <c r="AL11" s="13"/>
      <c r="AM11" s="13"/>
      <c r="AN11" s="13">
        <f t="shared" ref="AN11:AR11" si="70">AN4/AJ4-1</f>
        <v>-5.208333333333337E-2</v>
      </c>
      <c r="AO11" s="13">
        <f t="shared" si="70"/>
        <v>-3.0303030303030276E-2</v>
      </c>
      <c r="AP11" s="13">
        <f t="shared" si="70"/>
        <v>5.3152173913043388E-2</v>
      </c>
      <c r="AQ11" s="13">
        <f>AQ4/AM4-1</f>
        <v>1.1808510638297909E-2</v>
      </c>
      <c r="AR11" s="13">
        <f t="shared" si="70"/>
        <v>7.2483516483516475E-2</v>
      </c>
      <c r="BN11" s="13"/>
      <c r="BO11" s="13"/>
      <c r="BP11" s="13"/>
      <c r="BQ11" s="13"/>
      <c r="BR11" s="13">
        <f>BR4/BQ4-1</f>
        <v>-5.2493438320210251E-3</v>
      </c>
      <c r="BS11" s="123">
        <v>2.5000000000000001E-2</v>
      </c>
      <c r="BT11" s="123">
        <v>2E-3</v>
      </c>
      <c r="BU11" s="123">
        <v>5.0000000000000001E-3</v>
      </c>
      <c r="BV11" s="123">
        <v>0.01</v>
      </c>
      <c r="BW11" s="123">
        <v>0.01</v>
      </c>
      <c r="BX11" s="123">
        <v>5.0000000000000001E-3</v>
      </c>
      <c r="BY11" s="123">
        <v>5.0000000000000001E-3</v>
      </c>
      <c r="BZ11" s="123">
        <v>5.0000000000000001E-3</v>
      </c>
      <c r="CA11" s="123">
        <v>5.0000000000000001E-3</v>
      </c>
      <c r="CB11" s="123">
        <v>5.0000000000000001E-3</v>
      </c>
    </row>
    <row r="12" spans="2:120">
      <c r="B12" s="2" t="s">
        <v>282</v>
      </c>
      <c r="X12" s="13"/>
      <c r="Y12" s="13"/>
      <c r="Z12" s="13"/>
      <c r="AA12" s="13"/>
      <c r="AB12" s="13"/>
      <c r="AC12" s="13"/>
      <c r="AD12" s="13"/>
      <c r="AE12" s="13"/>
      <c r="AF12" s="13"/>
      <c r="AG12" s="13"/>
      <c r="AH12" s="13"/>
      <c r="AI12" s="13"/>
      <c r="AJ12" s="13"/>
      <c r="AK12" s="13"/>
      <c r="AL12" s="13"/>
      <c r="AM12" s="13"/>
      <c r="AN12" s="13">
        <f t="shared" ref="AN12:AO12" si="71">AN5/AJ5-1</f>
        <v>0.15767634854771795</v>
      </c>
      <c r="AO12" s="13">
        <f t="shared" si="71"/>
        <v>0.14559386973180066</v>
      </c>
      <c r="AP12" s="13">
        <f>AP5/AL5-1</f>
        <v>0.11029520295202944</v>
      </c>
      <c r="AQ12" s="13">
        <f>AQ5/AM5-1</f>
        <v>0.10564912280701755</v>
      </c>
      <c r="AR12" s="13">
        <f>AR5/AN5-1</f>
        <v>0.16179211469534049</v>
      </c>
      <c r="BN12" s="13"/>
      <c r="BO12" s="13"/>
      <c r="BP12" s="13"/>
      <c r="BQ12" s="13"/>
      <c r="BR12" s="13">
        <f>BR5/BQ5-1</f>
        <v>0.12854442344045358</v>
      </c>
      <c r="BS12" s="123">
        <f t="shared" ref="BS12:BX12" si="72">BS5/BR5-1</f>
        <v>0.14786432160804019</v>
      </c>
      <c r="BT12" s="123">
        <f t="shared" si="72"/>
        <v>0.14316141330122956</v>
      </c>
      <c r="BU12" s="123">
        <f t="shared" si="72"/>
        <v>0.13652231568031437</v>
      </c>
      <c r="BV12" s="123">
        <f t="shared" si="72"/>
        <v>0.13875063571266444</v>
      </c>
      <c r="BW12" s="123">
        <f t="shared" si="72"/>
        <v>0.13077190899792468</v>
      </c>
      <c r="BX12" s="123">
        <f t="shared" si="72"/>
        <v>0.12476382346611792</v>
      </c>
      <c r="BY12" s="123">
        <f t="shared" ref="BY12" si="73">BY5/BX5-1</f>
        <v>0.11900605547030274</v>
      </c>
      <c r="BZ12" s="123">
        <f t="shared" ref="BZ12" si="74">BZ5/BY5-1</f>
        <v>0.10393829140596522</v>
      </c>
      <c r="CA12" s="123">
        <f t="shared" ref="CA12" si="75">CA5/BZ5-1</f>
        <v>8.7920783333054864E-2</v>
      </c>
      <c r="CB12" s="123">
        <f t="shared" ref="CB12" si="76">CB5/CA5-1</f>
        <v>7.1190622562158801E-2</v>
      </c>
    </row>
    <row r="13" spans="2:120">
      <c r="B13" s="1"/>
      <c r="AR13" s="2"/>
    </row>
    <row r="14" spans="2:120">
      <c r="B14" s="119" t="s">
        <v>280</v>
      </c>
      <c r="T14" s="12">
        <v>82.510999999999996</v>
      </c>
      <c r="U14" s="12">
        <v>86.373999999999995</v>
      </c>
      <c r="V14" s="12">
        <v>90.272000000000006</v>
      </c>
      <c r="W14" s="12">
        <f>355.22-SUM(T14:V14)</f>
        <v>96.063000000000045</v>
      </c>
      <c r="X14" s="2">
        <v>96</v>
      </c>
      <c r="Y14" s="2">
        <v>78</v>
      </c>
      <c r="Z14" s="2">
        <v>110</v>
      </c>
      <c r="AA14" s="12">
        <f>400-SUM(X14:Z14)</f>
        <v>116</v>
      </c>
      <c r="AB14" s="2">
        <v>120</v>
      </c>
      <c r="AC14" s="2">
        <v>128</v>
      </c>
      <c r="AD14" s="2">
        <v>135</v>
      </c>
      <c r="AE14" s="12">
        <f>528-SUM(AB14:AD14)</f>
        <v>145</v>
      </c>
      <c r="AF14" s="2">
        <v>144</v>
      </c>
      <c r="AG14" s="2">
        <v>141</v>
      </c>
      <c r="AH14" s="2">
        <v>149</v>
      </c>
      <c r="AI14" s="12">
        <f>592-SUM(AF14:AH14)</f>
        <v>158</v>
      </c>
      <c r="AJ14" s="2">
        <v>172</v>
      </c>
      <c r="AK14" s="2">
        <v>186</v>
      </c>
      <c r="AL14" s="2">
        <v>195</v>
      </c>
      <c r="AM14" s="12">
        <f>757-SUM(AJ14:AL14)</f>
        <v>204</v>
      </c>
      <c r="AN14" s="2">
        <v>210</v>
      </c>
      <c r="AO14" s="2">
        <v>218</v>
      </c>
      <c r="AP14" s="2">
        <v>226</v>
      </c>
      <c r="AQ14" s="12">
        <f>902-SUM(AN14:AP14)</f>
        <v>248</v>
      </c>
      <c r="AR14" s="12">
        <v>256.86</v>
      </c>
      <c r="BM14" s="11">
        <f>SUM(T14:W14)</f>
        <v>355.22</v>
      </c>
      <c r="BN14" s="2">
        <f t="shared" ref="BN14:BN41" si="77">SUM(X14:AA14)</f>
        <v>400</v>
      </c>
      <c r="BO14" s="2">
        <f>SUM(AB14:AD14)</f>
        <v>383</v>
      </c>
      <c r="BP14" s="2">
        <f>SUM(AF14:AH14)</f>
        <v>434</v>
      </c>
      <c r="BQ14" s="2">
        <f t="shared" si="56"/>
        <v>757</v>
      </c>
      <c r="BR14" s="2">
        <f t="shared" ref="BR14:BR41" si="78">SUM(AN14:AQ14)</f>
        <v>902</v>
      </c>
    </row>
    <row r="15" spans="2:120">
      <c r="B15" s="119" t="s">
        <v>281</v>
      </c>
      <c r="T15" s="12">
        <f>9.522+36.406</f>
        <v>45.927999999999997</v>
      </c>
      <c r="U15" s="12">
        <f>12.231+35.596</f>
        <v>47.826999999999998</v>
      </c>
      <c r="V15" s="12">
        <f>11.214+38.016</f>
        <v>49.23</v>
      </c>
      <c r="W15" s="12">
        <f>42.52+149.663-SUM(T15:V15)</f>
        <v>49.198000000000036</v>
      </c>
      <c r="X15" s="2">
        <v>41</v>
      </c>
      <c r="Y15" s="2">
        <v>27</v>
      </c>
      <c r="Z15" s="2">
        <v>41</v>
      </c>
      <c r="AA15" s="12">
        <f>160-SUM(X15:Z15)</f>
        <v>51</v>
      </c>
      <c r="AB15" s="2">
        <v>49</v>
      </c>
      <c r="AC15" s="2">
        <v>56</v>
      </c>
      <c r="AD15" s="2">
        <v>55</v>
      </c>
      <c r="AE15" s="12">
        <f>220-SUM(AB15:AD15)</f>
        <v>60</v>
      </c>
      <c r="AF15" s="2">
        <v>60</v>
      </c>
      <c r="AG15" s="2">
        <v>67</v>
      </c>
      <c r="AH15" s="2">
        <v>65</v>
      </c>
      <c r="AI15" s="12">
        <f>255-SUM(AF15:AH15)</f>
        <v>63</v>
      </c>
      <c r="AJ15" s="2">
        <v>69</v>
      </c>
      <c r="AK15" s="2">
        <v>75</v>
      </c>
      <c r="AL15" s="2">
        <v>76</v>
      </c>
      <c r="AM15" s="12">
        <f>301-SUM(AJ15:AL15)</f>
        <v>81</v>
      </c>
      <c r="AN15" s="2">
        <v>69</v>
      </c>
      <c r="AO15" s="2">
        <v>81</v>
      </c>
      <c r="AP15" s="2">
        <v>75</v>
      </c>
      <c r="AQ15" s="12">
        <f>292-SUM(AN15:AP15)</f>
        <v>67</v>
      </c>
      <c r="AR15" s="12">
        <v>67.28</v>
      </c>
      <c r="BM15" s="11">
        <f>SUM(T15:W15)</f>
        <v>192.18300000000002</v>
      </c>
      <c r="BN15" s="2">
        <f t="shared" si="77"/>
        <v>160</v>
      </c>
      <c r="BO15" s="2">
        <f>SUM(AB15:AD15)</f>
        <v>160</v>
      </c>
      <c r="BP15" s="2">
        <f>SUM(AF15:AH15)</f>
        <v>192</v>
      </c>
      <c r="BQ15" s="2">
        <f t="shared" si="56"/>
        <v>301</v>
      </c>
      <c r="BR15" s="2">
        <f t="shared" si="78"/>
        <v>292</v>
      </c>
    </row>
    <row r="16" spans="2:120">
      <c r="B16" s="1" t="s">
        <v>279</v>
      </c>
      <c r="T16" s="12">
        <f t="shared" ref="T16:W16" si="79">SUM(T14:T15)</f>
        <v>128.43899999999999</v>
      </c>
      <c r="U16" s="12">
        <f t="shared" si="79"/>
        <v>134.20099999999999</v>
      </c>
      <c r="V16" s="12">
        <f t="shared" si="79"/>
        <v>139.50200000000001</v>
      </c>
      <c r="W16" s="12">
        <f t="shared" si="79"/>
        <v>145.26100000000008</v>
      </c>
      <c r="X16" s="2">
        <f t="shared" ref="X16:AO16" si="80">SUM(X14:X15)</f>
        <v>137</v>
      </c>
      <c r="Y16" s="2">
        <f t="shared" si="80"/>
        <v>105</v>
      </c>
      <c r="Z16" s="2">
        <f t="shared" si="80"/>
        <v>151</v>
      </c>
      <c r="AA16" s="2">
        <f t="shared" si="80"/>
        <v>167</v>
      </c>
      <c r="AB16" s="2">
        <f t="shared" si="80"/>
        <v>169</v>
      </c>
      <c r="AC16" s="2">
        <f t="shared" si="80"/>
        <v>184</v>
      </c>
      <c r="AD16" s="2">
        <f t="shared" ref="AD16" si="81">SUM(AD14:AD15)</f>
        <v>190</v>
      </c>
      <c r="AE16" s="2">
        <f t="shared" ref="AE16" si="82">SUM(AE14:AE15)</f>
        <v>205</v>
      </c>
      <c r="AF16" s="2">
        <f t="shared" si="80"/>
        <v>204</v>
      </c>
      <c r="AG16" s="2">
        <f t="shared" si="80"/>
        <v>208</v>
      </c>
      <c r="AH16" s="2">
        <f t="shared" ref="AH16" si="83">SUM(AH14:AH15)</f>
        <v>214</v>
      </c>
      <c r="AI16" s="2">
        <f t="shared" ref="AI16" si="84">SUM(AI14:AI15)</f>
        <v>221</v>
      </c>
      <c r="AJ16" s="2">
        <f t="shared" si="80"/>
        <v>241</v>
      </c>
      <c r="AK16" s="2">
        <f t="shared" si="80"/>
        <v>261</v>
      </c>
      <c r="AL16" s="2">
        <f t="shared" si="80"/>
        <v>271</v>
      </c>
      <c r="AM16" s="2">
        <f t="shared" si="80"/>
        <v>285</v>
      </c>
      <c r="AN16" s="2">
        <f t="shared" si="80"/>
        <v>279</v>
      </c>
      <c r="AO16" s="2">
        <f t="shared" si="80"/>
        <v>299</v>
      </c>
      <c r="AP16" s="2">
        <f>SUM(AP14:AP15)</f>
        <v>301</v>
      </c>
      <c r="AQ16" s="2">
        <f>SUM(AQ14:AQ15)</f>
        <v>315</v>
      </c>
      <c r="AR16" s="12">
        <f>SUM(AR14:AR15)</f>
        <v>324.14</v>
      </c>
      <c r="BM16" s="11">
        <f>SUM(T16:W16)</f>
        <v>547.40300000000002</v>
      </c>
      <c r="BN16" s="2">
        <f t="shared" si="77"/>
        <v>560</v>
      </c>
      <c r="BO16" s="2">
        <f t="shared" ref="BO16:BO41" si="85">SUM(AB16:AE16)</f>
        <v>748</v>
      </c>
      <c r="BP16" s="2">
        <f t="shared" ref="BP16:BP41" si="86">SUM(AF16:AI16)</f>
        <v>847</v>
      </c>
      <c r="BQ16" s="2">
        <f t="shared" si="56"/>
        <v>1058</v>
      </c>
      <c r="BR16" s="2">
        <f t="shared" si="78"/>
        <v>1194</v>
      </c>
    </row>
    <row r="17" spans="2:120">
      <c r="AR17" s="2"/>
    </row>
    <row r="18" spans="2:120">
      <c r="B18" s="2" t="s">
        <v>287</v>
      </c>
      <c r="T18" s="13">
        <f t="shared" ref="T18:W18" si="87">T14/T16</f>
        <v>0.64241390854802671</v>
      </c>
      <c r="U18" s="13">
        <f t="shared" si="87"/>
        <v>0.64361666455540567</v>
      </c>
      <c r="V18" s="13">
        <f t="shared" si="87"/>
        <v>0.64710183366546714</v>
      </c>
      <c r="W18" s="13">
        <f t="shared" si="87"/>
        <v>0.66131308472335992</v>
      </c>
      <c r="X18" s="13">
        <f t="shared" ref="X18:AA18" si="88">X14/X16</f>
        <v>0.7007299270072993</v>
      </c>
      <c r="Y18" s="13">
        <f t="shared" si="88"/>
        <v>0.74285714285714288</v>
      </c>
      <c r="Z18" s="13">
        <f t="shared" si="88"/>
        <v>0.72847682119205293</v>
      </c>
      <c r="AA18" s="13">
        <f t="shared" si="88"/>
        <v>0.69461077844311381</v>
      </c>
      <c r="AB18" s="13">
        <f t="shared" ref="AB18:AP18" si="89">AB14/AB16</f>
        <v>0.7100591715976331</v>
      </c>
      <c r="AC18" s="13">
        <f t="shared" si="89"/>
        <v>0.69565217391304346</v>
      </c>
      <c r="AD18" s="13">
        <f t="shared" si="89"/>
        <v>0.71052631578947367</v>
      </c>
      <c r="AE18" s="13">
        <f t="shared" si="89"/>
        <v>0.70731707317073167</v>
      </c>
      <c r="AF18" s="13">
        <f t="shared" si="89"/>
        <v>0.70588235294117652</v>
      </c>
      <c r="AG18" s="13">
        <f t="shared" si="89"/>
        <v>0.67788461538461542</v>
      </c>
      <c r="AH18" s="13">
        <f t="shared" si="89"/>
        <v>0.69626168224299068</v>
      </c>
      <c r="AI18" s="13">
        <f t="shared" si="89"/>
        <v>0.71493212669683259</v>
      </c>
      <c r="AJ18" s="13">
        <f t="shared" si="89"/>
        <v>0.7136929460580913</v>
      </c>
      <c r="AK18" s="13">
        <f t="shared" si="89"/>
        <v>0.71264367816091956</v>
      </c>
      <c r="AL18" s="13">
        <f t="shared" si="89"/>
        <v>0.71955719557195574</v>
      </c>
      <c r="AM18" s="13">
        <f t="shared" si="89"/>
        <v>0.71578947368421053</v>
      </c>
      <c r="AN18" s="13">
        <f t="shared" si="89"/>
        <v>0.75268817204301075</v>
      </c>
      <c r="AO18" s="13">
        <f t="shared" si="89"/>
        <v>0.72909698996655514</v>
      </c>
      <c r="AP18" s="13">
        <f t="shared" si="89"/>
        <v>0.75083056478405319</v>
      </c>
      <c r="AQ18" s="13">
        <f>AQ14/AQ16</f>
        <v>0.78730158730158728</v>
      </c>
      <c r="AR18" s="13">
        <f t="shared" ref="AR18" si="90">AR14/AR16</f>
        <v>0.79243536743382492</v>
      </c>
      <c r="BM18" s="13">
        <f t="shared" ref="BM18:BR18" si="91">BM14/BM16</f>
        <v>0.64891862119864163</v>
      </c>
      <c r="BN18" s="13">
        <f t="shared" si="91"/>
        <v>0.7142857142857143</v>
      </c>
      <c r="BO18" s="13">
        <f t="shared" si="91"/>
        <v>0.51203208556149737</v>
      </c>
      <c r="BP18" s="13">
        <f t="shared" si="91"/>
        <v>0.51239669421487599</v>
      </c>
      <c r="BQ18" s="13">
        <f t="shared" si="91"/>
        <v>0.71550094517958407</v>
      </c>
      <c r="BR18" s="13">
        <f t="shared" si="91"/>
        <v>0.75544388609715241</v>
      </c>
    </row>
    <row r="19" spans="2:120">
      <c r="B19" s="2" t="s">
        <v>288</v>
      </c>
      <c r="T19" s="13">
        <f t="shared" ref="T19:AQ19" si="92">T15/T16</f>
        <v>0.35758609145197329</v>
      </c>
      <c r="U19" s="13">
        <f t="shared" si="92"/>
        <v>0.35638333544459433</v>
      </c>
      <c r="V19" s="13">
        <f t="shared" si="92"/>
        <v>0.3528981663345328</v>
      </c>
      <c r="W19" s="13">
        <f t="shared" si="92"/>
        <v>0.33868691527664002</v>
      </c>
      <c r="X19" s="13">
        <f t="shared" si="92"/>
        <v>0.29927007299270075</v>
      </c>
      <c r="Y19" s="13">
        <f t="shared" si="92"/>
        <v>0.25714285714285712</v>
      </c>
      <c r="Z19" s="13">
        <f t="shared" si="92"/>
        <v>0.27152317880794702</v>
      </c>
      <c r="AA19" s="13">
        <f t="shared" si="92"/>
        <v>0.30538922155688625</v>
      </c>
      <c r="AB19" s="13">
        <f t="shared" si="92"/>
        <v>0.28994082840236685</v>
      </c>
      <c r="AC19" s="13">
        <f t="shared" si="92"/>
        <v>0.30434782608695654</v>
      </c>
      <c r="AD19" s="13">
        <f t="shared" si="92"/>
        <v>0.28947368421052633</v>
      </c>
      <c r="AE19" s="13">
        <f t="shared" si="92"/>
        <v>0.29268292682926828</v>
      </c>
      <c r="AF19" s="13">
        <f t="shared" si="92"/>
        <v>0.29411764705882354</v>
      </c>
      <c r="AG19" s="13">
        <f t="shared" si="92"/>
        <v>0.32211538461538464</v>
      </c>
      <c r="AH19" s="13">
        <f t="shared" si="92"/>
        <v>0.30373831775700932</v>
      </c>
      <c r="AI19" s="13">
        <f t="shared" si="92"/>
        <v>0.28506787330316741</v>
      </c>
      <c r="AJ19" s="13">
        <f t="shared" si="92"/>
        <v>0.2863070539419087</v>
      </c>
      <c r="AK19" s="13">
        <f t="shared" si="92"/>
        <v>0.28735632183908044</v>
      </c>
      <c r="AL19" s="13">
        <f t="shared" si="92"/>
        <v>0.28044280442804426</v>
      </c>
      <c r="AM19" s="13">
        <f t="shared" si="92"/>
        <v>0.28421052631578947</v>
      </c>
      <c r="AN19" s="13">
        <f t="shared" si="92"/>
        <v>0.24731182795698925</v>
      </c>
      <c r="AO19" s="13">
        <f t="shared" si="92"/>
        <v>0.2709030100334448</v>
      </c>
      <c r="AP19" s="13">
        <f t="shared" si="92"/>
        <v>0.24916943521594684</v>
      </c>
      <c r="AQ19" s="13">
        <f t="shared" si="92"/>
        <v>0.21269841269841269</v>
      </c>
      <c r="AR19" s="13">
        <f t="shared" ref="AR19" si="93">AR15/AR16</f>
        <v>0.20756463256617513</v>
      </c>
      <c r="BM19" s="13">
        <f t="shared" ref="BM19:BR19" si="94">BM15/BM16</f>
        <v>0.35108137880135842</v>
      </c>
      <c r="BN19" s="13">
        <f t="shared" si="94"/>
        <v>0.2857142857142857</v>
      </c>
      <c r="BO19" s="13">
        <f t="shared" si="94"/>
        <v>0.21390374331550802</v>
      </c>
      <c r="BP19" s="13">
        <f t="shared" si="94"/>
        <v>0.22668240850059032</v>
      </c>
      <c r="BQ19" s="13">
        <f t="shared" si="94"/>
        <v>0.28449905482041588</v>
      </c>
      <c r="BR19" s="13">
        <f t="shared" si="94"/>
        <v>0.24455611390284757</v>
      </c>
    </row>
    <row r="20" spans="2:120">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BM20" s="13"/>
      <c r="BN20" s="13"/>
      <c r="BO20" s="13"/>
      <c r="BP20" s="13"/>
      <c r="BQ20" s="13"/>
      <c r="BR20" s="13"/>
    </row>
    <row r="21" spans="2:120">
      <c r="B21" s="2" t="s">
        <v>289</v>
      </c>
      <c r="T21" s="13"/>
      <c r="U21" s="13"/>
      <c r="V21" s="13"/>
      <c r="W21" s="13"/>
      <c r="X21" s="13">
        <f t="shared" ref="X21:AG23" si="95">X14/T14-1</f>
        <v>0.16348123280532301</v>
      </c>
      <c r="Y21" s="13">
        <f t="shared" si="95"/>
        <v>-9.6950471206613043E-2</v>
      </c>
      <c r="Z21" s="13">
        <f t="shared" si="95"/>
        <v>0.21853952499113771</v>
      </c>
      <c r="AA21" s="13">
        <f t="shared" si="95"/>
        <v>0.20754088462779574</v>
      </c>
      <c r="AB21" s="13">
        <f t="shared" si="95"/>
        <v>0.25</v>
      </c>
      <c r="AC21" s="13">
        <f t="shared" si="95"/>
        <v>0.64102564102564097</v>
      </c>
      <c r="AD21" s="13">
        <f t="shared" si="95"/>
        <v>0.22727272727272729</v>
      </c>
      <c r="AE21" s="13">
        <f t="shared" si="95"/>
        <v>0.25</v>
      </c>
      <c r="AF21" s="13">
        <f t="shared" si="95"/>
        <v>0.19999999999999996</v>
      </c>
      <c r="AG21" s="13">
        <f t="shared" si="95"/>
        <v>0.1015625</v>
      </c>
      <c r="AH21" s="13">
        <f t="shared" ref="AH21:AR23" si="96">AH14/AD14-1</f>
        <v>0.10370370370370363</v>
      </c>
      <c r="AI21" s="13">
        <f t="shared" si="96"/>
        <v>8.9655172413793061E-2</v>
      </c>
      <c r="AJ21" s="13">
        <f t="shared" si="96"/>
        <v>0.19444444444444442</v>
      </c>
      <c r="AK21" s="13">
        <f t="shared" si="96"/>
        <v>0.31914893617021267</v>
      </c>
      <c r="AL21" s="13">
        <f t="shared" si="96"/>
        <v>0.3087248322147651</v>
      </c>
      <c r="AM21" s="13">
        <f t="shared" si="96"/>
        <v>0.29113924050632911</v>
      </c>
      <c r="AN21" s="13">
        <f t="shared" si="96"/>
        <v>0.22093023255813948</v>
      </c>
      <c r="AO21" s="13">
        <f t="shared" si="96"/>
        <v>0.17204301075268824</v>
      </c>
      <c r="AP21" s="13">
        <f t="shared" si="96"/>
        <v>0.15897435897435908</v>
      </c>
      <c r="AQ21" s="13">
        <f t="shared" si="96"/>
        <v>0.21568627450980382</v>
      </c>
      <c r="AR21" s="13">
        <f t="shared" si="96"/>
        <v>0.22314285714285731</v>
      </c>
      <c r="BM21" s="13"/>
      <c r="BN21" s="13">
        <f t="shared" ref="BN21:BR23" si="97">BN14/BM14-1</f>
        <v>0.12606272169359833</v>
      </c>
      <c r="BO21" s="13">
        <f t="shared" si="97"/>
        <v>-4.2499999999999982E-2</v>
      </c>
      <c r="BP21" s="13">
        <f t="shared" si="97"/>
        <v>0.13315926892950403</v>
      </c>
      <c r="BQ21" s="13">
        <f t="shared" si="97"/>
        <v>0.74423963133640547</v>
      </c>
      <c r="BR21" s="13">
        <f t="shared" si="97"/>
        <v>0.19154557463672384</v>
      </c>
    </row>
    <row r="22" spans="2:120">
      <c r="B22" s="2" t="s">
        <v>290</v>
      </c>
      <c r="T22" s="13"/>
      <c r="U22" s="13"/>
      <c r="V22" s="13"/>
      <c r="W22" s="13"/>
      <c r="X22" s="13">
        <f t="shared" si="95"/>
        <v>-0.10729838007315795</v>
      </c>
      <c r="Y22" s="13">
        <f t="shared" si="95"/>
        <v>-0.43546532293474394</v>
      </c>
      <c r="Z22" s="13">
        <f t="shared" si="95"/>
        <v>-0.16717448710136096</v>
      </c>
      <c r="AA22" s="13">
        <f t="shared" si="95"/>
        <v>3.6627505183136844E-2</v>
      </c>
      <c r="AB22" s="13">
        <f t="shared" si="95"/>
        <v>0.19512195121951215</v>
      </c>
      <c r="AC22" s="13">
        <f t="shared" si="95"/>
        <v>1.074074074074074</v>
      </c>
      <c r="AD22" s="13">
        <f t="shared" si="95"/>
        <v>0.34146341463414642</v>
      </c>
      <c r="AE22" s="13">
        <f t="shared" si="95"/>
        <v>0.17647058823529416</v>
      </c>
      <c r="AF22" s="13">
        <f t="shared" si="95"/>
        <v>0.22448979591836737</v>
      </c>
      <c r="AG22" s="13">
        <f t="shared" si="95"/>
        <v>0.1964285714285714</v>
      </c>
      <c r="AH22" s="13">
        <f t="shared" si="96"/>
        <v>0.18181818181818188</v>
      </c>
      <c r="AI22" s="13">
        <f t="shared" si="96"/>
        <v>5.0000000000000044E-2</v>
      </c>
      <c r="AJ22" s="13">
        <f t="shared" si="96"/>
        <v>0.14999999999999991</v>
      </c>
      <c r="AK22" s="13">
        <f t="shared" si="96"/>
        <v>0.11940298507462677</v>
      </c>
      <c r="AL22" s="13">
        <f t="shared" si="96"/>
        <v>0.1692307692307693</v>
      </c>
      <c r="AM22" s="13">
        <f t="shared" si="96"/>
        <v>0.28571428571428581</v>
      </c>
      <c r="AN22" s="13">
        <f t="shared" si="96"/>
        <v>0</v>
      </c>
      <c r="AO22" s="13">
        <f t="shared" si="96"/>
        <v>8.0000000000000071E-2</v>
      </c>
      <c r="AP22" s="13">
        <f t="shared" si="96"/>
        <v>-1.3157894736842146E-2</v>
      </c>
      <c r="AQ22" s="13">
        <f t="shared" si="96"/>
        <v>-0.1728395061728395</v>
      </c>
      <c r="AR22" s="13">
        <f t="shared" si="96"/>
        <v>-2.492753623188404E-2</v>
      </c>
      <c r="BM22" s="13"/>
      <c r="BN22" s="13">
        <f t="shared" si="97"/>
        <v>-0.16746018118147821</v>
      </c>
      <c r="BO22" s="13">
        <f t="shared" si="97"/>
        <v>0</v>
      </c>
      <c r="BP22" s="13">
        <f t="shared" si="97"/>
        <v>0.19999999999999996</v>
      </c>
      <c r="BQ22" s="13">
        <f t="shared" si="97"/>
        <v>0.56770833333333326</v>
      </c>
      <c r="BR22" s="13">
        <f t="shared" si="97"/>
        <v>-2.9900332225913595E-2</v>
      </c>
    </row>
    <row r="23" spans="2:120">
      <c r="B23" s="2" t="s">
        <v>282</v>
      </c>
      <c r="T23" s="13"/>
      <c r="U23" s="13"/>
      <c r="V23" s="13"/>
      <c r="W23" s="13"/>
      <c r="X23" s="13">
        <f t="shared" si="95"/>
        <v>6.6654209391228569E-2</v>
      </c>
      <c r="Y23" s="13">
        <f t="shared" si="95"/>
        <v>-0.21759152316301666</v>
      </c>
      <c r="Z23" s="13">
        <f t="shared" si="95"/>
        <v>8.2421757394159245E-2</v>
      </c>
      <c r="AA23" s="13">
        <f t="shared" si="95"/>
        <v>0.14965475936417838</v>
      </c>
      <c r="AB23" s="13">
        <f t="shared" si="95"/>
        <v>0.23357664233576636</v>
      </c>
      <c r="AC23" s="13">
        <f t="shared" si="95"/>
        <v>0.75238095238095237</v>
      </c>
      <c r="AD23" s="13">
        <f t="shared" si="95"/>
        <v>0.25827814569536423</v>
      </c>
      <c r="AE23" s="13">
        <f t="shared" si="95"/>
        <v>0.22754491017964074</v>
      </c>
      <c r="AF23" s="13">
        <f t="shared" si="95"/>
        <v>0.20710059171597628</v>
      </c>
      <c r="AG23" s="13">
        <f t="shared" si="95"/>
        <v>0.13043478260869557</v>
      </c>
      <c r="AH23" s="13">
        <f t="shared" si="96"/>
        <v>0.12631578947368416</v>
      </c>
      <c r="AI23" s="13">
        <f t="shared" si="96"/>
        <v>7.8048780487804947E-2</v>
      </c>
      <c r="AJ23" s="13">
        <f t="shared" si="96"/>
        <v>0.18137254901960786</v>
      </c>
      <c r="AK23" s="13">
        <f t="shared" si="96"/>
        <v>0.25480769230769229</v>
      </c>
      <c r="AL23" s="13">
        <f t="shared" si="96"/>
        <v>0.26635514018691597</v>
      </c>
      <c r="AM23" s="13">
        <f t="shared" si="96"/>
        <v>0.28959276018099556</v>
      </c>
      <c r="AN23" s="13">
        <f t="shared" si="96"/>
        <v>0.15767634854771795</v>
      </c>
      <c r="AO23" s="13">
        <f t="shared" si="96"/>
        <v>0.14559386973180066</v>
      </c>
      <c r="AP23" s="13">
        <f t="shared" si="96"/>
        <v>0.11070110701107017</v>
      </c>
      <c r="AQ23" s="13">
        <f t="shared" si="96"/>
        <v>0.10526315789473695</v>
      </c>
      <c r="AR23" s="13">
        <f t="shared" si="96"/>
        <v>0.16179211469534049</v>
      </c>
      <c r="BM23" s="13"/>
      <c r="BN23" s="13">
        <f t="shared" si="97"/>
        <v>2.3012296242439279E-2</v>
      </c>
      <c r="BO23" s="13">
        <f t="shared" si="97"/>
        <v>0.33571428571428563</v>
      </c>
      <c r="BP23" s="13">
        <f t="shared" si="97"/>
        <v>0.13235294117647056</v>
      </c>
      <c r="BQ23" s="13">
        <f t="shared" si="97"/>
        <v>0.2491145218417945</v>
      </c>
      <c r="BR23" s="13">
        <f t="shared" si="97"/>
        <v>0.12854442344045358</v>
      </c>
    </row>
    <row r="24" spans="2:120">
      <c r="AR24" s="2"/>
    </row>
    <row r="25" spans="2:120">
      <c r="AR25" s="2"/>
    </row>
    <row r="26" spans="2:120" s="1" customFormat="1">
      <c r="B26" s="1" t="s">
        <v>277</v>
      </c>
      <c r="C26" s="15">
        <v>32.5</v>
      </c>
      <c r="D26" s="15">
        <v>39</v>
      </c>
      <c r="E26" s="15">
        <v>42.3</v>
      </c>
      <c r="F26" s="15">
        <v>50.4</v>
      </c>
      <c r="G26" s="15">
        <v>54.4</v>
      </c>
      <c r="H26" s="15">
        <v>57.9</v>
      </c>
      <c r="I26" s="15">
        <v>65.099999999999994</v>
      </c>
      <c r="J26" s="15">
        <v>67.2</v>
      </c>
      <c r="K26" s="15">
        <v>73.099999999999994</v>
      </c>
      <c r="L26" s="15">
        <v>73.2</v>
      </c>
      <c r="M26" s="15">
        <v>80.599999999999994</v>
      </c>
      <c r="N26" s="15">
        <v>83.9</v>
      </c>
      <c r="O26" s="15">
        <v>96.1</v>
      </c>
      <c r="P26" s="15">
        <v>102.7</v>
      </c>
      <c r="Q26" s="15">
        <v>109.6</v>
      </c>
      <c r="R26" s="15">
        <v>111.8</v>
      </c>
      <c r="S26" s="15">
        <v>120.8</v>
      </c>
      <c r="T26" s="15">
        <f>T16</f>
        <v>128.43899999999999</v>
      </c>
      <c r="U26" s="15">
        <f>U16</f>
        <v>134.20099999999999</v>
      </c>
      <c r="V26" s="15">
        <f>V16</f>
        <v>139.50200000000001</v>
      </c>
      <c r="W26" s="15">
        <f>W16</f>
        <v>145.26100000000008</v>
      </c>
      <c r="X26" s="15">
        <v>137.30000000000001</v>
      </c>
      <c r="Y26" s="15">
        <v>105.1</v>
      </c>
      <c r="Z26" s="15">
        <v>151.1</v>
      </c>
      <c r="AA26" s="15">
        <f>560.412-SUM(X26:Z26)</f>
        <v>166.91200000000003</v>
      </c>
      <c r="AB26" s="15">
        <v>169.2</v>
      </c>
      <c r="AC26" s="15">
        <v>184.3</v>
      </c>
      <c r="AD26" s="15">
        <v>190.1</v>
      </c>
      <c r="AE26" s="15">
        <f>747.59-SUM(AB26:AD26)</f>
        <v>203.99</v>
      </c>
      <c r="AF26" s="15">
        <v>203.9</v>
      </c>
      <c r="AG26" s="15">
        <v>208.3</v>
      </c>
      <c r="AH26" s="15">
        <v>213.7</v>
      </c>
      <c r="AI26" s="15">
        <f>847.133-SUM(AF26:AH26)</f>
        <v>221.23299999999995</v>
      </c>
      <c r="AJ26" s="15">
        <v>241.4</v>
      </c>
      <c r="AK26" s="15">
        <v>261.5</v>
      </c>
      <c r="AL26" s="15">
        <v>270.89999999999998</v>
      </c>
      <c r="AM26" s="15">
        <f>1058.52-SUM(AJ26:AL26)</f>
        <v>284.72000000000003</v>
      </c>
      <c r="AN26" s="15">
        <v>278.7</v>
      </c>
      <c r="AO26" s="15">
        <v>299.39999999999998</v>
      </c>
      <c r="AP26" s="15">
        <v>301</v>
      </c>
      <c r="AQ26" s="15">
        <f>1194.6-SUM(AN26:AP26)</f>
        <v>315.5</v>
      </c>
      <c r="AR26" s="15">
        <f>AR16</f>
        <v>324.14</v>
      </c>
      <c r="AS26" s="121"/>
      <c r="AT26" s="121"/>
      <c r="AU26" s="121"/>
      <c r="AV26" s="121"/>
      <c r="AW26" s="121"/>
      <c r="AX26" s="121"/>
      <c r="AY26" s="121"/>
      <c r="AZ26" s="121"/>
      <c r="BA26" s="121"/>
      <c r="BB26" s="121"/>
      <c r="BC26" s="121"/>
      <c r="BM26" s="16">
        <f t="shared" ref="BM26:BM41" si="98">SUM(T26:W26)</f>
        <v>547.40300000000002</v>
      </c>
      <c r="BN26" s="16">
        <f t="shared" si="77"/>
        <v>560.41200000000003</v>
      </c>
      <c r="BO26" s="16">
        <f t="shared" si="85"/>
        <v>747.59</v>
      </c>
      <c r="BP26" s="16">
        <f t="shared" si="86"/>
        <v>847.13300000000004</v>
      </c>
      <c r="BQ26" s="16">
        <f t="shared" si="56"/>
        <v>1058.52</v>
      </c>
      <c r="BR26" s="16">
        <f t="shared" si="78"/>
        <v>1194.5999999999999</v>
      </c>
      <c r="BS26" s="124">
        <f t="shared" ref="BS26:BX26" si="99">BS5</f>
        <v>1370.55</v>
      </c>
      <c r="BT26" s="124">
        <f t="shared" si="99"/>
        <v>1566.7598750000002</v>
      </c>
      <c r="BU26" s="124">
        <f t="shared" si="99"/>
        <v>1780.6575612500001</v>
      </c>
      <c r="BV26" s="124">
        <f t="shared" si="99"/>
        <v>2027.7249298600002</v>
      </c>
      <c r="BW26" s="124">
        <f t="shared" si="99"/>
        <v>2292.8943898604753</v>
      </c>
      <c r="BX26" s="124">
        <f t="shared" si="99"/>
        <v>2578.9646607434797</v>
      </c>
      <c r="BY26" s="124">
        <f t="shared" ref="BY26:CB26" si="100">BY5</f>
        <v>2885.8770722158688</v>
      </c>
      <c r="BZ26" s="124">
        <f t="shared" si="100"/>
        <v>3185.8302043096355</v>
      </c>
      <c r="CA26" s="124">
        <f t="shared" si="100"/>
        <v>3465.9308914386447</v>
      </c>
      <c r="CB26" s="124">
        <f t="shared" si="100"/>
        <v>3712.6726693575797</v>
      </c>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row>
    <row r="27" spans="2:120">
      <c r="B27" s="2" t="s">
        <v>593</v>
      </c>
      <c r="C27" s="11">
        <v>11.7</v>
      </c>
      <c r="D27" s="11">
        <v>12.2</v>
      </c>
      <c r="E27" s="11">
        <v>14.9</v>
      </c>
      <c r="F27" s="11">
        <v>16.899999999999999</v>
      </c>
      <c r="G27" s="11">
        <v>18</v>
      </c>
      <c r="H27" s="11">
        <v>18</v>
      </c>
      <c r="I27" s="11">
        <v>23.6</v>
      </c>
      <c r="J27" s="11">
        <v>24.3</v>
      </c>
      <c r="K27" s="11">
        <v>26.5</v>
      </c>
      <c r="L27" s="11">
        <v>25.5</v>
      </c>
      <c r="M27" s="11">
        <v>29.7</v>
      </c>
      <c r="N27" s="11">
        <v>29.1</v>
      </c>
      <c r="O27" s="11">
        <v>32.299999999999997</v>
      </c>
      <c r="P27" s="11">
        <v>36.1</v>
      </c>
      <c r="Q27" s="11">
        <v>37.4</v>
      </c>
      <c r="R27" s="11">
        <v>36.799999999999997</v>
      </c>
      <c r="S27" s="11">
        <v>42.1</v>
      </c>
      <c r="T27" s="11">
        <v>44.529000000000003</v>
      </c>
      <c r="U27" s="11">
        <v>40.273000000000003</v>
      </c>
      <c r="V27" s="11">
        <v>43.503999999999998</v>
      </c>
      <c r="W27" s="11">
        <f>175.441-SUM(T27:V27)</f>
        <v>47.134999999999991</v>
      </c>
      <c r="X27" s="11">
        <v>49.3</v>
      </c>
      <c r="Y27" s="11">
        <v>40.200000000000003</v>
      </c>
      <c r="Z27" s="11">
        <v>60.152999999999999</v>
      </c>
      <c r="AA27" s="11">
        <f>222.237-SUM(X27:Z27)</f>
        <v>72.584000000000003</v>
      </c>
      <c r="AB27" s="11">
        <v>57.866999999999997</v>
      </c>
      <c r="AC27" s="11">
        <v>65.599999999999994</v>
      </c>
      <c r="AD27" s="11">
        <v>70.2</v>
      </c>
      <c r="AE27" s="11">
        <f>272.208-SUM(AB27:AD27)</f>
        <v>78.541000000000054</v>
      </c>
      <c r="AF27" s="11">
        <v>76.5</v>
      </c>
      <c r="AG27" s="11">
        <v>74.3</v>
      </c>
      <c r="AH27" s="11">
        <v>78.400000000000006</v>
      </c>
      <c r="AI27" s="11">
        <f>311.926-SUM(AF27:AH27)</f>
        <v>82.725999999999971</v>
      </c>
      <c r="AJ27" s="11">
        <v>90.3</v>
      </c>
      <c r="AK27" s="11">
        <v>94.6</v>
      </c>
      <c r="AL27" s="11">
        <v>93.2</v>
      </c>
      <c r="AM27" s="11">
        <f>375.9-SUM(AJ27:AL27)</f>
        <v>97.800000000000011</v>
      </c>
      <c r="AN27" s="11">
        <v>97.5</v>
      </c>
      <c r="AO27" s="11">
        <v>136.6</v>
      </c>
      <c r="AP27" s="11">
        <v>100.7</v>
      </c>
      <c r="AQ27" s="11">
        <f>439.6-SUM(AN27:AP27)</f>
        <v>104.80000000000001</v>
      </c>
      <c r="AR27" s="11">
        <v>108.25700000000001</v>
      </c>
      <c r="BM27" s="11">
        <f t="shared" si="98"/>
        <v>175.441</v>
      </c>
      <c r="BN27" s="11">
        <f t="shared" si="77"/>
        <v>222.23699999999999</v>
      </c>
      <c r="BO27" s="11">
        <f t="shared" si="85"/>
        <v>272.20800000000003</v>
      </c>
      <c r="BP27" s="11">
        <f t="shared" si="86"/>
        <v>311.92599999999999</v>
      </c>
      <c r="BQ27" s="11">
        <f t="shared" si="56"/>
        <v>375.9</v>
      </c>
      <c r="BR27" s="11">
        <f t="shared" si="78"/>
        <v>439.6</v>
      </c>
      <c r="BS27" s="125">
        <f>BS26*(1-BS43)</f>
        <v>452.28149999999994</v>
      </c>
      <c r="BT27" s="125">
        <f t="shared" ref="BT27:BX27" si="101">BT26*(1-BT43)</f>
        <v>501.36315999999999</v>
      </c>
      <c r="BU27" s="125">
        <f t="shared" si="101"/>
        <v>562.68778935499995</v>
      </c>
      <c r="BV27" s="125">
        <f t="shared" si="101"/>
        <v>634.67790304617995</v>
      </c>
      <c r="BW27" s="125">
        <f t="shared" si="101"/>
        <v>710.79726085674747</v>
      </c>
      <c r="BX27" s="125">
        <f t="shared" si="101"/>
        <v>794.32111550899185</v>
      </c>
      <c r="BY27" s="125">
        <f t="shared" ref="BY27:CB27" si="102">BY26*(1-BY43)</f>
        <v>883.07838409805595</v>
      </c>
      <c r="BZ27" s="125">
        <f t="shared" si="102"/>
        <v>968.49238211012937</v>
      </c>
      <c r="CA27" s="125">
        <f t="shared" si="102"/>
        <v>1046.7111292144709</v>
      </c>
      <c r="CB27" s="125">
        <f t="shared" si="102"/>
        <v>1113.801800807274</v>
      </c>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c r="CZ27" s="125"/>
      <c r="DA27" s="125"/>
      <c r="DB27" s="125"/>
      <c r="DC27" s="125"/>
      <c r="DD27" s="125"/>
      <c r="DE27" s="125"/>
      <c r="DF27" s="125"/>
      <c r="DG27" s="125"/>
      <c r="DH27" s="125"/>
      <c r="DI27" s="125"/>
      <c r="DJ27" s="125"/>
      <c r="DK27" s="125"/>
      <c r="DL27" s="125"/>
      <c r="DM27" s="125"/>
      <c r="DN27" s="125"/>
      <c r="DO27" s="125"/>
      <c r="DP27" s="125"/>
    </row>
    <row r="28" spans="2:120">
      <c r="B28" s="2" t="s">
        <v>291</v>
      </c>
      <c r="C28" s="67">
        <f t="shared" ref="C28" si="103">C26-C27</f>
        <v>20.8</v>
      </c>
      <c r="D28" s="67">
        <f t="shared" ref="D28" si="104">D26-D27</f>
        <v>26.8</v>
      </c>
      <c r="E28" s="67">
        <f t="shared" ref="E28" si="105">E26-E27</f>
        <v>27.4</v>
      </c>
      <c r="F28" s="67">
        <f t="shared" ref="F28" si="106">F26-F27</f>
        <v>33.5</v>
      </c>
      <c r="G28" s="67">
        <f t="shared" ref="G28" si="107">G26-G27</f>
        <v>36.4</v>
      </c>
      <c r="H28" s="67">
        <f t="shared" ref="H28" si="108">H26-H27</f>
        <v>39.9</v>
      </c>
      <c r="I28" s="67">
        <f t="shared" ref="I28" si="109">I26-I27</f>
        <v>41.499999999999993</v>
      </c>
      <c r="J28" s="67">
        <f t="shared" ref="J28" si="110">J26-J27</f>
        <v>42.900000000000006</v>
      </c>
      <c r="K28" s="67">
        <f t="shared" ref="K28" si="111">K26-K27</f>
        <v>46.599999999999994</v>
      </c>
      <c r="L28" s="67">
        <f t="shared" ref="L28" si="112">L26-L27</f>
        <v>47.7</v>
      </c>
      <c r="M28" s="67">
        <f t="shared" ref="M28" si="113">M26-M27</f>
        <v>50.899999999999991</v>
      </c>
      <c r="N28" s="67">
        <f t="shared" ref="N28" si="114">N26-N27</f>
        <v>54.800000000000004</v>
      </c>
      <c r="O28" s="67">
        <f t="shared" ref="O28" si="115">O26-O27</f>
        <v>63.8</v>
      </c>
      <c r="P28" s="67">
        <f t="shared" ref="P28" si="116">P26-P27</f>
        <v>66.599999999999994</v>
      </c>
      <c r="Q28" s="67">
        <f t="shared" ref="Q28" si="117">Q26-Q27</f>
        <v>72.199999999999989</v>
      </c>
      <c r="R28" s="67">
        <f t="shared" ref="R28" si="118">R26-R27</f>
        <v>75</v>
      </c>
      <c r="S28" s="67">
        <f t="shared" ref="S28" si="119">S26-S27</f>
        <v>78.699999999999989</v>
      </c>
      <c r="T28" s="67">
        <f t="shared" ref="T28" si="120">T26-T27</f>
        <v>83.91</v>
      </c>
      <c r="U28" s="11">
        <f t="shared" ref="U28" si="121">U26-U27</f>
        <v>93.927999999999997</v>
      </c>
      <c r="V28" s="11">
        <f t="shared" ref="V28" si="122">V26-V27</f>
        <v>95.998000000000019</v>
      </c>
      <c r="W28" s="11">
        <f t="shared" ref="W28" si="123">W26-W27</f>
        <v>98.12600000000009</v>
      </c>
      <c r="X28" s="11">
        <f t="shared" ref="X28:AO28" si="124">X26-X27</f>
        <v>88.000000000000014</v>
      </c>
      <c r="Y28" s="11">
        <f t="shared" si="124"/>
        <v>64.899999999999991</v>
      </c>
      <c r="Z28" s="11">
        <f t="shared" si="124"/>
        <v>90.947000000000003</v>
      </c>
      <c r="AA28" s="11">
        <f>AA26-AA27</f>
        <v>94.328000000000031</v>
      </c>
      <c r="AB28" s="11">
        <f t="shared" si="124"/>
        <v>111.333</v>
      </c>
      <c r="AC28" s="11">
        <f t="shared" si="124"/>
        <v>118.70000000000002</v>
      </c>
      <c r="AD28" s="11">
        <f t="shared" si="124"/>
        <v>119.89999999999999</v>
      </c>
      <c r="AE28" s="11">
        <f t="shared" si="124"/>
        <v>125.44899999999996</v>
      </c>
      <c r="AF28" s="11">
        <f t="shared" si="124"/>
        <v>127.4</v>
      </c>
      <c r="AG28" s="11">
        <f t="shared" si="124"/>
        <v>134</v>
      </c>
      <c r="AH28" s="11">
        <f t="shared" si="124"/>
        <v>135.29999999999998</v>
      </c>
      <c r="AI28" s="11">
        <f t="shared" si="124"/>
        <v>138.50699999999998</v>
      </c>
      <c r="AJ28" s="11">
        <f t="shared" si="124"/>
        <v>151.10000000000002</v>
      </c>
      <c r="AK28" s="11">
        <f t="shared" si="124"/>
        <v>166.9</v>
      </c>
      <c r="AL28" s="11">
        <f t="shared" si="124"/>
        <v>177.7</v>
      </c>
      <c r="AM28" s="11">
        <f t="shared" si="124"/>
        <v>186.92000000000002</v>
      </c>
      <c r="AN28" s="11">
        <f t="shared" si="124"/>
        <v>181.2</v>
      </c>
      <c r="AO28" s="11">
        <f t="shared" si="124"/>
        <v>162.79999999999998</v>
      </c>
      <c r="AP28" s="11">
        <f>AP26-AP27</f>
        <v>200.3</v>
      </c>
      <c r="AQ28" s="11">
        <f t="shared" ref="AQ28" si="125">AQ26-AQ27</f>
        <v>210.7</v>
      </c>
      <c r="AR28" s="11">
        <f>AR26-AR27</f>
        <v>215.88299999999998</v>
      </c>
      <c r="BM28" s="11">
        <f t="shared" ref="BM28:BQ28" si="126">BM26-BM27</f>
        <v>371.96199999999999</v>
      </c>
      <c r="BN28" s="11">
        <f t="shared" si="126"/>
        <v>338.17500000000007</v>
      </c>
      <c r="BO28" s="11">
        <f t="shared" si="126"/>
        <v>475.38200000000001</v>
      </c>
      <c r="BP28" s="11">
        <f t="shared" si="126"/>
        <v>535.20700000000011</v>
      </c>
      <c r="BQ28" s="11">
        <f t="shared" si="126"/>
        <v>682.62</v>
      </c>
      <c r="BR28" s="11">
        <f>BR26-BR27</f>
        <v>754.99999999999989</v>
      </c>
      <c r="BS28" s="125">
        <f t="shared" ref="BS28:BX28" si="127">BS26-BS27</f>
        <v>918.26850000000002</v>
      </c>
      <c r="BT28" s="125">
        <f t="shared" si="127"/>
        <v>1065.3967150000003</v>
      </c>
      <c r="BU28" s="125">
        <f t="shared" si="127"/>
        <v>1217.9697718950001</v>
      </c>
      <c r="BV28" s="125">
        <f t="shared" si="127"/>
        <v>1393.0470268138201</v>
      </c>
      <c r="BW28" s="125">
        <f t="shared" si="127"/>
        <v>1582.0971290037278</v>
      </c>
      <c r="BX28" s="125">
        <f t="shared" si="127"/>
        <v>1784.6435452344879</v>
      </c>
      <c r="BY28" s="125">
        <f t="shared" ref="BY28:CB28" si="128">BY26-BY27</f>
        <v>2002.7986881178128</v>
      </c>
      <c r="BZ28" s="125">
        <f t="shared" si="128"/>
        <v>2217.3378221995063</v>
      </c>
      <c r="CA28" s="125">
        <f t="shared" si="128"/>
        <v>2419.2197622241738</v>
      </c>
      <c r="CB28" s="125">
        <f t="shared" si="128"/>
        <v>2598.8708685503057</v>
      </c>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c r="CZ28" s="125"/>
      <c r="DA28" s="125"/>
      <c r="DB28" s="125"/>
      <c r="DC28" s="125"/>
      <c r="DD28" s="125"/>
      <c r="DE28" s="125"/>
      <c r="DF28" s="125"/>
      <c r="DG28" s="125"/>
      <c r="DH28" s="125"/>
      <c r="DI28" s="125"/>
      <c r="DJ28" s="125"/>
      <c r="DK28" s="125"/>
      <c r="DL28" s="125"/>
      <c r="DM28" s="125"/>
      <c r="DN28" s="125"/>
      <c r="DO28" s="125"/>
      <c r="DP28" s="125"/>
    </row>
    <row r="29" spans="2:120">
      <c r="B29" s="2" t="s">
        <v>292</v>
      </c>
      <c r="C29" s="11">
        <v>3.9</v>
      </c>
      <c r="D29" s="11">
        <v>3.2</v>
      </c>
      <c r="E29" s="11">
        <v>4.8</v>
      </c>
      <c r="F29" s="11">
        <v>4.5999999999999996</v>
      </c>
      <c r="G29" s="11">
        <v>5.5</v>
      </c>
      <c r="H29" s="11">
        <v>5</v>
      </c>
      <c r="I29" s="11">
        <v>6.3</v>
      </c>
      <c r="J29" s="11">
        <v>6.5</v>
      </c>
      <c r="K29" s="11">
        <v>6.1</v>
      </c>
      <c r="L29" s="11">
        <v>7</v>
      </c>
      <c r="M29" s="11">
        <v>8.1</v>
      </c>
      <c r="N29" s="11">
        <v>8.1</v>
      </c>
      <c r="O29" s="11">
        <v>8.4</v>
      </c>
      <c r="P29" s="11">
        <v>8</v>
      </c>
      <c r="Q29" s="11">
        <v>8.1999999999999993</v>
      </c>
      <c r="R29" s="11">
        <v>39.9</v>
      </c>
      <c r="S29" s="11">
        <v>10.9</v>
      </c>
      <c r="T29" s="11">
        <v>11.667</v>
      </c>
      <c r="U29" s="11">
        <v>13.462</v>
      </c>
      <c r="V29" s="11">
        <v>13.733000000000001</v>
      </c>
      <c r="W29" s="11">
        <f>51.723-SUM(T29:V29)</f>
        <v>12.861000000000004</v>
      </c>
      <c r="X29" s="11">
        <v>12.946</v>
      </c>
      <c r="Y29" s="11">
        <v>22.725000000000001</v>
      </c>
      <c r="Z29" s="11">
        <v>34.923000000000002</v>
      </c>
      <c r="AA29" s="11">
        <f>90.049-SUM(X29:Z29)</f>
        <v>19.455000000000013</v>
      </c>
      <c r="AB29" s="11">
        <v>18.076000000000001</v>
      </c>
      <c r="AC29" s="11">
        <v>17.738</v>
      </c>
      <c r="AD29" s="11">
        <v>16.73</v>
      </c>
      <c r="AE29" s="11">
        <f>104.552-SUM(AB29:AD29)</f>
        <v>52.00800000000001</v>
      </c>
      <c r="AF29" s="11">
        <v>20.56</v>
      </c>
      <c r="AG29" s="11">
        <v>19.559000000000001</v>
      </c>
      <c r="AH29" s="11">
        <v>21.32</v>
      </c>
      <c r="AI29" s="11">
        <f>79.407-SUM(AF29:AH29)</f>
        <v>17.967999999999996</v>
      </c>
      <c r="AJ29" s="11">
        <v>19.98</v>
      </c>
      <c r="AK29" s="11">
        <v>21.5</v>
      </c>
      <c r="AL29" s="11">
        <v>21</v>
      </c>
      <c r="AM29" s="11">
        <f>84.4-SUM(AJ29:AL29)</f>
        <v>21.92</v>
      </c>
      <c r="AN29" s="11">
        <v>24.6</v>
      </c>
      <c r="AO29" s="11">
        <v>24.9</v>
      </c>
      <c r="AP29" s="11">
        <v>25.2</v>
      </c>
      <c r="AQ29" s="11">
        <f>94.8-SUM(AN29:AP29)</f>
        <v>20.099999999999994</v>
      </c>
      <c r="AR29" s="11">
        <v>22.077000000000002</v>
      </c>
      <c r="BM29" s="11">
        <f t="shared" si="98"/>
        <v>51.722999999999999</v>
      </c>
      <c r="BN29" s="11">
        <f t="shared" si="77"/>
        <v>90.049000000000007</v>
      </c>
      <c r="BO29" s="11">
        <f t="shared" si="85"/>
        <v>104.55200000000001</v>
      </c>
      <c r="BP29" s="11">
        <f t="shared" si="86"/>
        <v>79.406999999999996</v>
      </c>
      <c r="BQ29" s="11">
        <f t="shared" si="56"/>
        <v>84.4</v>
      </c>
      <c r="BR29" s="11">
        <f t="shared" si="78"/>
        <v>94.8</v>
      </c>
      <c r="BS29" s="125">
        <f t="shared" ref="BS29:BX29" si="129">BS26*BS44</f>
        <v>123.34949999999999</v>
      </c>
      <c r="BT29" s="125">
        <f t="shared" si="129"/>
        <v>148.84218812500001</v>
      </c>
      <c r="BU29" s="125">
        <f t="shared" si="129"/>
        <v>170.94312588</v>
      </c>
      <c r="BV29" s="125">
        <f t="shared" si="129"/>
        <v>196.68931819642003</v>
      </c>
      <c r="BW29" s="125">
        <f t="shared" si="129"/>
        <v>224.70365020632659</v>
      </c>
      <c r="BX29" s="125">
        <f t="shared" si="129"/>
        <v>255.3175014136045</v>
      </c>
      <c r="BY29" s="125">
        <f t="shared" ref="BY29:CB29" si="130">BY26*BY44</f>
        <v>288.58770722158687</v>
      </c>
      <c r="BZ29" s="125">
        <f t="shared" si="130"/>
        <v>318.58302043096359</v>
      </c>
      <c r="CA29" s="125">
        <f t="shared" si="130"/>
        <v>346.59308914386452</v>
      </c>
      <c r="CB29" s="125">
        <f t="shared" si="130"/>
        <v>371.26726693575802</v>
      </c>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row>
    <row r="30" spans="2:120">
      <c r="B30" s="2" t="s">
        <v>293</v>
      </c>
      <c r="C30" s="11">
        <v>16.600000000000001</v>
      </c>
      <c r="D30" s="11">
        <v>19.5</v>
      </c>
      <c r="E30" s="11">
        <v>26.4</v>
      </c>
      <c r="F30" s="11">
        <v>26.8</v>
      </c>
      <c r="G30" s="11">
        <v>29.2</v>
      </c>
      <c r="H30" s="11">
        <v>33.1</v>
      </c>
      <c r="I30" s="11">
        <v>35.9</v>
      </c>
      <c r="J30" s="11">
        <v>37.700000000000003</v>
      </c>
      <c r="K30" s="11">
        <v>41.6</v>
      </c>
      <c r="L30" s="11">
        <v>42.7</v>
      </c>
      <c r="M30" s="11">
        <v>44.2</v>
      </c>
      <c r="N30" s="11">
        <v>46</v>
      </c>
      <c r="O30" s="11">
        <v>51.5</v>
      </c>
      <c r="P30" s="11">
        <v>54.5</v>
      </c>
      <c r="Q30" s="11">
        <v>54.8</v>
      </c>
      <c r="R30" s="11">
        <v>55.9</v>
      </c>
      <c r="S30" s="11">
        <v>61.2</v>
      </c>
      <c r="T30" s="11">
        <v>61.091000000000001</v>
      </c>
      <c r="U30" s="11">
        <v>67.665000000000006</v>
      </c>
      <c r="V30" s="11">
        <v>69.289000000000001</v>
      </c>
      <c r="W30" s="11">
        <f>272.733-SUM(T30:V30)</f>
        <v>74.687999999999988</v>
      </c>
      <c r="X30" s="11">
        <v>74.453000000000003</v>
      </c>
      <c r="Y30" s="11">
        <v>59.8</v>
      </c>
      <c r="Z30" s="11">
        <v>76.2</v>
      </c>
      <c r="AA30" s="11">
        <f>287.068-SUM(X30:Z30)</f>
        <v>76.615000000000009</v>
      </c>
      <c r="AB30" s="11">
        <v>79.798000000000002</v>
      </c>
      <c r="AC30" s="11">
        <v>90.63</v>
      </c>
      <c r="AD30" s="11">
        <v>94.397000000000006</v>
      </c>
      <c r="AE30" s="11">
        <f>378.331-SUM(AB30:AD30)</f>
        <v>113.50600000000003</v>
      </c>
      <c r="AF30" s="11">
        <v>110.9</v>
      </c>
      <c r="AG30" s="11">
        <v>114.61499999999999</v>
      </c>
      <c r="AH30" s="11">
        <v>108.57</v>
      </c>
      <c r="AI30" s="11">
        <f>449.718-SUM(AF30:AH30)</f>
        <v>115.63300000000004</v>
      </c>
      <c r="AJ30" s="11">
        <v>123.07</v>
      </c>
      <c r="AK30" s="11">
        <v>127.4</v>
      </c>
      <c r="AL30" s="11">
        <v>125.9</v>
      </c>
      <c r="AM30" s="11">
        <f>506.4-SUM(AJ30:AL30)</f>
        <v>130.02999999999997</v>
      </c>
      <c r="AN30" s="11">
        <v>144.4</v>
      </c>
      <c r="AO30" s="11">
        <v>141.9</v>
      </c>
      <c r="AP30" s="11">
        <v>139.69999999999999</v>
      </c>
      <c r="AQ30" s="11">
        <f>574-SUM(AN30:AP30)</f>
        <v>148</v>
      </c>
      <c r="AR30" s="11">
        <v>153.45599999999999</v>
      </c>
      <c r="BM30" s="11">
        <f t="shared" si="98"/>
        <v>272.733</v>
      </c>
      <c r="BN30" s="11">
        <f t="shared" si="77"/>
        <v>287.06799999999998</v>
      </c>
      <c r="BO30" s="11">
        <f t="shared" si="85"/>
        <v>378.33100000000002</v>
      </c>
      <c r="BP30" s="11">
        <f t="shared" si="86"/>
        <v>449.71800000000002</v>
      </c>
      <c r="BQ30" s="11">
        <f t="shared" si="56"/>
        <v>506.4</v>
      </c>
      <c r="BR30" s="11">
        <f t="shared" si="78"/>
        <v>574</v>
      </c>
      <c r="BS30" s="125">
        <f t="shared" ref="BS30:BX30" si="131">BS26*BS45</f>
        <v>630.45299999999997</v>
      </c>
      <c r="BT30" s="125">
        <f t="shared" si="131"/>
        <v>673.70674625000004</v>
      </c>
      <c r="BU30" s="125">
        <f t="shared" si="131"/>
        <v>730.06960011249998</v>
      </c>
      <c r="BV30" s="125">
        <f t="shared" si="131"/>
        <v>811.08997194400013</v>
      </c>
      <c r="BW30" s="125">
        <f t="shared" si="131"/>
        <v>905.69328399488779</v>
      </c>
      <c r="BX30" s="125">
        <f t="shared" si="131"/>
        <v>1013.5331116721876</v>
      </c>
      <c r="BY30" s="125">
        <f t="shared" ref="BY30:CB30" si="132">BY26*BY45</f>
        <v>1122.606181091973</v>
      </c>
      <c r="BZ30" s="125">
        <f t="shared" si="132"/>
        <v>1229.7304588635193</v>
      </c>
      <c r="CA30" s="125">
        <f t="shared" si="132"/>
        <v>1327.4515314210009</v>
      </c>
      <c r="CB30" s="125">
        <f t="shared" si="132"/>
        <v>1410.8156143558804</v>
      </c>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125"/>
      <c r="DD30" s="125"/>
      <c r="DE30" s="125"/>
      <c r="DF30" s="125"/>
      <c r="DG30" s="125"/>
      <c r="DH30" s="125"/>
      <c r="DI30" s="125"/>
      <c r="DJ30" s="125"/>
      <c r="DK30" s="125"/>
      <c r="DL30" s="125"/>
      <c r="DM30" s="125"/>
      <c r="DN30" s="125"/>
      <c r="DO30" s="125"/>
      <c r="DP30" s="125"/>
    </row>
    <row r="31" spans="2:120">
      <c r="B31" s="2" t="s">
        <v>294</v>
      </c>
      <c r="C31" s="11">
        <v>0</v>
      </c>
      <c r="D31" s="11">
        <v>0</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f>0-SUM(T31:V31)</f>
        <v>0</v>
      </c>
      <c r="X31" s="11">
        <v>0</v>
      </c>
      <c r="Y31" s="11">
        <v>0</v>
      </c>
      <c r="Z31" s="11">
        <v>0</v>
      </c>
      <c r="AA31" s="11">
        <f>0-SUM(X31:Z31)</f>
        <v>0</v>
      </c>
      <c r="AB31" s="11">
        <v>0</v>
      </c>
      <c r="AC31" s="11">
        <v>0</v>
      </c>
      <c r="AD31" s="11">
        <v>0</v>
      </c>
      <c r="AE31" s="11">
        <f>0-SUM(AB31:AD31)</f>
        <v>0</v>
      </c>
      <c r="AF31" s="11">
        <v>0</v>
      </c>
      <c r="AG31" s="11">
        <v>0</v>
      </c>
      <c r="AH31" s="11">
        <v>0</v>
      </c>
      <c r="AI31" s="11">
        <f>0-SUM(AF31:AH31)</f>
        <v>0</v>
      </c>
      <c r="AJ31" s="11">
        <v>0</v>
      </c>
      <c r="AK31" s="11">
        <v>0</v>
      </c>
      <c r="AL31" s="11">
        <v>18.2</v>
      </c>
      <c r="AM31" s="11">
        <f>18.2-SUM(AJ31:AL31)</f>
        <v>0</v>
      </c>
      <c r="AN31" s="11">
        <v>0</v>
      </c>
      <c r="AO31" s="11">
        <v>0</v>
      </c>
      <c r="AP31" s="11">
        <v>0</v>
      </c>
      <c r="AQ31" s="11">
        <f>0-SUM(AN31:AP31)</f>
        <v>0</v>
      </c>
      <c r="AR31" s="11">
        <v>0</v>
      </c>
      <c r="BM31" s="11">
        <f t="shared" si="98"/>
        <v>0</v>
      </c>
      <c r="BN31" s="11">
        <f t="shared" si="77"/>
        <v>0</v>
      </c>
      <c r="BO31" s="11">
        <f t="shared" si="85"/>
        <v>0</v>
      </c>
      <c r="BP31" s="11">
        <f t="shared" si="86"/>
        <v>0</v>
      </c>
      <c r="BQ31" s="11">
        <f t="shared" si="56"/>
        <v>18.2</v>
      </c>
      <c r="BR31" s="11">
        <f t="shared" si="78"/>
        <v>0</v>
      </c>
      <c r="BS31" s="125">
        <v>0</v>
      </c>
      <c r="BT31" s="125">
        <v>0</v>
      </c>
      <c r="BU31" s="125">
        <v>0</v>
      </c>
      <c r="BV31" s="125">
        <v>0</v>
      </c>
      <c r="BW31" s="125">
        <v>0</v>
      </c>
      <c r="BX31" s="125">
        <v>0</v>
      </c>
      <c r="BY31" s="125">
        <v>0</v>
      </c>
      <c r="BZ31" s="125">
        <v>0</v>
      </c>
      <c r="CA31" s="125">
        <v>0</v>
      </c>
      <c r="CB31" s="125">
        <v>0</v>
      </c>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c r="CZ31" s="125"/>
      <c r="DA31" s="125"/>
      <c r="DB31" s="125"/>
      <c r="DC31" s="125"/>
      <c r="DD31" s="125"/>
      <c r="DE31" s="125"/>
      <c r="DF31" s="125"/>
      <c r="DG31" s="125"/>
      <c r="DH31" s="125"/>
      <c r="DI31" s="125"/>
      <c r="DJ31" s="125"/>
      <c r="DK31" s="125"/>
      <c r="DL31" s="125"/>
      <c r="DM31" s="125"/>
      <c r="DN31" s="125"/>
      <c r="DO31" s="125"/>
      <c r="DP31" s="125"/>
    </row>
    <row r="32" spans="2:120">
      <c r="B32" s="2" t="s">
        <v>295</v>
      </c>
      <c r="C32" s="11">
        <v>0</v>
      </c>
      <c r="D32" s="11">
        <v>0</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f>0-SUM(T32:V32)</f>
        <v>0</v>
      </c>
      <c r="X32" s="11">
        <v>0</v>
      </c>
      <c r="Y32" s="11">
        <v>0</v>
      </c>
      <c r="Z32" s="11">
        <v>0</v>
      </c>
      <c r="AA32" s="11">
        <f>0-SUM(X32:Z32)</f>
        <v>0</v>
      </c>
      <c r="AB32" s="11">
        <v>0</v>
      </c>
      <c r="AC32" s="11">
        <v>0</v>
      </c>
      <c r="AD32" s="11">
        <v>0</v>
      </c>
      <c r="AE32" s="11">
        <f>0-SUM(AB32:AD32)</f>
        <v>0</v>
      </c>
      <c r="AF32" s="11">
        <v>0</v>
      </c>
      <c r="AG32" s="11">
        <v>0</v>
      </c>
      <c r="AH32" s="11">
        <v>0</v>
      </c>
      <c r="AI32" s="11">
        <f>0-SUM(AF32:AH32)</f>
        <v>0</v>
      </c>
      <c r="AJ32" s="11">
        <v>0</v>
      </c>
      <c r="AK32" s="11">
        <v>0</v>
      </c>
      <c r="AL32" s="11">
        <v>0</v>
      </c>
      <c r="AM32" s="11">
        <f>0-SUM(AJ32:AL32)</f>
        <v>0</v>
      </c>
      <c r="AN32" s="11">
        <v>0</v>
      </c>
      <c r="AO32" s="11">
        <v>76.900000000000006</v>
      </c>
      <c r="AP32" s="11">
        <v>0</v>
      </c>
      <c r="AQ32" s="11">
        <f>76.94-SUM(AN32:AP32)</f>
        <v>3.9999999999992042E-2</v>
      </c>
      <c r="AR32" s="11">
        <v>0</v>
      </c>
      <c r="BM32" s="11">
        <f t="shared" si="98"/>
        <v>0</v>
      </c>
      <c r="BN32" s="11">
        <f t="shared" si="77"/>
        <v>0</v>
      </c>
      <c r="BO32" s="11">
        <f t="shared" si="85"/>
        <v>0</v>
      </c>
      <c r="BP32" s="11">
        <f t="shared" si="86"/>
        <v>0</v>
      </c>
      <c r="BQ32" s="11">
        <f t="shared" si="56"/>
        <v>0</v>
      </c>
      <c r="BR32" s="11">
        <f>SUM(AN32:AQ32)</f>
        <v>76.94</v>
      </c>
      <c r="BS32" s="125">
        <v>115.3</v>
      </c>
      <c r="BT32" s="125">
        <v>0</v>
      </c>
      <c r="BU32" s="125">
        <v>0</v>
      </c>
      <c r="BV32" s="125">
        <v>0</v>
      </c>
      <c r="BW32" s="125">
        <v>0</v>
      </c>
      <c r="BX32" s="125">
        <v>0</v>
      </c>
      <c r="BY32" s="125">
        <v>0</v>
      </c>
      <c r="BZ32" s="125">
        <v>0</v>
      </c>
      <c r="CA32" s="125">
        <v>0</v>
      </c>
      <c r="CB32" s="125">
        <v>0</v>
      </c>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c r="CZ32" s="125"/>
      <c r="DA32" s="125"/>
      <c r="DB32" s="125"/>
      <c r="DC32" s="125"/>
      <c r="DD32" s="125"/>
      <c r="DE32" s="125"/>
      <c r="DF32" s="125"/>
      <c r="DG32" s="125"/>
      <c r="DH32" s="125"/>
      <c r="DI32" s="125"/>
      <c r="DJ32" s="125"/>
      <c r="DK32" s="125"/>
      <c r="DL32" s="125"/>
      <c r="DM32" s="125"/>
      <c r="DN32" s="125"/>
      <c r="DO32" s="125"/>
      <c r="DP32" s="125"/>
    </row>
    <row r="33" spans="2:120">
      <c r="B33" s="2" t="s">
        <v>296</v>
      </c>
      <c r="C33" s="11">
        <f t="shared" ref="C33:S33" si="133">C28-SUM(C29:C32)</f>
        <v>0.30000000000000071</v>
      </c>
      <c r="D33" s="11">
        <f t="shared" si="133"/>
        <v>4.1000000000000014</v>
      </c>
      <c r="E33" s="11">
        <f t="shared" si="133"/>
        <v>-3.8000000000000007</v>
      </c>
      <c r="F33" s="11">
        <f t="shared" si="133"/>
        <v>2.1000000000000014</v>
      </c>
      <c r="G33" s="11">
        <f t="shared" si="133"/>
        <v>1.6999999999999957</v>
      </c>
      <c r="H33" s="11">
        <f t="shared" si="133"/>
        <v>1.7999999999999972</v>
      </c>
      <c r="I33" s="11">
        <f t="shared" si="133"/>
        <v>-0.70000000000000284</v>
      </c>
      <c r="J33" s="11">
        <f t="shared" si="133"/>
        <v>-1.2999999999999972</v>
      </c>
      <c r="K33" s="11">
        <f t="shared" si="133"/>
        <v>-1.1000000000000085</v>
      </c>
      <c r="L33" s="11">
        <f t="shared" si="133"/>
        <v>-2</v>
      </c>
      <c r="M33" s="11">
        <f t="shared" si="133"/>
        <v>-1.4000000000000128</v>
      </c>
      <c r="N33" s="11">
        <f t="shared" si="133"/>
        <v>0.70000000000000284</v>
      </c>
      <c r="O33" s="11">
        <f t="shared" si="133"/>
        <v>3.8999999999999986</v>
      </c>
      <c r="P33" s="11">
        <f t="shared" si="133"/>
        <v>4.0999999999999943</v>
      </c>
      <c r="Q33" s="11">
        <f t="shared" si="133"/>
        <v>9.1999999999999886</v>
      </c>
      <c r="R33" s="11">
        <f t="shared" si="133"/>
        <v>-20.799999999999997</v>
      </c>
      <c r="S33" s="11">
        <f t="shared" si="133"/>
        <v>6.5999999999999801</v>
      </c>
      <c r="T33" s="11">
        <f t="shared" ref="T33" si="134">T28-SUM(T29:T32)</f>
        <v>11.152000000000001</v>
      </c>
      <c r="U33" s="11">
        <f t="shared" ref="U33" si="135">U28-SUM(U29:U32)</f>
        <v>12.800999999999988</v>
      </c>
      <c r="V33" s="11">
        <v>12.976000000000001</v>
      </c>
      <c r="W33" s="11">
        <f t="shared" ref="W33" si="136">W28-SUM(W29:W32)</f>
        <v>10.577000000000098</v>
      </c>
      <c r="X33" s="11">
        <f t="shared" ref="X33:AO33" si="137">X28-SUM(X29:X32)</f>
        <v>0.6010000000000133</v>
      </c>
      <c r="Y33" s="11">
        <f t="shared" si="137"/>
        <v>-17.625000000000014</v>
      </c>
      <c r="Z33" s="11">
        <f t="shared" si="137"/>
        <v>-20.176000000000002</v>
      </c>
      <c r="AA33" s="11">
        <f>AA28-SUM(AA29:AA32)</f>
        <v>-1.7419999999999902</v>
      </c>
      <c r="AB33" s="11">
        <f t="shared" si="137"/>
        <v>13.459000000000003</v>
      </c>
      <c r="AC33" s="11">
        <f t="shared" si="137"/>
        <v>10.332000000000022</v>
      </c>
      <c r="AD33" s="11">
        <f t="shared" si="137"/>
        <v>8.7729999999999819</v>
      </c>
      <c r="AE33" s="11">
        <f>AE28-SUM(AE29:AE32)</f>
        <v>-40.065000000000083</v>
      </c>
      <c r="AF33" s="11">
        <f t="shared" si="137"/>
        <v>-4.0600000000000023</v>
      </c>
      <c r="AG33" s="11">
        <f t="shared" si="137"/>
        <v>-0.17400000000000659</v>
      </c>
      <c r="AH33" s="11">
        <f t="shared" si="137"/>
        <v>5.4099999999999966</v>
      </c>
      <c r="AI33" s="11">
        <f t="shared" si="137"/>
        <v>4.9059999999999491</v>
      </c>
      <c r="AJ33" s="11">
        <f t="shared" si="137"/>
        <v>8.0500000000000398</v>
      </c>
      <c r="AK33" s="11">
        <f t="shared" si="137"/>
        <v>18</v>
      </c>
      <c r="AL33" s="11">
        <f t="shared" si="137"/>
        <v>12.599999999999994</v>
      </c>
      <c r="AM33" s="11">
        <f t="shared" si="137"/>
        <v>34.970000000000027</v>
      </c>
      <c r="AN33" s="11">
        <f t="shared" si="137"/>
        <v>12.199999999999989</v>
      </c>
      <c r="AO33" s="11">
        <f t="shared" si="137"/>
        <v>-80.900000000000034</v>
      </c>
      <c r="AP33" s="11">
        <f>AP28-SUM(AP29:AP32)</f>
        <v>35.400000000000034</v>
      </c>
      <c r="AQ33" s="11">
        <f t="shared" ref="AQ33" si="138">AQ28-SUM(AQ29:AQ32)</f>
        <v>42.56</v>
      </c>
      <c r="AR33" s="11">
        <f>AR28-SUM(AR29:AR32)</f>
        <v>40.349999999999994</v>
      </c>
      <c r="BM33" s="11">
        <f t="shared" ref="BM33:BQ33" si="139">BM28-SUM(BM29:BM32)</f>
        <v>47.505999999999972</v>
      </c>
      <c r="BN33" s="11">
        <f t="shared" si="139"/>
        <v>-38.941999999999894</v>
      </c>
      <c r="BO33" s="11">
        <f t="shared" si="139"/>
        <v>-7.5010000000000332</v>
      </c>
      <c r="BP33" s="11">
        <f t="shared" si="139"/>
        <v>6.0820000000001073</v>
      </c>
      <c r="BQ33" s="11">
        <f t="shared" si="139"/>
        <v>73.62</v>
      </c>
      <c r="BR33" s="11">
        <f>BR28-SUM(BR29:BR32)</f>
        <v>9.2599999999998772</v>
      </c>
      <c r="BS33" s="125">
        <f>BS28-SUM(BS29:BS32)+BS32</f>
        <v>164.46600000000007</v>
      </c>
      <c r="BT33" s="125">
        <f>BT28-SUM(BT29:BT32)</f>
        <v>242.84778062500027</v>
      </c>
      <c r="BU33" s="125">
        <f>BU28-SUM(BU29:BU32)</f>
        <v>316.95704590250011</v>
      </c>
      <c r="BV33" s="125">
        <f>BV28-SUM(BV29:BV32)</f>
        <v>385.26773667340001</v>
      </c>
      <c r="BW33" s="125">
        <f>BW28-SUM(BW29:BW32)</f>
        <v>451.70019480251335</v>
      </c>
      <c r="BX33" s="125">
        <f>BX28-SUM(BX29:BX32)</f>
        <v>515.79293214869585</v>
      </c>
      <c r="BY33" s="125">
        <f t="shared" ref="BY33:CB33" si="140">BY28-SUM(BY29:BY32)</f>
        <v>591.60479980425293</v>
      </c>
      <c r="BZ33" s="125">
        <f t="shared" si="140"/>
        <v>669.02434290502333</v>
      </c>
      <c r="CA33" s="125">
        <f t="shared" si="140"/>
        <v>745.17514165930834</v>
      </c>
      <c r="CB33" s="125">
        <f t="shared" si="140"/>
        <v>816.78798725866727</v>
      </c>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c r="CZ33" s="125"/>
      <c r="DA33" s="125"/>
      <c r="DB33" s="125"/>
      <c r="DC33" s="125"/>
      <c r="DD33" s="125"/>
      <c r="DE33" s="125"/>
      <c r="DF33" s="125"/>
      <c r="DG33" s="125"/>
      <c r="DH33" s="125"/>
      <c r="DI33" s="125"/>
      <c r="DJ33" s="125"/>
      <c r="DK33" s="125"/>
      <c r="DL33" s="125"/>
      <c r="DM33" s="125"/>
      <c r="DN33" s="125"/>
      <c r="DO33" s="125"/>
      <c r="DP33" s="125"/>
    </row>
    <row r="34" spans="2:120">
      <c r="B34" s="2" t="s">
        <v>297</v>
      </c>
      <c r="C34" s="11">
        <v>0.1</v>
      </c>
      <c r="D34" s="11">
        <v>0.3</v>
      </c>
      <c r="E34" s="11">
        <v>-0.4</v>
      </c>
      <c r="F34" s="11">
        <v>-0.1</v>
      </c>
      <c r="G34" s="11">
        <v>0.1</v>
      </c>
      <c r="H34" s="11">
        <v>0.3</v>
      </c>
      <c r="I34" s="11">
        <v>0.3</v>
      </c>
      <c r="J34" s="11">
        <v>0.3</v>
      </c>
      <c r="K34" s="11">
        <v>-0.4</v>
      </c>
      <c r="L34" s="11">
        <v>0.3</v>
      </c>
      <c r="M34" s="11">
        <v>0.4</v>
      </c>
      <c r="N34" s="11">
        <v>0.6</v>
      </c>
      <c r="O34" s="11">
        <v>0</v>
      </c>
      <c r="P34" s="11">
        <v>0.5</v>
      </c>
      <c r="Q34" s="11">
        <v>0.4</v>
      </c>
      <c r="R34" s="11">
        <v>0.9</v>
      </c>
      <c r="S34" s="11">
        <v>0.7</v>
      </c>
      <c r="T34" s="11">
        <f>0.733+0.024</f>
        <v>0.75700000000000001</v>
      </c>
      <c r="U34" s="11">
        <f>0.784-0.071</f>
        <v>0.71300000000000008</v>
      </c>
      <c r="V34" s="11">
        <f>0.759-0.772</f>
        <v>-1.3000000000000012E-2</v>
      </c>
      <c r="W34" s="11">
        <f>2.854-0.227-SUM(T34:V34)</f>
        <v>1.17</v>
      </c>
      <c r="X34" s="11">
        <f>0.299-1.555</f>
        <v>-1.256</v>
      </c>
      <c r="Y34" s="11">
        <f>0.108+0.508</f>
        <v>0.61599999999999999</v>
      </c>
      <c r="Z34" s="11">
        <f>0.413+0.014</f>
        <v>0.42699999999999999</v>
      </c>
      <c r="AA34" s="11">
        <f>1.267-0.243-SUM(X34:Z34)</f>
        <v>1.2370000000000001</v>
      </c>
      <c r="AB34" s="11">
        <f>0.48-1.476</f>
        <v>-0.996</v>
      </c>
      <c r="AC34" s="11">
        <f>0.299-0.408</f>
        <v>-0.10899999999999999</v>
      </c>
      <c r="AD34" s="11">
        <f>0.138-1.137</f>
        <v>-0.999</v>
      </c>
      <c r="AE34" s="11">
        <f>0.938-3.939-SUM(AB34:AD34)</f>
        <v>-0.89700000000000024</v>
      </c>
      <c r="AF34" s="11">
        <f>-0.041-1.01</f>
        <v>-1.0509999999999999</v>
      </c>
      <c r="AG34" s="11">
        <f>-0.07-0.9</f>
        <v>-0.97</v>
      </c>
      <c r="AH34" s="11">
        <f>-0.04-2.35</f>
        <v>-2.39</v>
      </c>
      <c r="AI34" s="11">
        <f>0.137-2.327-SUM(AF34:AH34)</f>
        <v>2.2209999999999996</v>
      </c>
      <c r="AJ34" s="11">
        <v>0.64400000000000002</v>
      </c>
      <c r="AK34" s="11">
        <v>1.6</v>
      </c>
      <c r="AL34" s="11">
        <v>0.7</v>
      </c>
      <c r="AM34" s="11">
        <f>6.09-SUM(AJ34:AL34)</f>
        <v>3.1459999999999999</v>
      </c>
      <c r="AN34" s="11">
        <v>2.5</v>
      </c>
      <c r="AO34" s="11">
        <v>3.1</v>
      </c>
      <c r="AP34" s="11">
        <v>4.4000000000000004</v>
      </c>
      <c r="AQ34" s="11">
        <f>11.59-SUM(AN34:AP34)</f>
        <v>1.5899999999999999</v>
      </c>
      <c r="AR34" s="11">
        <v>3.508</v>
      </c>
      <c r="BM34" s="11">
        <f>SUM(T34:W34)</f>
        <v>2.6270000000000002</v>
      </c>
      <c r="BN34" s="11">
        <f>SUM(X34:AA34)</f>
        <v>1.024</v>
      </c>
      <c r="BO34" s="11">
        <f>SUM(AB34:AE34)</f>
        <v>-3.0010000000000003</v>
      </c>
      <c r="BP34" s="11">
        <f>SUM(AF34:AI34)</f>
        <v>-2.19</v>
      </c>
      <c r="BQ34" s="11">
        <f t="shared" si="56"/>
        <v>6.09</v>
      </c>
      <c r="BR34" s="11">
        <f t="shared" si="78"/>
        <v>11.59</v>
      </c>
      <c r="BS34" s="125">
        <f>BR50*$BU$52</f>
        <v>27.574000000000002</v>
      </c>
      <c r="BT34" s="125">
        <f t="shared" ref="BT34:BX34" si="141">BS50*$BU$52</f>
        <v>40.469486000000011</v>
      </c>
      <c r="BU34" s="125">
        <f t="shared" si="141"/>
        <v>59.494240453868784</v>
      </c>
      <c r="BV34" s="125">
        <f t="shared" si="141"/>
        <v>84.772944332698955</v>
      </c>
      <c r="BW34" s="125">
        <f t="shared" si="141"/>
        <v>116.33617606225852</v>
      </c>
      <c r="BX34" s="125">
        <f t="shared" si="141"/>
        <v>154.47981836582795</v>
      </c>
      <c r="BY34" s="125">
        <f t="shared" ref="BY34" si="142">BX50*$BU$52</f>
        <v>199.48863356287825</v>
      </c>
      <c r="BZ34" s="125">
        <f t="shared" ref="BZ34" si="143">BY50*$BU$52</f>
        <v>252.61055761348112</v>
      </c>
      <c r="CA34" s="125">
        <f t="shared" ref="CA34" si="144">BZ50*$BU$52</f>
        <v>314.49834118329869</v>
      </c>
      <c r="CB34" s="125">
        <f t="shared" ref="CB34" si="145">CA50*$BU$52</f>
        <v>385.65541555617972</v>
      </c>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c r="CZ34" s="125"/>
      <c r="DA34" s="125"/>
      <c r="DB34" s="125"/>
      <c r="DC34" s="125"/>
      <c r="DD34" s="125"/>
      <c r="DE34" s="125"/>
      <c r="DF34" s="125"/>
      <c r="DG34" s="125"/>
      <c r="DH34" s="125"/>
      <c r="DI34" s="125"/>
      <c r="DJ34" s="125"/>
      <c r="DK34" s="125"/>
      <c r="DL34" s="125"/>
      <c r="DM34" s="125"/>
      <c r="DN34" s="125"/>
      <c r="DO34" s="125"/>
      <c r="DP34" s="125"/>
    </row>
    <row r="35" spans="2:120">
      <c r="B35" s="2" t="s">
        <v>298</v>
      </c>
      <c r="C35" s="11">
        <f t="shared" ref="C35:S35" si="146">C33+C34</f>
        <v>0.40000000000000069</v>
      </c>
      <c r="D35" s="11">
        <f t="shared" si="146"/>
        <v>4.4000000000000012</v>
      </c>
      <c r="E35" s="11">
        <f t="shared" si="146"/>
        <v>-4.2000000000000011</v>
      </c>
      <c r="F35" s="11">
        <f t="shared" si="146"/>
        <v>2.0000000000000013</v>
      </c>
      <c r="G35" s="11">
        <f t="shared" si="146"/>
        <v>1.7999999999999958</v>
      </c>
      <c r="H35" s="11">
        <f t="shared" si="146"/>
        <v>2.099999999999997</v>
      </c>
      <c r="I35" s="11">
        <f t="shared" si="146"/>
        <v>-0.40000000000000285</v>
      </c>
      <c r="J35" s="11">
        <f t="shared" si="146"/>
        <v>-0.99999999999999711</v>
      </c>
      <c r="K35" s="11">
        <f t="shared" si="146"/>
        <v>-1.5000000000000084</v>
      </c>
      <c r="L35" s="11">
        <f t="shared" si="146"/>
        <v>-1.7</v>
      </c>
      <c r="M35" s="11">
        <f t="shared" si="146"/>
        <v>-1.0000000000000129</v>
      </c>
      <c r="N35" s="11">
        <f t="shared" si="146"/>
        <v>1.3000000000000029</v>
      </c>
      <c r="O35" s="11">
        <f t="shared" si="146"/>
        <v>3.8999999999999986</v>
      </c>
      <c r="P35" s="11">
        <f t="shared" si="146"/>
        <v>4.5999999999999943</v>
      </c>
      <c r="Q35" s="11">
        <f t="shared" si="146"/>
        <v>9.599999999999989</v>
      </c>
      <c r="R35" s="11">
        <f t="shared" si="146"/>
        <v>-19.899999999999999</v>
      </c>
      <c r="S35" s="11">
        <f t="shared" si="146"/>
        <v>7.2999999999999803</v>
      </c>
      <c r="T35" s="11">
        <f t="shared" ref="T35:AI35" si="147">T33+T34</f>
        <v>11.909000000000001</v>
      </c>
      <c r="U35" s="11">
        <f t="shared" si="147"/>
        <v>13.513999999999989</v>
      </c>
      <c r="V35" s="11">
        <f t="shared" si="147"/>
        <v>12.963000000000001</v>
      </c>
      <c r="W35" s="11">
        <f t="shared" si="147"/>
        <v>11.747000000000098</v>
      </c>
      <c r="X35" s="11">
        <f t="shared" si="147"/>
        <v>-0.6549999999999867</v>
      </c>
      <c r="Y35" s="11">
        <f t="shared" si="147"/>
        <v>-17.009000000000015</v>
      </c>
      <c r="Z35" s="11">
        <f t="shared" si="147"/>
        <v>-19.749000000000002</v>
      </c>
      <c r="AA35" s="11">
        <f t="shared" si="147"/>
        <v>-0.50499999999999012</v>
      </c>
      <c r="AB35" s="11">
        <f t="shared" si="147"/>
        <v>12.463000000000003</v>
      </c>
      <c r="AC35" s="11">
        <f t="shared" si="147"/>
        <v>10.223000000000022</v>
      </c>
      <c r="AD35" s="11">
        <f t="shared" si="147"/>
        <v>7.7739999999999823</v>
      </c>
      <c r="AE35" s="11">
        <f t="shared" si="147"/>
        <v>-40.962000000000081</v>
      </c>
      <c r="AF35" s="11">
        <f t="shared" si="147"/>
        <v>-5.1110000000000024</v>
      </c>
      <c r="AG35" s="11">
        <f t="shared" si="147"/>
        <v>-1.1440000000000066</v>
      </c>
      <c r="AH35" s="11">
        <f t="shared" si="147"/>
        <v>3.0199999999999965</v>
      </c>
      <c r="AI35" s="11">
        <f t="shared" si="147"/>
        <v>7.1269999999999492</v>
      </c>
      <c r="AJ35" s="11">
        <f t="shared" ref="AJ35:AK35" si="148">AJ33+AJ34</f>
        <v>8.6940000000000399</v>
      </c>
      <c r="AK35" s="11">
        <f t="shared" si="148"/>
        <v>19.600000000000001</v>
      </c>
      <c r="AL35" s="11">
        <f>AL33+AL34</f>
        <v>13.299999999999994</v>
      </c>
      <c r="AM35" s="11">
        <f t="shared" ref="AM35:AQ35" si="149">AM33+AM34</f>
        <v>38.116000000000028</v>
      </c>
      <c r="AN35" s="11">
        <f t="shared" si="149"/>
        <v>14.699999999999989</v>
      </c>
      <c r="AO35" s="11">
        <f t="shared" si="149"/>
        <v>-77.80000000000004</v>
      </c>
      <c r="AP35" s="11">
        <f t="shared" si="149"/>
        <v>39.800000000000033</v>
      </c>
      <c r="AQ35" s="11">
        <f t="shared" si="149"/>
        <v>44.150000000000006</v>
      </c>
      <c r="AR35" s="11">
        <f t="shared" ref="AR35" si="150">AR33+AR34</f>
        <v>43.857999999999997</v>
      </c>
      <c r="BM35" s="11">
        <f t="shared" ref="BM35:BQ35" si="151">BM33+BM34</f>
        <v>50.132999999999974</v>
      </c>
      <c r="BN35" s="11">
        <f t="shared" si="151"/>
        <v>-37.917999999999893</v>
      </c>
      <c r="BO35" s="11">
        <f t="shared" si="151"/>
        <v>-10.502000000000034</v>
      </c>
      <c r="BP35" s="11">
        <f t="shared" si="151"/>
        <v>3.8920000000001074</v>
      </c>
      <c r="BQ35" s="11">
        <f t="shared" si="151"/>
        <v>79.710000000000008</v>
      </c>
      <c r="BR35" s="11">
        <f>BR33+BR34</f>
        <v>20.849999999999877</v>
      </c>
      <c r="BS35" s="125">
        <f t="shared" ref="BS35:BX35" si="152">BS33+BS34</f>
        <v>192.04000000000008</v>
      </c>
      <c r="BT35" s="125">
        <f t="shared" si="152"/>
        <v>283.31726662500029</v>
      </c>
      <c r="BU35" s="125">
        <f t="shared" si="152"/>
        <v>376.45128635636888</v>
      </c>
      <c r="BV35" s="125">
        <f t="shared" si="152"/>
        <v>470.04068100609896</v>
      </c>
      <c r="BW35" s="125">
        <f t="shared" si="152"/>
        <v>568.03637086477192</v>
      </c>
      <c r="BX35" s="125">
        <f t="shared" si="152"/>
        <v>670.27275051452375</v>
      </c>
      <c r="BY35" s="125">
        <f t="shared" ref="BY35:CB35" si="153">BY33+BY34</f>
        <v>791.09343336713118</v>
      </c>
      <c r="BZ35" s="125">
        <f t="shared" si="153"/>
        <v>921.63490051850442</v>
      </c>
      <c r="CA35" s="125">
        <f t="shared" si="153"/>
        <v>1059.673482842607</v>
      </c>
      <c r="CB35" s="125">
        <f t="shared" si="153"/>
        <v>1202.4434028148471</v>
      </c>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125"/>
      <c r="DD35" s="125"/>
      <c r="DE35" s="125"/>
      <c r="DF35" s="125"/>
      <c r="DG35" s="125"/>
      <c r="DH35" s="125"/>
      <c r="DI35" s="125"/>
      <c r="DJ35" s="125"/>
      <c r="DK35" s="125"/>
      <c r="DL35" s="125"/>
      <c r="DM35" s="125"/>
      <c r="DN35" s="125"/>
      <c r="DO35" s="125"/>
      <c r="DP35" s="125"/>
    </row>
    <row r="36" spans="2:120">
      <c r="B36" s="2" t="s">
        <v>640</v>
      </c>
      <c r="C36" s="11">
        <v>0.2</v>
      </c>
      <c r="D36" s="11">
        <v>1.7</v>
      </c>
      <c r="E36" s="11">
        <v>-1.5</v>
      </c>
      <c r="F36" s="11">
        <v>1.2</v>
      </c>
      <c r="G36" s="11">
        <v>0.2</v>
      </c>
      <c r="H36" s="11">
        <v>-0.2</v>
      </c>
      <c r="I36" s="11">
        <v>-3.4</v>
      </c>
      <c r="J36" s="11">
        <v>-13</v>
      </c>
      <c r="K36" s="11">
        <v>0.9</v>
      </c>
      <c r="L36" s="11">
        <v>1.4</v>
      </c>
      <c r="M36" s="11">
        <v>0.5</v>
      </c>
      <c r="N36" s="11">
        <v>0.5</v>
      </c>
      <c r="O36" s="11">
        <v>-5.9</v>
      </c>
      <c r="P36" s="11">
        <v>-1.9</v>
      </c>
      <c r="Q36" s="11">
        <v>-4.9000000000000004</v>
      </c>
      <c r="R36" s="11">
        <v>1.6</v>
      </c>
      <c r="S36" s="11">
        <v>0.9</v>
      </c>
      <c r="T36" s="11">
        <v>1.4550000000000001</v>
      </c>
      <c r="U36" s="11">
        <v>-2.7349999999999999</v>
      </c>
      <c r="V36" s="11">
        <v>1.9630000000000001</v>
      </c>
      <c r="W36" s="11">
        <f>3.131-SUM(T36:V36)</f>
        <v>2.4479999999999995</v>
      </c>
      <c r="X36" s="11">
        <v>-1.6339999999999999</v>
      </c>
      <c r="Y36" s="11">
        <v>-4.1289999999999996</v>
      </c>
      <c r="Z36" s="11">
        <v>-9.8550000000000004</v>
      </c>
      <c r="AA36" s="11">
        <f>-18.761-SUM(X36:Z36)</f>
        <v>-3.1429999999999989</v>
      </c>
      <c r="AB36" s="11">
        <v>1.5409999999999999</v>
      </c>
      <c r="AC36" s="11">
        <v>1.9</v>
      </c>
      <c r="AD36" s="11">
        <v>-0.249</v>
      </c>
      <c r="AE36" s="11">
        <f>-13.125-SUM(AB36:AD36)</f>
        <v>-16.317</v>
      </c>
      <c r="AF36" s="11">
        <v>-5.1829999999999998</v>
      </c>
      <c r="AG36" s="11">
        <v>2.52</v>
      </c>
      <c r="AH36" s="11">
        <v>5.3</v>
      </c>
      <c r="AI36" s="11">
        <f>5.894-SUM(AF36:AH36)</f>
        <v>3.2570000000000001</v>
      </c>
      <c r="AJ36" s="11">
        <v>0.09</v>
      </c>
      <c r="AK36" s="11">
        <v>0.5</v>
      </c>
      <c r="AL36" s="11">
        <v>4.09</v>
      </c>
      <c r="AM36" s="11">
        <f>-11.3-SUM(AJ36:AL36)</f>
        <v>-15.98</v>
      </c>
      <c r="AN36" s="11">
        <v>3.6</v>
      </c>
      <c r="AO36" s="11">
        <v>-17.600000000000001</v>
      </c>
      <c r="AP36" s="11">
        <v>10.3</v>
      </c>
      <c r="AQ36" s="11">
        <f>6.86-SUM(AN36:AP36)</f>
        <v>10.560000000000002</v>
      </c>
      <c r="AR36" s="11">
        <v>4.6349999999999998</v>
      </c>
      <c r="BM36" s="11">
        <f t="shared" si="98"/>
        <v>3.1309999999999998</v>
      </c>
      <c r="BN36" s="11">
        <f t="shared" si="77"/>
        <v>-18.760999999999999</v>
      </c>
      <c r="BO36" s="11">
        <f t="shared" si="85"/>
        <v>-13.125</v>
      </c>
      <c r="BP36" s="11">
        <f t="shared" si="86"/>
        <v>5.8940000000000001</v>
      </c>
      <c r="BQ36" s="11">
        <f>SUM(AJ36:AM36)</f>
        <v>-11.3</v>
      </c>
      <c r="BR36" s="11">
        <f>SUM(AN36:AQ36)</f>
        <v>6.8600000000000012</v>
      </c>
      <c r="BS36" s="125">
        <f>BS35*BS47</f>
        <v>40.328400000000016</v>
      </c>
      <c r="BT36" s="125">
        <f t="shared" ref="BT36:CB36" si="154">BT35*BT47</f>
        <v>59.496625991250056</v>
      </c>
      <c r="BU36" s="125">
        <f t="shared" si="154"/>
        <v>79.054770134837469</v>
      </c>
      <c r="BV36" s="125">
        <f t="shared" si="154"/>
        <v>98.708543011280781</v>
      </c>
      <c r="BW36" s="125">
        <f t="shared" si="154"/>
        <v>119.28763788160209</v>
      </c>
      <c r="BX36" s="125">
        <f t="shared" si="154"/>
        <v>140.75727760804998</v>
      </c>
      <c r="BY36" s="125">
        <f t="shared" si="154"/>
        <v>166.12962100709754</v>
      </c>
      <c r="BZ36" s="125">
        <f t="shared" si="154"/>
        <v>193.54332910888593</v>
      </c>
      <c r="CA36" s="125">
        <f t="shared" si="154"/>
        <v>222.53143139694745</v>
      </c>
      <c r="CB36" s="125">
        <f t="shared" si="154"/>
        <v>252.51311459111787</v>
      </c>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c r="CZ36" s="125"/>
      <c r="DA36" s="125"/>
      <c r="DB36" s="125"/>
      <c r="DC36" s="125"/>
      <c r="DD36" s="125"/>
      <c r="DE36" s="125"/>
      <c r="DF36" s="125"/>
      <c r="DG36" s="125"/>
      <c r="DH36" s="125"/>
      <c r="DI36" s="125"/>
      <c r="DJ36" s="125"/>
      <c r="DK36" s="125"/>
      <c r="DL36" s="125"/>
      <c r="DM36" s="125"/>
      <c r="DN36" s="125"/>
      <c r="DO36" s="125"/>
      <c r="DP36" s="125"/>
    </row>
    <row r="37" spans="2:120">
      <c r="B37" s="2" t="s">
        <v>538</v>
      </c>
      <c r="C37" s="11">
        <v>0.2</v>
      </c>
      <c r="D37" s="11">
        <v>2.5</v>
      </c>
      <c r="E37" s="11">
        <v>-2.7</v>
      </c>
      <c r="F37" s="11">
        <v>0.9</v>
      </c>
      <c r="G37" s="11">
        <v>1.6</v>
      </c>
      <c r="H37" s="11">
        <v>2.2999999999999998</v>
      </c>
      <c r="I37" s="11">
        <v>3</v>
      </c>
      <c r="J37" s="11">
        <v>11.9</v>
      </c>
      <c r="K37" s="11">
        <v>-2.4</v>
      </c>
      <c r="L37" s="11">
        <v>-3.1</v>
      </c>
      <c r="M37" s="11">
        <v>-1.6</v>
      </c>
      <c r="N37" s="11">
        <v>0.2</v>
      </c>
      <c r="O37" s="11">
        <v>9.1</v>
      </c>
      <c r="P37" s="11">
        <v>5.5</v>
      </c>
      <c r="Q37" s="11">
        <v>13.4</v>
      </c>
      <c r="R37" s="11">
        <v>-22.4</v>
      </c>
      <c r="S37" s="11">
        <v>6.5</v>
      </c>
      <c r="T37" s="11">
        <f t="shared" ref="T37" si="155">T35-T36</f>
        <v>10.454000000000001</v>
      </c>
      <c r="U37" s="11">
        <f t="shared" ref="U37" si="156">U35-U36</f>
        <v>16.248999999999988</v>
      </c>
      <c r="V37" s="11">
        <f t="shared" ref="V37" si="157">V35-V36</f>
        <v>11</v>
      </c>
      <c r="W37" s="11">
        <f t="shared" ref="W37" si="158">W35-W36</f>
        <v>9.299000000000099</v>
      </c>
      <c r="X37" s="11">
        <f t="shared" ref="X37:AE37" si="159">X35-X36</f>
        <v>0.97900000000001319</v>
      </c>
      <c r="Y37" s="11">
        <f t="shared" si="159"/>
        <v>-12.880000000000015</v>
      </c>
      <c r="Z37" s="11">
        <f t="shared" si="159"/>
        <v>-9.8940000000000019</v>
      </c>
      <c r="AA37" s="11">
        <f t="shared" si="159"/>
        <v>2.6380000000000088</v>
      </c>
      <c r="AB37" s="11">
        <f t="shared" si="159"/>
        <v>10.922000000000002</v>
      </c>
      <c r="AC37" s="11">
        <f t="shared" si="159"/>
        <v>8.3230000000000217</v>
      </c>
      <c r="AD37" s="11">
        <f t="shared" si="159"/>
        <v>8.0229999999999819</v>
      </c>
      <c r="AE37" s="11">
        <f t="shared" si="159"/>
        <v>-24.645000000000081</v>
      </c>
      <c r="AF37" s="11">
        <f t="shared" ref="AF37:AO37" si="160">AF35-AF36</f>
        <v>7.1999999999997399E-2</v>
      </c>
      <c r="AG37" s="11">
        <f t="shared" si="160"/>
        <v>-3.6640000000000068</v>
      </c>
      <c r="AH37" s="11">
        <f t="shared" si="160"/>
        <v>-2.2800000000000034</v>
      </c>
      <c r="AI37" s="11">
        <f t="shared" si="160"/>
        <v>3.869999999999949</v>
      </c>
      <c r="AJ37" s="11">
        <f t="shared" si="160"/>
        <v>8.6040000000000401</v>
      </c>
      <c r="AK37" s="11">
        <f t="shared" si="160"/>
        <v>19.100000000000001</v>
      </c>
      <c r="AL37" s="11">
        <f t="shared" si="160"/>
        <v>9.2099999999999937</v>
      </c>
      <c r="AM37" s="11">
        <f t="shared" si="160"/>
        <v>54.096000000000032</v>
      </c>
      <c r="AN37" s="11">
        <f t="shared" si="160"/>
        <v>11.099999999999989</v>
      </c>
      <c r="AO37" s="11">
        <f t="shared" si="160"/>
        <v>-60.200000000000038</v>
      </c>
      <c r="AP37" s="11">
        <f>AP35-AP36</f>
        <v>29.500000000000032</v>
      </c>
      <c r="AQ37" s="11">
        <f t="shared" ref="AQ37" si="161">AQ35-AQ36</f>
        <v>33.590000000000003</v>
      </c>
      <c r="AR37" s="11">
        <f>AR35-AR36</f>
        <v>39.222999999999999</v>
      </c>
      <c r="BM37" s="11">
        <f t="shared" ref="BM37:BQ37" si="162">BM35-BM36</f>
        <v>47.001999999999974</v>
      </c>
      <c r="BN37" s="11">
        <f t="shared" si="162"/>
        <v>-19.156999999999893</v>
      </c>
      <c r="BO37" s="11">
        <f t="shared" si="162"/>
        <v>2.6229999999999656</v>
      </c>
      <c r="BP37" s="11">
        <f t="shared" si="162"/>
        <v>-2.0019999999998928</v>
      </c>
      <c r="BQ37" s="11">
        <f t="shared" si="162"/>
        <v>91.01</v>
      </c>
      <c r="BR37" s="11">
        <f>BR35-BR36</f>
        <v>13.989999999999876</v>
      </c>
      <c r="BS37" s="125">
        <f>BS35-BS36</f>
        <v>151.71160000000006</v>
      </c>
      <c r="BT37" s="125">
        <f t="shared" ref="BT37:BX37" si="163">BT35-BT36</f>
        <v>223.82064063375023</v>
      </c>
      <c r="BU37" s="125">
        <f t="shared" si="163"/>
        <v>297.39651622153144</v>
      </c>
      <c r="BV37" s="125">
        <f t="shared" si="163"/>
        <v>371.3321379948182</v>
      </c>
      <c r="BW37" s="125">
        <f t="shared" si="163"/>
        <v>448.74873298316982</v>
      </c>
      <c r="BX37" s="125">
        <f t="shared" si="163"/>
        <v>529.51547290647375</v>
      </c>
      <c r="BY37" s="125">
        <f t="shared" ref="BY37:CB37" si="164">BY35-BY36</f>
        <v>624.96381236003367</v>
      </c>
      <c r="BZ37" s="125">
        <f t="shared" si="164"/>
        <v>728.0915714096185</v>
      </c>
      <c r="CA37" s="125">
        <f t="shared" si="164"/>
        <v>837.14205144565949</v>
      </c>
      <c r="CB37" s="125">
        <f t="shared" si="164"/>
        <v>949.93028822372924</v>
      </c>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c r="CZ37" s="125"/>
      <c r="DA37" s="125"/>
      <c r="DB37" s="125"/>
      <c r="DC37" s="125"/>
      <c r="DD37" s="125"/>
      <c r="DE37" s="125"/>
      <c r="DF37" s="125"/>
      <c r="DG37" s="125"/>
      <c r="DH37" s="125"/>
      <c r="DI37" s="125"/>
      <c r="DJ37" s="125"/>
      <c r="DK37" s="125"/>
      <c r="DL37" s="125"/>
      <c r="DM37" s="125"/>
      <c r="DN37" s="125"/>
      <c r="DO37" s="125"/>
      <c r="DP37" s="125"/>
    </row>
    <row r="38" spans="2:120">
      <c r="B38" s="2" t="s">
        <v>537</v>
      </c>
      <c r="T38" s="11">
        <v>-0.24399999999999999</v>
      </c>
      <c r="U38" s="11">
        <v>-0.53700000000000003</v>
      </c>
      <c r="V38" s="11">
        <v>-0.48299999999999998</v>
      </c>
      <c r="W38" s="11">
        <f>-1.454-SUM(T38:V38)</f>
        <v>-0.18999999999999995</v>
      </c>
      <c r="X38" s="11">
        <v>-0.53700000000000003</v>
      </c>
      <c r="Y38" s="11">
        <v>-0.94</v>
      </c>
      <c r="Z38" s="11">
        <v>-1.0609999999999999</v>
      </c>
      <c r="AA38" s="11">
        <f>-3.555-SUM(X38:Z38)</f>
        <v>-1.0170000000000003</v>
      </c>
      <c r="AB38" s="11">
        <v>-0.91</v>
      </c>
      <c r="AC38" s="11">
        <v>-0.93200000000000005</v>
      </c>
      <c r="AD38" s="11">
        <v>-0.81899999999999995</v>
      </c>
      <c r="AE38" s="11">
        <f>-2.641-SUM(AB38:AD38)</f>
        <v>2.0000000000000018E-2</v>
      </c>
      <c r="AF38" s="11">
        <v>0</v>
      </c>
      <c r="AG38" s="11">
        <v>0</v>
      </c>
      <c r="AH38" s="11">
        <v>0</v>
      </c>
      <c r="AI38" s="11">
        <v>0</v>
      </c>
      <c r="AJ38" s="11">
        <v>0</v>
      </c>
      <c r="AK38" s="11">
        <v>0</v>
      </c>
      <c r="AL38" s="11">
        <v>0</v>
      </c>
      <c r="AM38" s="11">
        <v>0</v>
      </c>
      <c r="AN38" s="11">
        <v>0</v>
      </c>
      <c r="AO38" s="11">
        <v>0</v>
      </c>
      <c r="AP38" s="11">
        <v>0</v>
      </c>
      <c r="AQ38" s="11">
        <v>0</v>
      </c>
      <c r="AR38" s="11">
        <v>0</v>
      </c>
      <c r="BM38" s="2">
        <f t="shared" si="98"/>
        <v>-1.454</v>
      </c>
      <c r="BN38" s="2">
        <v>-3.5550000000000002</v>
      </c>
      <c r="BO38" s="2">
        <v>-2.661</v>
      </c>
      <c r="BP38" s="2">
        <v>0</v>
      </c>
      <c r="BQ38" s="2">
        <v>0</v>
      </c>
      <c r="BR38" s="2">
        <v>0</v>
      </c>
      <c r="BS38" s="125">
        <v>0</v>
      </c>
      <c r="BT38" s="125">
        <v>0</v>
      </c>
      <c r="BU38" s="125">
        <v>0</v>
      </c>
      <c r="BV38" s="125">
        <v>0</v>
      </c>
      <c r="BW38" s="125">
        <v>0</v>
      </c>
      <c r="BX38" s="125">
        <v>0</v>
      </c>
      <c r="BY38" s="125">
        <v>0</v>
      </c>
      <c r="BZ38" s="125">
        <v>0</v>
      </c>
      <c r="CA38" s="125">
        <v>0</v>
      </c>
      <c r="CB38" s="125">
        <v>0</v>
      </c>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c r="CZ38" s="125"/>
      <c r="DA38" s="125"/>
      <c r="DB38" s="125"/>
      <c r="DC38" s="125"/>
      <c r="DD38" s="125"/>
      <c r="DE38" s="125"/>
      <c r="DF38" s="125"/>
      <c r="DG38" s="125"/>
      <c r="DH38" s="125"/>
      <c r="DI38" s="125"/>
      <c r="DJ38" s="125"/>
      <c r="DK38" s="125"/>
      <c r="DL38" s="125"/>
      <c r="DM38" s="125"/>
      <c r="DN38" s="125"/>
      <c r="DO38" s="125"/>
      <c r="DP38" s="125"/>
    </row>
    <row r="39" spans="2:120" s="1" customFormat="1">
      <c r="B39" s="1" t="s">
        <v>539</v>
      </c>
      <c r="T39" s="15">
        <f>T37-T38</f>
        <v>10.698</v>
      </c>
      <c r="U39" s="15">
        <f>U37-U38</f>
        <v>16.785999999999987</v>
      </c>
      <c r="V39" s="15">
        <f>V37-V38</f>
        <v>11.483000000000001</v>
      </c>
      <c r="W39" s="15">
        <f>W37-W38</f>
        <v>9.4890000000000985</v>
      </c>
      <c r="X39" s="15">
        <f>X37-X38</f>
        <v>1.5160000000000133</v>
      </c>
      <c r="Y39" s="15">
        <f t="shared" ref="Y39:AQ39" si="165">Y37-Y38</f>
        <v>-11.940000000000015</v>
      </c>
      <c r="Z39" s="15">
        <f t="shared" si="165"/>
        <v>-8.833000000000002</v>
      </c>
      <c r="AA39" s="15">
        <f t="shared" si="165"/>
        <v>3.6550000000000091</v>
      </c>
      <c r="AB39" s="15">
        <f t="shared" si="165"/>
        <v>11.832000000000003</v>
      </c>
      <c r="AC39" s="15">
        <f t="shared" si="165"/>
        <v>9.2550000000000221</v>
      </c>
      <c r="AD39" s="15">
        <f t="shared" si="165"/>
        <v>8.841999999999981</v>
      </c>
      <c r="AE39" s="15">
        <f t="shared" si="165"/>
        <v>-24.665000000000081</v>
      </c>
      <c r="AF39" s="15">
        <f t="shared" si="165"/>
        <v>7.1999999999997399E-2</v>
      </c>
      <c r="AG39" s="15">
        <f t="shared" si="165"/>
        <v>-3.6640000000000068</v>
      </c>
      <c r="AH39" s="15">
        <f t="shared" si="165"/>
        <v>-2.2800000000000034</v>
      </c>
      <c r="AI39" s="15">
        <f t="shared" si="165"/>
        <v>3.869999999999949</v>
      </c>
      <c r="AJ39" s="15">
        <f t="shared" si="165"/>
        <v>8.6040000000000401</v>
      </c>
      <c r="AK39" s="15">
        <f t="shared" si="165"/>
        <v>19.100000000000001</v>
      </c>
      <c r="AL39" s="15">
        <f t="shared" si="165"/>
        <v>9.2099999999999937</v>
      </c>
      <c r="AM39" s="15">
        <f t="shared" si="165"/>
        <v>54.096000000000032</v>
      </c>
      <c r="AN39" s="15">
        <f t="shared" si="165"/>
        <v>11.099999999999989</v>
      </c>
      <c r="AO39" s="15">
        <f t="shared" si="165"/>
        <v>-60.200000000000038</v>
      </c>
      <c r="AP39" s="15">
        <f t="shared" si="165"/>
        <v>29.500000000000032</v>
      </c>
      <c r="AQ39" s="15">
        <f t="shared" si="165"/>
        <v>33.590000000000003</v>
      </c>
      <c r="AR39" s="15">
        <f t="shared" ref="AR39" si="166">AR37-AR38</f>
        <v>39.222999999999999</v>
      </c>
      <c r="AS39" s="121"/>
      <c r="AT39" s="121"/>
      <c r="AU39" s="121"/>
      <c r="AV39" s="121"/>
      <c r="AW39" s="121"/>
      <c r="AX39" s="121"/>
      <c r="AY39" s="121"/>
      <c r="AZ39" s="121"/>
      <c r="BA39" s="121"/>
      <c r="BB39" s="121"/>
      <c r="BC39" s="121"/>
      <c r="BM39" s="15">
        <f t="shared" ref="BM39:BQ39" si="167">BM37-BM38</f>
        <v>48.455999999999975</v>
      </c>
      <c r="BN39" s="15">
        <f t="shared" si="167"/>
        <v>-15.601999999999894</v>
      </c>
      <c r="BO39" s="15">
        <f t="shared" si="167"/>
        <v>5.2839999999999652</v>
      </c>
      <c r="BP39" s="15">
        <f t="shared" si="167"/>
        <v>-2.0019999999998928</v>
      </c>
      <c r="BQ39" s="15">
        <f t="shared" si="167"/>
        <v>91.01</v>
      </c>
      <c r="BR39" s="15">
        <f>BR37-BR38</f>
        <v>13.989999999999876</v>
      </c>
      <c r="BS39" s="124">
        <f>BS37-BS38</f>
        <v>151.71160000000006</v>
      </c>
      <c r="BT39" s="124">
        <f t="shared" ref="BT39:BX39" si="168">BT37-BT38</f>
        <v>223.82064063375023</v>
      </c>
      <c r="BU39" s="124">
        <f t="shared" si="168"/>
        <v>297.39651622153144</v>
      </c>
      <c r="BV39" s="124">
        <f t="shared" si="168"/>
        <v>371.3321379948182</v>
      </c>
      <c r="BW39" s="124">
        <f t="shared" si="168"/>
        <v>448.74873298316982</v>
      </c>
      <c r="BX39" s="124">
        <f t="shared" si="168"/>
        <v>529.51547290647375</v>
      </c>
      <c r="BY39" s="124">
        <f t="shared" ref="BY39:CB39" si="169">BY37-BY38</f>
        <v>624.96381236003367</v>
      </c>
      <c r="BZ39" s="124">
        <f t="shared" si="169"/>
        <v>728.0915714096185</v>
      </c>
      <c r="CA39" s="124">
        <f t="shared" si="169"/>
        <v>837.14205144565949</v>
      </c>
      <c r="CB39" s="124">
        <f t="shared" si="169"/>
        <v>949.93028822372924</v>
      </c>
      <c r="CC39" s="124">
        <f t="shared" ref="CC39:DF39" si="170">CB39*(1+$BU$53)</f>
        <v>983.17784831155973</v>
      </c>
      <c r="CD39" s="124">
        <f t="shared" si="170"/>
        <v>1017.5890730024643</v>
      </c>
      <c r="CE39" s="124">
        <f t="shared" si="170"/>
        <v>1053.2046905575505</v>
      </c>
      <c r="CF39" s="124">
        <f t="shared" si="170"/>
        <v>1090.0668547270648</v>
      </c>
      <c r="CG39" s="124">
        <f t="shared" si="170"/>
        <v>1128.2191946425119</v>
      </c>
      <c r="CH39" s="124">
        <f t="shared" si="170"/>
        <v>1167.7068664549997</v>
      </c>
      <c r="CI39" s="124">
        <f t="shared" si="170"/>
        <v>1208.5766067809245</v>
      </c>
      <c r="CJ39" s="124">
        <f t="shared" si="170"/>
        <v>1250.8767880182568</v>
      </c>
      <c r="CK39" s="124">
        <f t="shared" si="170"/>
        <v>1294.6574755988956</v>
      </c>
      <c r="CL39" s="124">
        <f t="shared" si="170"/>
        <v>1339.9704872448569</v>
      </c>
      <c r="CM39" s="124">
        <f t="shared" si="170"/>
        <v>1386.8694542984267</v>
      </c>
      <c r="CN39" s="124">
        <f t="shared" si="170"/>
        <v>1435.4098851988715</v>
      </c>
      <c r="CO39" s="124">
        <f t="shared" si="170"/>
        <v>1485.649231180832</v>
      </c>
      <c r="CP39" s="124">
        <f t="shared" si="170"/>
        <v>1537.6469542721609</v>
      </c>
      <c r="CQ39" s="124">
        <f t="shared" si="170"/>
        <v>1591.4645976716863</v>
      </c>
      <c r="CR39" s="124">
        <f t="shared" si="170"/>
        <v>1647.1658585901953</v>
      </c>
      <c r="CS39" s="124">
        <f t="shared" si="170"/>
        <v>1704.8166636408521</v>
      </c>
      <c r="CT39" s="124">
        <f t="shared" si="170"/>
        <v>1764.4852468682818</v>
      </c>
      <c r="CU39" s="124">
        <f t="shared" si="170"/>
        <v>1826.2422305086716</v>
      </c>
      <c r="CV39" s="124">
        <f t="shared" si="170"/>
        <v>1890.1607085764749</v>
      </c>
      <c r="CW39" s="124">
        <f t="shared" si="170"/>
        <v>1956.3163333766513</v>
      </c>
      <c r="CX39" s="124">
        <f t="shared" si="170"/>
        <v>2024.787405044834</v>
      </c>
      <c r="CY39" s="124">
        <f t="shared" si="170"/>
        <v>2095.6549642214031</v>
      </c>
      <c r="CZ39" s="124">
        <f t="shared" si="170"/>
        <v>2169.0028879691522</v>
      </c>
      <c r="DA39" s="124">
        <f t="shared" si="170"/>
        <v>2244.9179890480723</v>
      </c>
      <c r="DB39" s="124">
        <f t="shared" si="170"/>
        <v>2323.4901186647548</v>
      </c>
      <c r="DC39" s="124">
        <f t="shared" si="170"/>
        <v>2404.812272818021</v>
      </c>
      <c r="DD39" s="124">
        <f t="shared" si="170"/>
        <v>2488.9807023666517</v>
      </c>
      <c r="DE39" s="124">
        <f t="shared" si="170"/>
        <v>2576.0950269494842</v>
      </c>
      <c r="DF39" s="124">
        <f t="shared" si="170"/>
        <v>2666.2583528927162</v>
      </c>
      <c r="DG39" s="124">
        <f t="shared" ref="DG39" si="171">DF39*(1+$BU$53)</f>
        <v>2759.5773952439608</v>
      </c>
      <c r="DH39" s="124">
        <f t="shared" ref="DH39" si="172">DG39*(1+$BU$53)</f>
        <v>2856.1626040774991</v>
      </c>
      <c r="DI39" s="124">
        <f t="shared" ref="DI39" si="173">DH39*(1+$BU$53)</f>
        <v>2956.1282952202114</v>
      </c>
      <c r="DJ39" s="124">
        <f t="shared" ref="DJ39" si="174">DI39*(1+$BU$53)</f>
        <v>3059.5927855529185</v>
      </c>
      <c r="DK39" s="124">
        <f t="shared" ref="DK39" si="175">DJ39*(1+$BU$53)</f>
        <v>3166.6785330472703</v>
      </c>
      <c r="DL39" s="124">
        <f t="shared" ref="DL39" si="176">DK39*(1+$BU$53)</f>
        <v>3277.5122817039246</v>
      </c>
      <c r="DM39" s="124">
        <f t="shared" ref="DM39" si="177">DL39*(1+$BU$53)</f>
        <v>3392.2252115635615</v>
      </c>
      <c r="DN39" s="124">
        <f t="shared" ref="DN39" si="178">DM39*(1+$BU$53)</f>
        <v>3510.9530939682859</v>
      </c>
      <c r="DO39" s="124">
        <f t="shared" ref="DO39" si="179">DN39*(1+$BU$53)</f>
        <v>3633.8364522571756</v>
      </c>
      <c r="DP39" s="124">
        <f t="shared" ref="DP39" si="180">DO39*(1+$BU$53)</f>
        <v>3761.0207280861764</v>
      </c>
    </row>
    <row r="40" spans="2:120">
      <c r="B40" s="2" t="s">
        <v>299</v>
      </c>
      <c r="T40" s="11">
        <v>34.506999999999998</v>
      </c>
      <c r="U40" s="11">
        <v>34.694000000000003</v>
      </c>
      <c r="V40" s="11">
        <v>34.840000000000003</v>
      </c>
      <c r="W40" s="11">
        <v>35</v>
      </c>
      <c r="X40" s="11">
        <v>35</v>
      </c>
      <c r="Y40" s="11">
        <v>35.4</v>
      </c>
      <c r="Z40" s="11">
        <v>36.207000000000001</v>
      </c>
      <c r="AA40" s="11">
        <v>37.651000000000003</v>
      </c>
      <c r="AB40" s="11">
        <v>36.454999999999998</v>
      </c>
      <c r="AC40" s="11">
        <v>36.523000000000003</v>
      </c>
      <c r="AD40" s="11">
        <v>36.616999999999997</v>
      </c>
      <c r="AE40" s="11">
        <v>36.700000000000003</v>
      </c>
      <c r="AF40" s="11">
        <v>37.646000000000001</v>
      </c>
      <c r="AG40" s="11">
        <v>37.767000000000003</v>
      </c>
      <c r="AH40" s="11">
        <v>37.917999999999999</v>
      </c>
      <c r="AI40" s="11">
        <v>37.841000000000001</v>
      </c>
      <c r="AJ40" s="11">
        <v>39.07</v>
      </c>
      <c r="AK40" s="11">
        <v>38.15</v>
      </c>
      <c r="AL40" s="11">
        <v>38.956000000000003</v>
      </c>
      <c r="AM40" s="11">
        <v>38.4</v>
      </c>
      <c r="AN40" s="11">
        <v>39.299999999999997</v>
      </c>
      <c r="AO40" s="11">
        <v>38.799999999999997</v>
      </c>
      <c r="AP40" s="11">
        <v>38.6</v>
      </c>
      <c r="AQ40" s="11">
        <v>38.630000000000003</v>
      </c>
      <c r="AR40" s="11">
        <v>38.561999999999998</v>
      </c>
      <c r="BM40" s="11">
        <f>W40</f>
        <v>35</v>
      </c>
      <c r="BN40" s="11">
        <f>AA40</f>
        <v>37.651000000000003</v>
      </c>
      <c r="BO40" s="11">
        <f>AE40</f>
        <v>36.700000000000003</v>
      </c>
      <c r="BP40" s="11">
        <f>AI40</f>
        <v>37.841000000000001</v>
      </c>
      <c r="BQ40" s="11">
        <f>AM40</f>
        <v>38.4</v>
      </c>
      <c r="BR40" s="11">
        <f>AQ40</f>
        <v>38.630000000000003</v>
      </c>
      <c r="BS40" s="124">
        <v>38.6</v>
      </c>
      <c r="BT40" s="124">
        <v>38.6</v>
      </c>
      <c r="BU40" s="124">
        <v>38.6</v>
      </c>
      <c r="BV40" s="124">
        <v>38.6</v>
      </c>
      <c r="BW40" s="124">
        <v>38.6</v>
      </c>
      <c r="BX40" s="124">
        <v>38.6</v>
      </c>
      <c r="BY40" s="124">
        <v>38.6</v>
      </c>
      <c r="BZ40" s="124">
        <v>38.6</v>
      </c>
      <c r="CA40" s="124">
        <v>38.6</v>
      </c>
      <c r="CB40" s="124">
        <v>38.6</v>
      </c>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row>
    <row r="41" spans="2:120">
      <c r="B41" s="2" t="s">
        <v>300</v>
      </c>
      <c r="T41" s="14">
        <f>T39/T40</f>
        <v>0.31002405309067727</v>
      </c>
      <c r="U41" s="14">
        <f>U39/U40</f>
        <v>0.4838300570703864</v>
      </c>
      <c r="V41" s="14">
        <f>V39/V40</f>
        <v>0.32959242250287024</v>
      </c>
      <c r="W41" s="14">
        <f>W39/W40</f>
        <v>0.27111428571428853</v>
      </c>
      <c r="X41" s="14">
        <f>X39/X40</f>
        <v>4.3314285714286097E-2</v>
      </c>
      <c r="Y41" s="14">
        <f t="shared" ref="Y41:AP41" si="181">Y39/Y40</f>
        <v>-0.33728813559322079</v>
      </c>
      <c r="Z41" s="14">
        <f t="shared" si="181"/>
        <v>-0.24395835059518883</v>
      </c>
      <c r="AA41" s="14">
        <f t="shared" si="181"/>
        <v>9.70757748798175E-2</v>
      </c>
      <c r="AB41" s="14">
        <f t="shared" si="181"/>
        <v>0.32456453161431909</v>
      </c>
      <c r="AC41" s="14">
        <f t="shared" si="181"/>
        <v>0.25340196588451169</v>
      </c>
      <c r="AD41" s="14">
        <f t="shared" si="181"/>
        <v>0.24147254007701291</v>
      </c>
      <c r="AE41" s="14">
        <f t="shared" si="181"/>
        <v>-0.67207084468665068</v>
      </c>
      <c r="AF41" s="14">
        <f t="shared" si="181"/>
        <v>1.9125537905752908E-3</v>
      </c>
      <c r="AG41" s="14">
        <f t="shared" si="181"/>
        <v>-9.7015913363518586E-2</v>
      </c>
      <c r="AH41" s="14">
        <f t="shared" si="181"/>
        <v>-6.01297536789916E-2</v>
      </c>
      <c r="AI41" s="14">
        <f t="shared" si="181"/>
        <v>0.10227002457651618</v>
      </c>
      <c r="AJ41" s="14">
        <f t="shared" si="181"/>
        <v>0.22022011773739544</v>
      </c>
      <c r="AK41" s="14">
        <f t="shared" si="181"/>
        <v>0.50065530799475755</v>
      </c>
      <c r="AL41" s="14">
        <f t="shared" si="181"/>
        <v>0.23642057706129974</v>
      </c>
      <c r="AM41" s="14">
        <f t="shared" si="181"/>
        <v>1.4087500000000008</v>
      </c>
      <c r="AN41" s="14">
        <f t="shared" si="181"/>
        <v>0.2824427480916028</v>
      </c>
      <c r="AO41" s="14">
        <f t="shared" si="181"/>
        <v>-1.5515463917525785</v>
      </c>
      <c r="AP41" s="14">
        <f t="shared" si="181"/>
        <v>0.76424870466321326</v>
      </c>
      <c r="AQ41" s="14">
        <f>AQ39/AQ40</f>
        <v>0.86953145223919237</v>
      </c>
      <c r="AR41" s="14">
        <f t="shared" ref="AR41" si="182">AR39/AR40</f>
        <v>1.0171412271147762</v>
      </c>
      <c r="AS41" s="121">
        <v>0.84</v>
      </c>
      <c r="AT41" s="121">
        <v>0.99</v>
      </c>
      <c r="AU41" s="121">
        <v>1.1599999999999999</v>
      </c>
      <c r="AV41" s="121">
        <v>1.01</v>
      </c>
      <c r="AW41" s="121">
        <v>1.1599999999999999</v>
      </c>
      <c r="AX41" s="121">
        <v>1.29</v>
      </c>
      <c r="AY41" s="121">
        <v>1.47</v>
      </c>
      <c r="AZ41" s="121">
        <v>1.24</v>
      </c>
      <c r="BM41" s="14">
        <f t="shared" si="98"/>
        <v>1.3945608183782223</v>
      </c>
      <c r="BN41" s="14">
        <f t="shared" si="77"/>
        <v>-0.4408564255943061</v>
      </c>
      <c r="BO41" s="14">
        <f t="shared" si="85"/>
        <v>0.14736819288919301</v>
      </c>
      <c r="BP41" s="14">
        <f t="shared" si="86"/>
        <v>-5.2963088675418712E-2</v>
      </c>
      <c r="BQ41" s="14">
        <f t="shared" si="56"/>
        <v>2.3660460027934533</v>
      </c>
      <c r="BR41" s="14">
        <f t="shared" si="78"/>
        <v>0.36467651324142991</v>
      </c>
      <c r="BS41" s="126">
        <f t="shared" ref="BS41:BX41" si="183">BS39/BS40</f>
        <v>3.930352331606219</v>
      </c>
      <c r="BT41" s="126">
        <f t="shared" si="183"/>
        <v>5.7984621925842026</v>
      </c>
      <c r="BU41" s="126">
        <f t="shared" si="183"/>
        <v>7.7045729591070318</v>
      </c>
      <c r="BV41" s="126">
        <f t="shared" si="183"/>
        <v>9.6200035749952892</v>
      </c>
      <c r="BW41" s="126">
        <f t="shared" si="183"/>
        <v>11.62561484412357</v>
      </c>
      <c r="BX41" s="126">
        <f t="shared" si="183"/>
        <v>13.7180174328102</v>
      </c>
      <c r="BY41" s="126">
        <f t="shared" ref="BY41:CB41" si="184">BY39/BY40</f>
        <v>16.190772340933513</v>
      </c>
      <c r="BZ41" s="126">
        <f t="shared" si="184"/>
        <v>18.862475943254363</v>
      </c>
      <c r="CA41" s="126">
        <f t="shared" si="184"/>
        <v>21.687617913099984</v>
      </c>
      <c r="CB41" s="126">
        <f t="shared" si="184"/>
        <v>24.609592959163969</v>
      </c>
    </row>
    <row r="42" spans="2:120">
      <c r="Z42" s="11"/>
      <c r="AA42" s="14"/>
      <c r="AE42" s="14"/>
      <c r="AI42" s="14"/>
      <c r="AM42" s="14"/>
      <c r="AQ42" s="14"/>
      <c r="AR42" s="2"/>
    </row>
    <row r="43" spans="2:120">
      <c r="B43" s="2" t="s">
        <v>525</v>
      </c>
      <c r="C43" s="13">
        <f t="shared" ref="C43:S43" si="185">C28/C26</f>
        <v>0.64</v>
      </c>
      <c r="D43" s="13">
        <f t="shared" si="185"/>
        <v>0.68717948717948718</v>
      </c>
      <c r="E43" s="13">
        <f t="shared" si="185"/>
        <v>0.64775413711583929</v>
      </c>
      <c r="F43" s="13">
        <f t="shared" si="185"/>
        <v>0.66468253968253965</v>
      </c>
      <c r="G43" s="13">
        <f t="shared" si="185"/>
        <v>0.66911764705882348</v>
      </c>
      <c r="H43" s="13">
        <f t="shared" si="185"/>
        <v>0.68911917098445596</v>
      </c>
      <c r="I43" s="13">
        <f t="shared" si="185"/>
        <v>0.63748079877112129</v>
      </c>
      <c r="J43" s="13">
        <f t="shared" si="185"/>
        <v>0.63839285714285721</v>
      </c>
      <c r="K43" s="13">
        <f t="shared" si="185"/>
        <v>0.63748290013679887</v>
      </c>
      <c r="L43" s="13">
        <f t="shared" si="185"/>
        <v>0.65163934426229508</v>
      </c>
      <c r="M43" s="13">
        <f t="shared" si="185"/>
        <v>0.63151364764267981</v>
      </c>
      <c r="N43" s="13">
        <f t="shared" si="185"/>
        <v>0.65315852205005964</v>
      </c>
      <c r="O43" s="13">
        <f t="shared" si="185"/>
        <v>0.66389177939646205</v>
      </c>
      <c r="P43" s="13">
        <f t="shared" si="185"/>
        <v>0.6484907497565725</v>
      </c>
      <c r="Q43" s="13">
        <f t="shared" si="185"/>
        <v>0.65875912408759119</v>
      </c>
      <c r="R43" s="13">
        <f t="shared" si="185"/>
        <v>0.67084078711985695</v>
      </c>
      <c r="S43" s="13">
        <f t="shared" si="185"/>
        <v>0.65149006622516548</v>
      </c>
      <c r="T43" s="13">
        <f t="shared" ref="T43:AQ43" si="186">T28/T26</f>
        <v>0.65330623875925542</v>
      </c>
      <c r="U43" s="13">
        <f t="shared" si="186"/>
        <v>0.69990536583184926</v>
      </c>
      <c r="V43" s="13">
        <f t="shared" si="186"/>
        <v>0.6881478401743345</v>
      </c>
      <c r="W43" s="13">
        <f t="shared" si="186"/>
        <v>0.67551510728963748</v>
      </c>
      <c r="X43" s="13">
        <f t="shared" si="186"/>
        <v>0.64093226511289147</v>
      </c>
      <c r="Y43" s="13">
        <f t="shared" si="186"/>
        <v>0.61750713606089436</v>
      </c>
      <c r="Z43" s="13">
        <f t="shared" si="186"/>
        <v>0.60189940436796829</v>
      </c>
      <c r="AA43" s="13">
        <f t="shared" si="186"/>
        <v>0.56513611963190191</v>
      </c>
      <c r="AB43" s="13">
        <f t="shared" si="186"/>
        <v>0.65799645390070927</v>
      </c>
      <c r="AC43" s="13">
        <f t="shared" si="186"/>
        <v>0.64405860010851879</v>
      </c>
      <c r="AD43" s="13">
        <f t="shared" si="186"/>
        <v>0.6307206733298264</v>
      </c>
      <c r="AE43" s="13">
        <f t="shared" si="186"/>
        <v>0.61497622432472154</v>
      </c>
      <c r="AF43" s="13">
        <f t="shared" si="186"/>
        <v>0.62481608631682195</v>
      </c>
      <c r="AG43" s="13">
        <f t="shared" si="186"/>
        <v>0.64330292846855497</v>
      </c>
      <c r="AH43" s="13">
        <f t="shared" si="186"/>
        <v>0.63313055685540476</v>
      </c>
      <c r="AI43" s="13">
        <f t="shared" si="186"/>
        <v>0.6260684436770283</v>
      </c>
      <c r="AJ43" s="13">
        <f t="shared" si="186"/>
        <v>0.62593206296603154</v>
      </c>
      <c r="AK43" s="13">
        <f t="shared" si="186"/>
        <v>0.63824091778202674</v>
      </c>
      <c r="AL43" s="13">
        <f t="shared" si="186"/>
        <v>0.65596160944998161</v>
      </c>
      <c r="AM43" s="13">
        <f t="shared" si="186"/>
        <v>0.65650463613374543</v>
      </c>
      <c r="AN43" s="13">
        <f t="shared" si="186"/>
        <v>0.65016146393972007</v>
      </c>
      <c r="AO43" s="13">
        <f t="shared" si="186"/>
        <v>0.54375417501670009</v>
      </c>
      <c r="AP43" s="13">
        <f t="shared" si="186"/>
        <v>0.6654485049833887</v>
      </c>
      <c r="AQ43" s="13">
        <f t="shared" si="186"/>
        <v>0.66782884310618063</v>
      </c>
      <c r="AR43" s="13">
        <f t="shared" ref="AR43" si="187">AR28/AR26</f>
        <v>0.66601777009933971</v>
      </c>
      <c r="BM43" s="13">
        <f t="shared" ref="BM43:BR43" si="188">BM28/BM26</f>
        <v>0.6795030352409468</v>
      </c>
      <c r="BN43" s="13">
        <f t="shared" si="188"/>
        <v>0.60343996916554254</v>
      </c>
      <c r="BO43" s="13">
        <f t="shared" si="188"/>
        <v>0.63588598028331034</v>
      </c>
      <c r="BP43" s="13">
        <f t="shared" si="188"/>
        <v>0.63178627204937132</v>
      </c>
      <c r="BQ43" s="13">
        <f t="shared" si="188"/>
        <v>0.64488153270604243</v>
      </c>
      <c r="BR43" s="13">
        <f t="shared" si="188"/>
        <v>0.63201071488364302</v>
      </c>
      <c r="BS43" s="123">
        <v>0.67</v>
      </c>
      <c r="BT43" s="123">
        <v>0.68</v>
      </c>
      <c r="BU43" s="123">
        <v>0.68400000000000005</v>
      </c>
      <c r="BV43" s="123">
        <v>0.68700000000000006</v>
      </c>
      <c r="BW43" s="123">
        <v>0.69</v>
      </c>
      <c r="BX43" s="123">
        <v>0.69199999999999995</v>
      </c>
      <c r="BY43" s="123">
        <v>0.69399999999999995</v>
      </c>
      <c r="BZ43" s="123">
        <v>0.69599999999999995</v>
      </c>
      <c r="CA43" s="123">
        <v>0.69799999999999995</v>
      </c>
      <c r="CB43" s="123">
        <v>0.7</v>
      </c>
    </row>
    <row r="44" spans="2:120">
      <c r="B44" s="2" t="s">
        <v>528</v>
      </c>
      <c r="C44" s="13">
        <f t="shared" ref="C44:S44" si="189">C29/C26</f>
        <v>0.12</v>
      </c>
      <c r="D44" s="13">
        <f t="shared" si="189"/>
        <v>8.2051282051282051E-2</v>
      </c>
      <c r="E44" s="13">
        <f t="shared" si="189"/>
        <v>0.11347517730496454</v>
      </c>
      <c r="F44" s="13">
        <f t="shared" si="189"/>
        <v>9.1269841269841265E-2</v>
      </c>
      <c r="G44" s="13">
        <f t="shared" si="189"/>
        <v>0.10110294117647059</v>
      </c>
      <c r="H44" s="13">
        <f t="shared" si="189"/>
        <v>8.6355785837651119E-2</v>
      </c>
      <c r="I44" s="13">
        <f t="shared" si="189"/>
        <v>9.6774193548387108E-2</v>
      </c>
      <c r="J44" s="13">
        <f t="shared" si="189"/>
        <v>9.6726190476190466E-2</v>
      </c>
      <c r="K44" s="13">
        <f t="shared" si="189"/>
        <v>8.3447332421340628E-2</v>
      </c>
      <c r="L44" s="13">
        <f t="shared" si="189"/>
        <v>9.5628415300546443E-2</v>
      </c>
      <c r="M44" s="13">
        <f t="shared" si="189"/>
        <v>0.10049627791563276</v>
      </c>
      <c r="N44" s="13">
        <f t="shared" si="189"/>
        <v>9.6543504171632891E-2</v>
      </c>
      <c r="O44" s="13">
        <f t="shared" si="189"/>
        <v>8.7408949011446413E-2</v>
      </c>
      <c r="P44" s="13">
        <f t="shared" si="189"/>
        <v>7.7896786757546244E-2</v>
      </c>
      <c r="Q44" s="13">
        <f t="shared" si="189"/>
        <v>7.4817518248175174E-2</v>
      </c>
      <c r="R44" s="13">
        <f t="shared" si="189"/>
        <v>0.35688729874776387</v>
      </c>
      <c r="S44" s="13">
        <f t="shared" si="189"/>
        <v>9.0231788079470202E-2</v>
      </c>
      <c r="T44" s="13">
        <f t="shared" ref="T44:AQ44" si="190">T29/T26</f>
        <v>9.0836895335528925E-2</v>
      </c>
      <c r="U44" s="13">
        <f t="shared" si="190"/>
        <v>0.10031221823980448</v>
      </c>
      <c r="V44" s="13">
        <f t="shared" si="190"/>
        <v>9.8443033074794628E-2</v>
      </c>
      <c r="W44" s="13">
        <f t="shared" si="190"/>
        <v>8.8537184791513193E-2</v>
      </c>
      <c r="X44" s="13">
        <f t="shared" si="190"/>
        <v>9.4289876183539678E-2</v>
      </c>
      <c r="Y44" s="13">
        <f t="shared" si="190"/>
        <v>0.21622264509990488</v>
      </c>
      <c r="Z44" s="13">
        <f t="shared" si="190"/>
        <v>0.23112508272667109</v>
      </c>
      <c r="AA44" s="13">
        <f t="shared" si="190"/>
        <v>0.11655842599693257</v>
      </c>
      <c r="AB44" s="13">
        <f t="shared" si="190"/>
        <v>0.10683215130023642</v>
      </c>
      <c r="AC44" s="13">
        <f t="shared" si="190"/>
        <v>9.624525230602278E-2</v>
      </c>
      <c r="AD44" s="13">
        <f t="shared" si="190"/>
        <v>8.8006312467122566E-2</v>
      </c>
      <c r="AE44" s="13">
        <f t="shared" si="190"/>
        <v>0.25495367419971571</v>
      </c>
      <c r="AF44" s="13">
        <f t="shared" si="190"/>
        <v>0.10083374203040706</v>
      </c>
      <c r="AG44" s="13">
        <f t="shared" si="190"/>
        <v>9.3898223715794524E-2</v>
      </c>
      <c r="AH44" s="13">
        <f t="shared" si="190"/>
        <v>9.9766027140851671E-2</v>
      </c>
      <c r="AI44" s="13">
        <f t="shared" si="190"/>
        <v>8.1217539878770353E-2</v>
      </c>
      <c r="AJ44" s="13">
        <f t="shared" si="190"/>
        <v>8.2767191383595687E-2</v>
      </c>
      <c r="AK44" s="13">
        <f t="shared" si="190"/>
        <v>8.2217973231357558E-2</v>
      </c>
      <c r="AL44" s="13">
        <f t="shared" si="190"/>
        <v>7.7519379844961253E-2</v>
      </c>
      <c r="AM44" s="13">
        <f t="shared" si="190"/>
        <v>7.6987917954481594E-2</v>
      </c>
      <c r="AN44" s="13">
        <f t="shared" si="190"/>
        <v>8.8266953713670618E-2</v>
      </c>
      <c r="AO44" s="13">
        <f t="shared" si="190"/>
        <v>8.3166332665330661E-2</v>
      </c>
      <c r="AP44" s="13">
        <f t="shared" si="190"/>
        <v>8.3720930232558138E-2</v>
      </c>
      <c r="AQ44" s="13">
        <f t="shared" si="190"/>
        <v>6.3708399366085564E-2</v>
      </c>
      <c r="AR44" s="13">
        <f t="shared" ref="AR44" si="191">AR29/AR26</f>
        <v>6.8109458875794421E-2</v>
      </c>
      <c r="BM44" s="13">
        <f t="shared" ref="BM44:BR44" si="192">BM29/BM26</f>
        <v>9.4487973211692292E-2</v>
      </c>
      <c r="BN44" s="13">
        <f t="shared" si="192"/>
        <v>0.16068356851744789</v>
      </c>
      <c r="BO44" s="13">
        <f t="shared" si="192"/>
        <v>0.13985205794620045</v>
      </c>
      <c r="BP44" s="13">
        <f t="shared" si="192"/>
        <v>9.3736166575968588E-2</v>
      </c>
      <c r="BQ44" s="13">
        <f t="shared" si="192"/>
        <v>7.9733968181989953E-2</v>
      </c>
      <c r="BR44" s="13">
        <f t="shared" si="192"/>
        <v>7.9357106981416375E-2</v>
      </c>
      <c r="BS44" s="123">
        <v>0.09</v>
      </c>
      <c r="BT44" s="123">
        <v>9.5000000000000001E-2</v>
      </c>
      <c r="BU44" s="123">
        <v>9.6000000000000002E-2</v>
      </c>
      <c r="BV44" s="123">
        <v>9.7000000000000003E-2</v>
      </c>
      <c r="BW44" s="123">
        <v>9.8000000000000004E-2</v>
      </c>
      <c r="BX44" s="123">
        <v>9.9000000000000005E-2</v>
      </c>
      <c r="BY44" s="123">
        <v>0.1</v>
      </c>
      <c r="BZ44" s="123">
        <v>0.1</v>
      </c>
      <c r="CA44" s="123">
        <v>0.1</v>
      </c>
      <c r="CB44" s="123">
        <v>0.1</v>
      </c>
    </row>
    <row r="45" spans="2:120">
      <c r="B45" s="2" t="s">
        <v>540</v>
      </c>
      <c r="C45" s="13">
        <f t="shared" ref="C45:S45" si="193">C30/C26</f>
        <v>0.51076923076923086</v>
      </c>
      <c r="D45" s="13">
        <f t="shared" si="193"/>
        <v>0.5</v>
      </c>
      <c r="E45" s="13">
        <f t="shared" si="193"/>
        <v>0.62411347517730498</v>
      </c>
      <c r="F45" s="13">
        <f t="shared" si="193"/>
        <v>0.53174603174603174</v>
      </c>
      <c r="G45" s="13">
        <f t="shared" si="193"/>
        <v>0.53676470588235292</v>
      </c>
      <c r="H45" s="13">
        <f t="shared" si="193"/>
        <v>0.57167530224525043</v>
      </c>
      <c r="I45" s="13">
        <f t="shared" si="193"/>
        <v>0.55145929339477728</v>
      </c>
      <c r="J45" s="13">
        <f t="shared" si="193"/>
        <v>0.56101190476190477</v>
      </c>
      <c r="K45" s="13">
        <f t="shared" si="193"/>
        <v>0.56908344733242144</v>
      </c>
      <c r="L45" s="13">
        <f t="shared" si="193"/>
        <v>0.58333333333333337</v>
      </c>
      <c r="M45" s="13">
        <f t="shared" si="193"/>
        <v>0.54838709677419362</v>
      </c>
      <c r="N45" s="13">
        <f t="shared" si="193"/>
        <v>0.54827175208581647</v>
      </c>
      <c r="O45" s="13">
        <f t="shared" si="193"/>
        <v>0.53590010405827271</v>
      </c>
      <c r="P45" s="13">
        <f t="shared" si="193"/>
        <v>0.53067185978578379</v>
      </c>
      <c r="Q45" s="13">
        <f t="shared" si="193"/>
        <v>0.5</v>
      </c>
      <c r="R45" s="13">
        <f t="shared" si="193"/>
        <v>0.5</v>
      </c>
      <c r="S45" s="13">
        <f t="shared" si="193"/>
        <v>0.50662251655629142</v>
      </c>
      <c r="T45" s="13">
        <f t="shared" ref="T45:AQ45" si="194">T30/T26</f>
        <v>0.47564213361985069</v>
      </c>
      <c r="U45" s="13">
        <f t="shared" si="194"/>
        <v>0.50420637700166171</v>
      </c>
      <c r="V45" s="13">
        <f t="shared" si="194"/>
        <v>0.49668821952373443</v>
      </c>
      <c r="W45" s="13">
        <f t="shared" si="194"/>
        <v>0.51416415968498042</v>
      </c>
      <c r="X45" s="13">
        <f t="shared" si="194"/>
        <v>0.5422651128914785</v>
      </c>
      <c r="Y45" s="13">
        <f t="shared" si="194"/>
        <v>0.56898192197906761</v>
      </c>
      <c r="Z45" s="13">
        <f t="shared" si="194"/>
        <v>0.50430178689609539</v>
      </c>
      <c r="AA45" s="13">
        <f t="shared" si="194"/>
        <v>0.45901433090490795</v>
      </c>
      <c r="AB45" s="13">
        <f t="shared" si="194"/>
        <v>0.47161938534278963</v>
      </c>
      <c r="AC45" s="13">
        <f t="shared" si="194"/>
        <v>0.49175257731958755</v>
      </c>
      <c r="AD45" s="13">
        <f t="shared" si="194"/>
        <v>0.49656496580746978</v>
      </c>
      <c r="AE45" s="13">
        <f t="shared" si="194"/>
        <v>0.55642923672729072</v>
      </c>
      <c r="AF45" s="13">
        <f t="shared" si="194"/>
        <v>0.54389406571848942</v>
      </c>
      <c r="AG45" s="13">
        <f t="shared" si="194"/>
        <v>0.55024003840614488</v>
      </c>
      <c r="AH45" s="13">
        <f t="shared" si="194"/>
        <v>0.5080486663547028</v>
      </c>
      <c r="AI45" s="13">
        <f t="shared" si="194"/>
        <v>0.52267518860206241</v>
      </c>
      <c r="AJ45" s="13">
        <f t="shared" si="194"/>
        <v>0.50981772990886487</v>
      </c>
      <c r="AK45" s="13">
        <f t="shared" si="194"/>
        <v>0.48718929254302107</v>
      </c>
      <c r="AL45" s="13">
        <f t="shared" si="194"/>
        <v>0.46474713916574389</v>
      </c>
      <c r="AM45" s="13">
        <f t="shared" si="194"/>
        <v>0.45669429615060397</v>
      </c>
      <c r="AN45" s="13">
        <f t="shared" si="194"/>
        <v>0.51811984212414786</v>
      </c>
      <c r="AO45" s="13">
        <f t="shared" si="194"/>
        <v>0.4739478957915832</v>
      </c>
      <c r="AP45" s="13">
        <f t="shared" si="194"/>
        <v>0.46411960132890362</v>
      </c>
      <c r="AQ45" s="13">
        <f t="shared" si="194"/>
        <v>0.46909667194928684</v>
      </c>
      <c r="AR45" s="13">
        <f t="shared" ref="AR45" si="195">AR30/AR26</f>
        <v>0.47342506324427713</v>
      </c>
      <c r="BM45" s="13">
        <f t="shared" ref="BM45:BR45" si="196">BM30/BM26</f>
        <v>0.49823073676980212</v>
      </c>
      <c r="BN45" s="13">
        <f t="shared" si="196"/>
        <v>0.51224456292870235</v>
      </c>
      <c r="BO45" s="13">
        <f t="shared" si="196"/>
        <v>0.50606749689000652</v>
      </c>
      <c r="BP45" s="13">
        <f t="shared" si="196"/>
        <v>0.53087059529023184</v>
      </c>
      <c r="BQ45" s="13">
        <f t="shared" si="196"/>
        <v>0.47840380909193969</v>
      </c>
      <c r="BR45" s="13">
        <f t="shared" si="196"/>
        <v>0.48049556336849158</v>
      </c>
      <c r="BS45" s="123">
        <v>0.46</v>
      </c>
      <c r="BT45" s="123">
        <v>0.43</v>
      </c>
      <c r="BU45" s="123">
        <v>0.41</v>
      </c>
      <c r="BV45" s="123">
        <v>0.4</v>
      </c>
      <c r="BW45" s="123">
        <v>0.39500000000000002</v>
      </c>
      <c r="BX45" s="123">
        <v>0.39300000000000002</v>
      </c>
      <c r="BY45" s="123">
        <v>0.38900000000000001</v>
      </c>
      <c r="BZ45" s="123">
        <v>0.38600000000000001</v>
      </c>
      <c r="CA45" s="123">
        <v>0.38300000000000001</v>
      </c>
      <c r="CB45" s="123">
        <v>0.38</v>
      </c>
    </row>
    <row r="46" spans="2:120">
      <c r="B46" s="2" t="s">
        <v>526</v>
      </c>
      <c r="C46" s="13">
        <f t="shared" ref="C46:S46" si="197">C33/C26</f>
        <v>9.2307692307692524E-3</v>
      </c>
      <c r="D46" s="13">
        <f t="shared" si="197"/>
        <v>0.10512820512820517</v>
      </c>
      <c r="E46" s="13">
        <f t="shared" si="197"/>
        <v>-8.9834515366430279E-2</v>
      </c>
      <c r="F46" s="13">
        <f t="shared" si="197"/>
        <v>4.1666666666666699E-2</v>
      </c>
      <c r="G46" s="13">
        <f t="shared" si="197"/>
        <v>3.1249999999999924E-2</v>
      </c>
      <c r="H46" s="13">
        <f t="shared" si="197"/>
        <v>3.1088082901554355E-2</v>
      </c>
      <c r="I46" s="13">
        <f t="shared" si="197"/>
        <v>-1.0752688172043055E-2</v>
      </c>
      <c r="J46" s="13">
        <f t="shared" si="197"/>
        <v>-1.9345238095238051E-2</v>
      </c>
      <c r="K46" s="13">
        <f t="shared" si="197"/>
        <v>-1.5047879616963182E-2</v>
      </c>
      <c r="L46" s="13">
        <f t="shared" si="197"/>
        <v>-2.7322404371584699E-2</v>
      </c>
      <c r="M46" s="13">
        <f t="shared" si="197"/>
        <v>-1.7369727047146562E-2</v>
      </c>
      <c r="N46" s="13">
        <f t="shared" si="197"/>
        <v>8.3432657926102837E-3</v>
      </c>
      <c r="O46" s="13">
        <f t="shared" si="197"/>
        <v>4.0582726326742966E-2</v>
      </c>
      <c r="P46" s="13">
        <f t="shared" si="197"/>
        <v>3.9922103213242396E-2</v>
      </c>
      <c r="Q46" s="13">
        <f t="shared" si="197"/>
        <v>8.3941605839415956E-2</v>
      </c>
      <c r="R46" s="13">
        <f t="shared" si="197"/>
        <v>-0.18604651162790695</v>
      </c>
      <c r="S46" s="13">
        <f t="shared" si="197"/>
        <v>5.4635761589403808E-2</v>
      </c>
      <c r="T46" s="13">
        <f t="shared" ref="T46:AQ46" si="198">T33/T26</f>
        <v>8.6827209803875788E-2</v>
      </c>
      <c r="U46" s="13">
        <f t="shared" si="198"/>
        <v>9.5386770590383002E-2</v>
      </c>
      <c r="V46" s="13">
        <f t="shared" si="198"/>
        <v>9.301658757580536E-2</v>
      </c>
      <c r="W46" s="13">
        <f t="shared" si="198"/>
        <v>7.2813762813143876E-2</v>
      </c>
      <c r="X46" s="13">
        <f t="shared" si="198"/>
        <v>4.377276037873367E-3</v>
      </c>
      <c r="Y46" s="13">
        <f t="shared" si="198"/>
        <v>-0.16769743101807816</v>
      </c>
      <c r="Z46" s="13">
        <f t="shared" si="198"/>
        <v>-0.13352746525479817</v>
      </c>
      <c r="AA46" s="13">
        <f t="shared" si="198"/>
        <v>-1.0436637269938589E-2</v>
      </c>
      <c r="AB46" s="13">
        <f t="shared" si="198"/>
        <v>7.9544917257683243E-2</v>
      </c>
      <c r="AC46" s="13">
        <f t="shared" si="198"/>
        <v>5.6060770482908417E-2</v>
      </c>
      <c r="AD46" s="13">
        <f t="shared" si="198"/>
        <v>4.6149395055233994E-2</v>
      </c>
      <c r="AE46" s="13">
        <f t="shared" si="198"/>
        <v>-0.19640668660228483</v>
      </c>
      <c r="AF46" s="13">
        <f t="shared" si="198"/>
        <v>-1.9911721432074557E-2</v>
      </c>
      <c r="AG46" s="13">
        <f t="shared" si="198"/>
        <v>-8.3533365338457318E-4</v>
      </c>
      <c r="AH46" s="13">
        <f t="shared" si="198"/>
        <v>2.5315863359850244E-2</v>
      </c>
      <c r="AI46" s="13">
        <f t="shared" si="198"/>
        <v>2.2175715196195642E-2</v>
      </c>
      <c r="AJ46" s="13">
        <f t="shared" si="198"/>
        <v>3.3347141673571001E-2</v>
      </c>
      <c r="AK46" s="13">
        <f t="shared" si="198"/>
        <v>6.8833652007648183E-2</v>
      </c>
      <c r="AL46" s="13">
        <f t="shared" si="198"/>
        <v>4.651162790697673E-2</v>
      </c>
      <c r="AM46" s="13">
        <f t="shared" si="198"/>
        <v>0.12282242202865983</v>
      </c>
      <c r="AN46" s="13">
        <f t="shared" si="198"/>
        <v>4.377466810190165E-2</v>
      </c>
      <c r="AO46" s="13">
        <f t="shared" si="198"/>
        <v>-0.27020708082832345</v>
      </c>
      <c r="AP46" s="13">
        <f t="shared" si="198"/>
        <v>0.11760797342192703</v>
      </c>
      <c r="AQ46" s="13">
        <f t="shared" si="198"/>
        <v>0.13489698890649762</v>
      </c>
      <c r="AR46" s="13">
        <f t="shared" ref="AR46" si="199">AR33/AR26</f>
        <v>0.1244832479792682</v>
      </c>
      <c r="BM46" s="13">
        <f t="shared" ref="BM46:BX46" si="200">BM33/BM26</f>
        <v>8.6784325259452302E-2</v>
      </c>
      <c r="BN46" s="13">
        <f t="shared" si="200"/>
        <v>-6.948816228060764E-2</v>
      </c>
      <c r="BO46" s="13">
        <f t="shared" si="200"/>
        <v>-1.0033574552896685E-2</v>
      </c>
      <c r="BP46" s="13">
        <f t="shared" si="200"/>
        <v>7.1795101831708917E-3</v>
      </c>
      <c r="BQ46" s="13">
        <f t="shared" si="200"/>
        <v>6.9549937648792665E-2</v>
      </c>
      <c r="BR46" s="13">
        <f t="shared" si="200"/>
        <v>7.751548635526434E-3</v>
      </c>
      <c r="BS46" s="123">
        <f t="shared" si="200"/>
        <v>0.12000000000000005</v>
      </c>
      <c r="BT46" s="123">
        <f t="shared" si="200"/>
        <v>0.15500000000000017</v>
      </c>
      <c r="BU46" s="123">
        <f t="shared" si="200"/>
        <v>0.17800000000000005</v>
      </c>
      <c r="BV46" s="123">
        <f t="shared" si="200"/>
        <v>0.18999999999999997</v>
      </c>
      <c r="BW46" s="123">
        <f t="shared" si="200"/>
        <v>0.19699999999999987</v>
      </c>
      <c r="BX46" s="123">
        <f t="shared" si="200"/>
        <v>0.19999999999999996</v>
      </c>
      <c r="BY46" s="123">
        <f t="shared" ref="BY46:CB46" si="201">BY33/BY26</f>
        <v>0.20499999999999993</v>
      </c>
      <c r="BZ46" s="123">
        <f t="shared" si="201"/>
        <v>0.20999999999999996</v>
      </c>
      <c r="CA46" s="123">
        <f t="shared" si="201"/>
        <v>0.21499999999999991</v>
      </c>
      <c r="CB46" s="123">
        <f t="shared" si="201"/>
        <v>0.21999999999999992</v>
      </c>
    </row>
    <row r="47" spans="2:120">
      <c r="B47" s="2" t="s">
        <v>639</v>
      </c>
      <c r="C47" s="13">
        <f t="shared" ref="C47:S47" si="202">C36/C35</f>
        <v>0.49999999999999917</v>
      </c>
      <c r="D47" s="13">
        <f t="shared" si="202"/>
        <v>0.38636363636363624</v>
      </c>
      <c r="E47" s="13">
        <f t="shared" si="202"/>
        <v>0.35714285714285704</v>
      </c>
      <c r="F47" s="13">
        <f t="shared" si="202"/>
        <v>0.59999999999999953</v>
      </c>
      <c r="G47" s="13">
        <f t="shared" si="202"/>
        <v>0.11111111111111137</v>
      </c>
      <c r="H47" s="13">
        <f t="shared" si="202"/>
        <v>-9.5238095238095385E-2</v>
      </c>
      <c r="I47" s="13">
        <f t="shared" si="202"/>
        <v>8.4999999999999396</v>
      </c>
      <c r="J47" s="13">
        <f t="shared" si="202"/>
        <v>13.000000000000037</v>
      </c>
      <c r="K47" s="13">
        <f t="shared" si="202"/>
        <v>-0.59999999999999665</v>
      </c>
      <c r="L47" s="13">
        <f t="shared" si="202"/>
        <v>-0.82352941176470584</v>
      </c>
      <c r="M47" s="13">
        <f t="shared" si="202"/>
        <v>-0.49999999999999356</v>
      </c>
      <c r="N47" s="13">
        <f t="shared" si="202"/>
        <v>0.38461538461538375</v>
      </c>
      <c r="O47" s="13">
        <f t="shared" si="202"/>
        <v>-1.5128205128205134</v>
      </c>
      <c r="P47" s="13">
        <f t="shared" si="202"/>
        <v>-0.41304347826087007</v>
      </c>
      <c r="Q47" s="13">
        <f t="shared" si="202"/>
        <v>-0.5104166666666673</v>
      </c>
      <c r="R47" s="13">
        <f t="shared" si="202"/>
        <v>-8.0402010050251271E-2</v>
      </c>
      <c r="S47" s="13">
        <f t="shared" si="202"/>
        <v>0.12328767123287705</v>
      </c>
      <c r="T47" s="13">
        <f t="shared" ref="T47:AP47" si="203">T36/T35</f>
        <v>0.12217650516416156</v>
      </c>
      <c r="U47" s="13">
        <f t="shared" si="203"/>
        <v>-0.20238271422228815</v>
      </c>
      <c r="V47" s="13">
        <f t="shared" si="203"/>
        <v>0.15143099591144024</v>
      </c>
      <c r="W47" s="13">
        <f t="shared" si="203"/>
        <v>0.20839363241678549</v>
      </c>
      <c r="X47" s="13">
        <f t="shared" si="203"/>
        <v>2.4946564885496687</v>
      </c>
      <c r="Y47" s="13">
        <f t="shared" si="203"/>
        <v>0.24275383620436217</v>
      </c>
      <c r="Z47" s="13">
        <f t="shared" si="203"/>
        <v>0.49901260823332821</v>
      </c>
      <c r="AA47" s="13">
        <f t="shared" si="203"/>
        <v>6.223762376237743</v>
      </c>
      <c r="AB47" s="13">
        <f t="shared" si="203"/>
        <v>0.12364599213672467</v>
      </c>
      <c r="AC47" s="13">
        <f t="shared" si="203"/>
        <v>0.18585542404382235</v>
      </c>
      <c r="AD47" s="13">
        <f t="shared" si="203"/>
        <v>-3.2029843066632438E-2</v>
      </c>
      <c r="AE47" s="13">
        <f t="shared" si="203"/>
        <v>0.39834480738245126</v>
      </c>
      <c r="AF47" s="13">
        <f t="shared" si="203"/>
        <v>1.0140872627665813</v>
      </c>
      <c r="AG47" s="13">
        <f t="shared" si="203"/>
        <v>-2.20279720279719</v>
      </c>
      <c r="AH47" s="13">
        <f t="shared" si="203"/>
        <v>1.7549668874172206</v>
      </c>
      <c r="AI47" s="13">
        <f t="shared" si="203"/>
        <v>0.45699452785183436</v>
      </c>
      <c r="AJ47" s="13">
        <f t="shared" si="203"/>
        <v>1.0351966873705955E-2</v>
      </c>
      <c r="AK47" s="13">
        <f t="shared" si="203"/>
        <v>2.551020408163265E-2</v>
      </c>
      <c r="AL47" s="13">
        <f t="shared" si="203"/>
        <v>0.30751879699248136</v>
      </c>
      <c r="AM47" s="13">
        <f t="shared" si="203"/>
        <v>-0.41924651065169455</v>
      </c>
      <c r="AN47" s="13">
        <f t="shared" si="203"/>
        <v>0.24489795918367366</v>
      </c>
      <c r="AO47" s="13">
        <f t="shared" si="203"/>
        <v>0.22622107969151661</v>
      </c>
      <c r="AP47" s="13">
        <f t="shared" si="203"/>
        <v>0.25879396984924602</v>
      </c>
      <c r="AQ47" s="13">
        <f>AQ36/AQ35</f>
        <v>0.23918459796149494</v>
      </c>
      <c r="AR47" s="13">
        <f>AR36/AR35</f>
        <v>0.10568197364220895</v>
      </c>
      <c r="BM47" s="13">
        <f t="shared" ref="BM47:BQ47" si="204">BM36/BM35</f>
        <v>6.2453872698621696E-2</v>
      </c>
      <c r="BN47" s="13">
        <f t="shared" si="204"/>
        <v>0.49477820560156266</v>
      </c>
      <c r="BO47" s="13">
        <f t="shared" si="204"/>
        <v>1.2497619501047379</v>
      </c>
      <c r="BP47" s="13">
        <f t="shared" si="204"/>
        <v>1.5143884892085913</v>
      </c>
      <c r="BQ47" s="13">
        <f t="shared" si="204"/>
        <v>-0.1417638941161711</v>
      </c>
      <c r="BR47" s="13">
        <f>BR36/BR35</f>
        <v>0.3290167865707454</v>
      </c>
      <c r="BS47" s="123">
        <v>0.21</v>
      </c>
      <c r="BT47" s="123">
        <v>0.21</v>
      </c>
      <c r="BU47" s="123">
        <v>0.21</v>
      </c>
      <c r="BV47" s="123">
        <v>0.21</v>
      </c>
      <c r="BW47" s="123">
        <v>0.21</v>
      </c>
      <c r="BX47" s="123">
        <v>0.21</v>
      </c>
      <c r="BY47" s="123">
        <v>0.21</v>
      </c>
      <c r="BZ47" s="123">
        <v>0.21</v>
      </c>
      <c r="CA47" s="123">
        <v>0.21</v>
      </c>
      <c r="CB47" s="123">
        <v>0.21</v>
      </c>
    </row>
    <row r="48" spans="2:120">
      <c r="B48" s="2" t="s">
        <v>527</v>
      </c>
      <c r="C48" s="13">
        <f t="shared" ref="C48:S48" si="205">C39/C26</f>
        <v>0</v>
      </c>
      <c r="D48" s="13">
        <f t="shared" si="205"/>
        <v>0</v>
      </c>
      <c r="E48" s="13">
        <f t="shared" si="205"/>
        <v>0</v>
      </c>
      <c r="F48" s="13">
        <f t="shared" si="205"/>
        <v>0</v>
      </c>
      <c r="G48" s="13">
        <f t="shared" si="205"/>
        <v>0</v>
      </c>
      <c r="H48" s="13">
        <f t="shared" si="205"/>
        <v>0</v>
      </c>
      <c r="I48" s="13">
        <f t="shared" si="205"/>
        <v>0</v>
      </c>
      <c r="J48" s="13">
        <f t="shared" si="205"/>
        <v>0</v>
      </c>
      <c r="K48" s="13">
        <f t="shared" si="205"/>
        <v>0</v>
      </c>
      <c r="L48" s="13">
        <f t="shared" si="205"/>
        <v>0</v>
      </c>
      <c r="M48" s="13">
        <f t="shared" si="205"/>
        <v>0</v>
      </c>
      <c r="N48" s="13">
        <f t="shared" si="205"/>
        <v>0</v>
      </c>
      <c r="O48" s="13">
        <f t="shared" si="205"/>
        <v>0</v>
      </c>
      <c r="P48" s="13">
        <f t="shared" si="205"/>
        <v>0</v>
      </c>
      <c r="Q48" s="13">
        <f t="shared" si="205"/>
        <v>0</v>
      </c>
      <c r="R48" s="13">
        <f t="shared" si="205"/>
        <v>0</v>
      </c>
      <c r="S48" s="13">
        <f t="shared" si="205"/>
        <v>0</v>
      </c>
      <c r="T48" s="13">
        <f t="shared" ref="T48:AR48" si="206">T39/T26</f>
        <v>8.3292457898301919E-2</v>
      </c>
      <c r="U48" s="13">
        <f t="shared" si="206"/>
        <v>0.12508103516367231</v>
      </c>
      <c r="V48" s="13">
        <f t="shared" si="206"/>
        <v>8.2314232054020733E-2</v>
      </c>
      <c r="W48" s="13">
        <f t="shared" si="206"/>
        <v>6.5323796476687429E-2</v>
      </c>
      <c r="X48" s="13">
        <f t="shared" si="206"/>
        <v>1.1041514930808545E-2</v>
      </c>
      <c r="Y48" s="13">
        <f t="shared" si="206"/>
        <v>-0.11360608943863003</v>
      </c>
      <c r="Z48" s="13">
        <f t="shared" si="206"/>
        <v>-5.8457974851092005E-2</v>
      </c>
      <c r="AA48" s="13">
        <f t="shared" si="206"/>
        <v>2.1897766487730112E-2</v>
      </c>
      <c r="AB48" s="13">
        <f t="shared" si="206"/>
        <v>6.9929078014184423E-2</v>
      </c>
      <c r="AC48" s="13">
        <f t="shared" si="206"/>
        <v>5.0217037438958334E-2</v>
      </c>
      <c r="AD48" s="13">
        <f t="shared" si="206"/>
        <v>4.6512361914781593E-2</v>
      </c>
      <c r="AE48" s="13">
        <f t="shared" si="206"/>
        <v>-0.12091278984263974</v>
      </c>
      <c r="AF48" s="13">
        <f t="shared" si="206"/>
        <v>3.5311427170180187E-4</v>
      </c>
      <c r="AG48" s="13">
        <f t="shared" si="206"/>
        <v>-1.7590014402304399E-2</v>
      </c>
      <c r="AH48" s="13">
        <f t="shared" si="206"/>
        <v>-1.0669162377164264E-2</v>
      </c>
      <c r="AI48" s="13">
        <f t="shared" si="206"/>
        <v>1.7492869508617385E-2</v>
      </c>
      <c r="AJ48" s="13">
        <f t="shared" si="206"/>
        <v>3.5642087821044076E-2</v>
      </c>
      <c r="AK48" s="13">
        <f t="shared" si="206"/>
        <v>7.304015296367114E-2</v>
      </c>
      <c r="AL48" s="13">
        <f t="shared" si="206"/>
        <v>3.399778516057584E-2</v>
      </c>
      <c r="AM48" s="13">
        <f t="shared" si="206"/>
        <v>0.18999719022197256</v>
      </c>
      <c r="AN48" s="13">
        <f t="shared" si="206"/>
        <v>3.9827771797631827E-2</v>
      </c>
      <c r="AO48" s="13">
        <f t="shared" si="206"/>
        <v>-0.20106880427521726</v>
      </c>
      <c r="AP48" s="13">
        <f t="shared" si="206"/>
        <v>9.8006644518272526E-2</v>
      </c>
      <c r="AQ48" s="13">
        <f t="shared" si="206"/>
        <v>0.10646592709984153</v>
      </c>
      <c r="AR48" s="13">
        <f t="shared" si="206"/>
        <v>0.12100635527858333</v>
      </c>
      <c r="BM48" s="13">
        <f t="shared" ref="BM48:CB48" si="207">BM39/BM26</f>
        <v>8.851979254772073E-2</v>
      </c>
      <c r="BN48" s="13">
        <f t="shared" si="207"/>
        <v>-2.784023182943958E-2</v>
      </c>
      <c r="BO48" s="13">
        <f t="shared" si="207"/>
        <v>7.0680453189582056E-3</v>
      </c>
      <c r="BP48" s="13">
        <f t="shared" si="207"/>
        <v>-2.3632652723951171E-3</v>
      </c>
      <c r="BQ48" s="13">
        <f t="shared" si="207"/>
        <v>8.5978536069228742E-2</v>
      </c>
      <c r="BR48" s="13">
        <f t="shared" si="207"/>
        <v>1.1711032981751111E-2</v>
      </c>
      <c r="BS48" s="123">
        <f t="shared" si="207"/>
        <v>0.11069395498157679</v>
      </c>
      <c r="BT48" s="123">
        <f t="shared" si="207"/>
        <v>0.14285573954576172</v>
      </c>
      <c r="BU48" s="123">
        <f t="shared" si="207"/>
        <v>0.16701499642231193</v>
      </c>
      <c r="BV48" s="123">
        <f t="shared" si="207"/>
        <v>0.18312747085496256</v>
      </c>
      <c r="BW48" s="123">
        <f t="shared" si="207"/>
        <v>0.19571277899566783</v>
      </c>
      <c r="BX48" s="123">
        <f t="shared" si="207"/>
        <v>0.20532094951383389</v>
      </c>
      <c r="BY48" s="123">
        <f t="shared" si="207"/>
        <v>0.21655940177665517</v>
      </c>
      <c r="BZ48" s="123">
        <f t="shared" si="207"/>
        <v>0.22854060785307759</v>
      </c>
      <c r="CA48" s="123">
        <f t="shared" si="207"/>
        <v>0.24153454805273888</v>
      </c>
      <c r="CB48" s="123">
        <f t="shared" si="207"/>
        <v>0.25586157811970534</v>
      </c>
    </row>
    <row r="49" spans="2:80">
      <c r="AR49" s="2"/>
    </row>
    <row r="50" spans="2:80">
      <c r="B50" s="2" t="s">
        <v>301</v>
      </c>
      <c r="T50" s="11">
        <v>95.605999999999995</v>
      </c>
      <c r="U50" s="11">
        <v>77.260999999999996</v>
      </c>
      <c r="V50" s="11">
        <v>111.581</v>
      </c>
      <c r="W50" s="11">
        <v>72.778999999999996</v>
      </c>
      <c r="X50" s="11">
        <v>72.456000000000003</v>
      </c>
      <c r="Y50" s="11">
        <v>134.381</v>
      </c>
      <c r="Z50" s="2">
        <v>80.114999999999995</v>
      </c>
      <c r="AA50" s="11">
        <v>69.67</v>
      </c>
      <c r="AB50" s="11">
        <v>55.631999999999998</v>
      </c>
      <c r="AC50" s="11">
        <v>82.277000000000001</v>
      </c>
      <c r="AD50" s="2">
        <v>66.290000000000006</v>
      </c>
      <c r="AE50" s="11">
        <v>59.378999999999998</v>
      </c>
      <c r="AF50" s="11">
        <v>68.162999999999997</v>
      </c>
      <c r="AG50" s="11">
        <v>58.234000000000002</v>
      </c>
      <c r="AH50" s="11">
        <v>54.844000000000001</v>
      </c>
      <c r="AI50" s="11">
        <v>69.858000000000004</v>
      </c>
      <c r="AJ50" s="11">
        <v>94.688000000000002</v>
      </c>
      <c r="AK50" s="11">
        <v>114.167</v>
      </c>
      <c r="AL50" s="11">
        <v>100.75700000000001</v>
      </c>
      <c r="AM50" s="11">
        <v>167.48599999999999</v>
      </c>
      <c r="AN50" s="11">
        <v>223.114</v>
      </c>
      <c r="AO50" s="11">
        <v>288.33199999999999</v>
      </c>
      <c r="AP50" s="11">
        <v>280.476</v>
      </c>
      <c r="AQ50" s="11">
        <v>324.39999999999998</v>
      </c>
      <c r="AR50" s="11">
        <v>376.05399999999997</v>
      </c>
      <c r="BM50" s="11">
        <f>W50</f>
        <v>72.778999999999996</v>
      </c>
      <c r="BN50" s="11">
        <f>AA50</f>
        <v>69.67</v>
      </c>
      <c r="BO50" s="11">
        <f>AE50</f>
        <v>59.378999999999998</v>
      </c>
      <c r="BP50" s="11">
        <f>AI50</f>
        <v>69.858000000000004</v>
      </c>
      <c r="BQ50" s="11">
        <f>AM50</f>
        <v>167.48599999999999</v>
      </c>
      <c r="BR50" s="11">
        <f>AQ50</f>
        <v>324.39999999999998</v>
      </c>
      <c r="BS50" s="125">
        <f>BR50+BS39</f>
        <v>476.11160000000007</v>
      </c>
      <c r="BT50" s="125">
        <f t="shared" ref="BT50:CB50" si="208">BS50+BT39</f>
        <v>699.93224063375033</v>
      </c>
      <c r="BU50" s="125">
        <f t="shared" si="208"/>
        <v>997.32875685528177</v>
      </c>
      <c r="BV50" s="125">
        <f t="shared" si="208"/>
        <v>1368.6608948501</v>
      </c>
      <c r="BW50" s="125">
        <f t="shared" si="208"/>
        <v>1817.40962783327</v>
      </c>
      <c r="BX50" s="125">
        <f t="shared" si="208"/>
        <v>2346.9251007397438</v>
      </c>
      <c r="BY50" s="125">
        <f t="shared" si="208"/>
        <v>2971.8889130997777</v>
      </c>
      <c r="BZ50" s="125">
        <f t="shared" si="208"/>
        <v>3699.9804845093963</v>
      </c>
      <c r="CA50" s="125">
        <f t="shared" si="208"/>
        <v>4537.1225359550554</v>
      </c>
      <c r="CB50" s="125">
        <f t="shared" si="208"/>
        <v>5487.0528241787842</v>
      </c>
    </row>
    <row r="51" spans="2:80">
      <c r="B51" s="2" t="s">
        <v>302</v>
      </c>
      <c r="T51" s="11">
        <v>99.241</v>
      </c>
      <c r="U51" s="11">
        <v>109.996</v>
      </c>
      <c r="V51" s="11">
        <v>82.864000000000004</v>
      </c>
      <c r="W51" s="11">
        <v>116.61</v>
      </c>
      <c r="X51" s="11">
        <v>95.766000000000005</v>
      </c>
      <c r="Y51" s="11">
        <v>143.91399999999999</v>
      </c>
      <c r="Z51" s="2">
        <v>188.61099999999999</v>
      </c>
      <c r="AA51" s="11">
        <v>195.16200000000001</v>
      </c>
      <c r="AB51" s="11">
        <v>186.977</v>
      </c>
      <c r="AC51" s="11">
        <v>156.72200000000001</v>
      </c>
      <c r="AD51" s="2">
        <v>200.637</v>
      </c>
      <c r="AE51" s="11">
        <v>195.49600000000001</v>
      </c>
      <c r="AF51" s="11">
        <v>172.178</v>
      </c>
      <c r="AG51" s="11">
        <v>146.13499999999999</v>
      </c>
      <c r="AH51" s="11">
        <v>129.583</v>
      </c>
      <c r="AI51" s="11">
        <v>118.172</v>
      </c>
      <c r="AJ51" s="11">
        <v>104.40900000000001</v>
      </c>
      <c r="AK51" s="11">
        <v>106.896</v>
      </c>
      <c r="AL51" s="11">
        <v>148.09800000000001</v>
      </c>
      <c r="AM51" s="11">
        <v>121.70099999999999</v>
      </c>
      <c r="AN51" s="11">
        <v>90.36</v>
      </c>
      <c r="AO51" s="11">
        <v>51.363</v>
      </c>
      <c r="AP51" s="11">
        <v>10.548</v>
      </c>
      <c r="AQ51" s="11">
        <v>15.727</v>
      </c>
      <c r="AR51" s="11">
        <v>2.794</v>
      </c>
      <c r="BM51" s="11">
        <f t="shared" ref="BM51:BM61" si="209">W51</f>
        <v>116.61</v>
      </c>
      <c r="BN51" s="11">
        <f t="shared" ref="BN51:BN61" si="210">AA51</f>
        <v>195.16200000000001</v>
      </c>
      <c r="BO51" s="11">
        <f t="shared" ref="BO51:BO61" si="211">AE51</f>
        <v>195.49600000000001</v>
      </c>
      <c r="BP51" s="11">
        <f t="shared" ref="BP51:BP61" si="212">AI51</f>
        <v>118.172</v>
      </c>
      <c r="BQ51" s="11">
        <f t="shared" ref="BQ51:BQ61" si="213">AM51</f>
        <v>121.70099999999999</v>
      </c>
      <c r="BR51" s="11">
        <f t="shared" ref="BR51:BR61" si="214">AQ51</f>
        <v>15.727</v>
      </c>
    </row>
    <row r="52" spans="2:80" ht="15" customHeight="1">
      <c r="B52" s="2" t="s">
        <v>303</v>
      </c>
      <c r="T52" s="11">
        <v>94.679000000000002</v>
      </c>
      <c r="U52" s="11">
        <v>99.010999999999996</v>
      </c>
      <c r="V52" s="11">
        <v>101.828</v>
      </c>
      <c r="W52" s="11">
        <v>105.901</v>
      </c>
      <c r="X52" s="11">
        <v>103.96299999999999</v>
      </c>
      <c r="Y52" s="11">
        <v>97.613</v>
      </c>
      <c r="Z52" s="2">
        <v>112.81699999999999</v>
      </c>
      <c r="AA52" s="11">
        <v>114.608</v>
      </c>
      <c r="AB52" s="11">
        <v>126.41500000000001</v>
      </c>
      <c r="AC52" s="11">
        <v>136.61000000000001</v>
      </c>
      <c r="AD52" s="2">
        <v>120.074</v>
      </c>
      <c r="AE52" s="11">
        <v>133.94</v>
      </c>
      <c r="AF52" s="11">
        <v>143.417</v>
      </c>
      <c r="AG52" s="11">
        <v>187.38900000000001</v>
      </c>
      <c r="AH52" s="11">
        <v>189.006</v>
      </c>
      <c r="AI52" s="11">
        <v>203.38399999999999</v>
      </c>
      <c r="AJ52" s="11">
        <v>207.364</v>
      </c>
      <c r="AK52" s="11">
        <v>208.965</v>
      </c>
      <c r="AL52" s="11">
        <v>206.61500000000001</v>
      </c>
      <c r="AM52" s="11">
        <v>201.768</v>
      </c>
      <c r="AN52" s="11">
        <v>191.989</v>
      </c>
      <c r="AO52" s="11">
        <v>200.83099999999999</v>
      </c>
      <c r="AP52" s="11">
        <v>176.05099999999999</v>
      </c>
      <c r="AQ52" s="11">
        <v>167.667</v>
      </c>
      <c r="AR52" s="11">
        <v>167.98099999999999</v>
      </c>
      <c r="BM52" s="11">
        <f t="shared" si="209"/>
        <v>105.901</v>
      </c>
      <c r="BN52" s="11">
        <f t="shared" si="210"/>
        <v>114.608</v>
      </c>
      <c r="BO52" s="11">
        <f t="shared" si="211"/>
        <v>133.94</v>
      </c>
      <c r="BP52" s="11">
        <f t="shared" si="212"/>
        <v>203.38399999999999</v>
      </c>
      <c r="BQ52" s="11">
        <f t="shared" si="213"/>
        <v>201.768</v>
      </c>
      <c r="BR52" s="11">
        <f t="shared" si="214"/>
        <v>167.667</v>
      </c>
      <c r="BT52" s="128" t="s">
        <v>559</v>
      </c>
      <c r="BU52" s="127">
        <v>8.5000000000000006E-2</v>
      </c>
      <c r="BX52" s="121" t="s">
        <v>611</v>
      </c>
    </row>
    <row r="53" spans="2:80" ht="15" customHeight="1">
      <c r="B53" s="2" t="s">
        <v>304</v>
      </c>
      <c r="T53" s="11">
        <v>121.691</v>
      </c>
      <c r="U53" s="11">
        <v>132.73500000000001</v>
      </c>
      <c r="V53" s="11">
        <v>140.35900000000001</v>
      </c>
      <c r="W53" s="11">
        <v>152.99199999999999</v>
      </c>
      <c r="X53" s="11">
        <v>166.15199999999999</v>
      </c>
      <c r="Y53" s="11">
        <v>183.44200000000001</v>
      </c>
      <c r="Z53" s="2">
        <v>191.547</v>
      </c>
      <c r="AA53" s="11">
        <v>219.52699999999999</v>
      </c>
      <c r="AB53" s="11">
        <v>245.321</v>
      </c>
      <c r="AC53" s="11">
        <v>254.977</v>
      </c>
      <c r="AD53" s="2">
        <v>258.31599999999997</v>
      </c>
      <c r="AE53" s="11">
        <v>263.50400000000002</v>
      </c>
      <c r="AF53" s="11">
        <v>274.34899999999999</v>
      </c>
      <c r="AG53" s="11">
        <v>295.88299999999998</v>
      </c>
      <c r="AH53" s="11">
        <v>320.30399999999997</v>
      </c>
      <c r="AI53" s="11">
        <v>334.00599999999997</v>
      </c>
      <c r="AJ53" s="11">
        <v>344.04199999999997</v>
      </c>
      <c r="AK53" s="11">
        <v>358.77</v>
      </c>
      <c r="AL53" s="11">
        <v>374.245</v>
      </c>
      <c r="AM53" s="11">
        <v>388.02300000000002</v>
      </c>
      <c r="AN53" s="2">
        <v>398.36599999999999</v>
      </c>
      <c r="AO53" s="11">
        <v>373.79899999999998</v>
      </c>
      <c r="AP53" s="11">
        <v>393.41300000000001</v>
      </c>
      <c r="AQ53" s="11">
        <v>406.73700000000002</v>
      </c>
      <c r="AR53" s="11">
        <v>415.863</v>
      </c>
      <c r="BM53" s="11">
        <f t="shared" si="209"/>
        <v>152.99199999999999</v>
      </c>
      <c r="BN53" s="11">
        <f t="shared" si="210"/>
        <v>219.52699999999999</v>
      </c>
      <c r="BO53" s="11">
        <f t="shared" si="211"/>
        <v>263.50400000000002</v>
      </c>
      <c r="BP53" s="11">
        <f t="shared" si="212"/>
        <v>334.00599999999997</v>
      </c>
      <c r="BQ53" s="11">
        <f t="shared" si="213"/>
        <v>388.02300000000002</v>
      </c>
      <c r="BR53" s="11">
        <f t="shared" si="214"/>
        <v>406.73700000000002</v>
      </c>
      <c r="BT53" s="128" t="s">
        <v>693</v>
      </c>
      <c r="BU53" s="127">
        <v>3.5000000000000003E-2</v>
      </c>
      <c r="BY53" s="120" t="s">
        <v>807</v>
      </c>
    </row>
    <row r="54" spans="2:80" ht="15" customHeight="1">
      <c r="B54" s="2" t="s">
        <v>305</v>
      </c>
      <c r="T54" s="11">
        <v>11.869</v>
      </c>
      <c r="U54" s="11">
        <v>15.601000000000001</v>
      </c>
      <c r="V54" s="11">
        <v>14.702</v>
      </c>
      <c r="W54" s="11">
        <v>14.852</v>
      </c>
      <c r="X54" s="11">
        <v>15.403</v>
      </c>
      <c r="Y54" s="11">
        <v>16.545000000000002</v>
      </c>
      <c r="Z54" s="2">
        <v>17.109000000000002</v>
      </c>
      <c r="AA54" s="11">
        <v>18.734999999999999</v>
      </c>
      <c r="AB54" s="11">
        <v>20.782</v>
      </c>
      <c r="AC54" s="11">
        <v>22.526</v>
      </c>
      <c r="AD54" s="2">
        <v>22.67</v>
      </c>
      <c r="AE54" s="11">
        <v>29.155000000000001</v>
      </c>
      <c r="AF54" s="11">
        <v>32.219000000000001</v>
      </c>
      <c r="AG54" s="11">
        <v>30.32</v>
      </c>
      <c r="AH54" s="11">
        <v>29.888000000000002</v>
      </c>
      <c r="AI54" s="11">
        <v>30.279</v>
      </c>
      <c r="AJ54" s="11">
        <v>35.987000000000002</v>
      </c>
      <c r="AK54" s="11">
        <v>39.078000000000003</v>
      </c>
      <c r="AL54" s="11">
        <v>38.761000000000003</v>
      </c>
      <c r="AM54" s="11">
        <v>36.423999999999999</v>
      </c>
      <c r="AN54" s="11">
        <v>31.193999999999999</v>
      </c>
      <c r="AO54" s="11">
        <v>29.47</v>
      </c>
      <c r="AP54" s="11">
        <v>31.265000000000001</v>
      </c>
      <c r="AQ54" s="11">
        <v>36.588999999999999</v>
      </c>
      <c r="AR54" s="11">
        <v>37.017000000000003</v>
      </c>
      <c r="BM54" s="11">
        <f t="shared" si="209"/>
        <v>14.852</v>
      </c>
      <c r="BN54" s="11">
        <f t="shared" si="210"/>
        <v>18.734999999999999</v>
      </c>
      <c r="BO54" s="11">
        <f t="shared" si="211"/>
        <v>29.155000000000001</v>
      </c>
      <c r="BP54" s="11">
        <f t="shared" si="212"/>
        <v>30.279</v>
      </c>
      <c r="BQ54" s="11">
        <f t="shared" si="213"/>
        <v>36.423999999999999</v>
      </c>
      <c r="BR54" s="11">
        <f t="shared" si="214"/>
        <v>36.588999999999999</v>
      </c>
      <c r="BT54" s="128" t="s">
        <v>652</v>
      </c>
      <c r="BU54" s="127">
        <v>4.3299999999999998E-2</v>
      </c>
      <c r="BY54" s="120" t="s">
        <v>1699</v>
      </c>
    </row>
    <row r="55" spans="2:80" ht="15" customHeight="1">
      <c r="B55" s="2" t="s">
        <v>306</v>
      </c>
      <c r="T55" s="11">
        <v>35.380000000000003</v>
      </c>
      <c r="U55" s="11">
        <v>37.94</v>
      </c>
      <c r="V55" s="11">
        <v>45.625</v>
      </c>
      <c r="W55" s="11">
        <v>51.811999999999998</v>
      </c>
      <c r="X55" s="11">
        <v>58.698</v>
      </c>
      <c r="Y55" s="11">
        <v>62.188000000000002</v>
      </c>
      <c r="Z55" s="2">
        <v>64.906000000000006</v>
      </c>
      <c r="AA55" s="11">
        <v>48.168999999999997</v>
      </c>
      <c r="AB55" s="11">
        <v>50.314</v>
      </c>
      <c r="AC55" s="11">
        <v>50.853999999999999</v>
      </c>
      <c r="AD55" s="2">
        <v>56.631999999999998</v>
      </c>
      <c r="AE55" s="11">
        <v>58.856000000000002</v>
      </c>
      <c r="AF55" s="11">
        <v>60.326999999999998</v>
      </c>
      <c r="AG55" s="11">
        <v>63.457999999999998</v>
      </c>
      <c r="AH55" s="11">
        <v>64.081999999999994</v>
      </c>
      <c r="AI55" s="11">
        <v>65.015000000000001</v>
      </c>
      <c r="AJ55" s="11">
        <v>65.224000000000004</v>
      </c>
      <c r="AK55" s="11">
        <v>65.957999999999998</v>
      </c>
      <c r="AL55" s="11">
        <v>65.632000000000005</v>
      </c>
      <c r="AM55" s="11">
        <v>72.691000000000003</v>
      </c>
      <c r="AN55" s="11">
        <v>75.744</v>
      </c>
      <c r="AO55" s="11">
        <v>57.709000000000003</v>
      </c>
      <c r="AP55" s="11">
        <v>59.918999999999997</v>
      </c>
      <c r="AQ55" s="11">
        <v>62.640999999999998</v>
      </c>
      <c r="AR55" s="11">
        <v>72.465000000000003</v>
      </c>
      <c r="BM55" s="11">
        <f t="shared" si="209"/>
        <v>51.811999999999998</v>
      </c>
      <c r="BN55" s="11">
        <f t="shared" si="210"/>
        <v>48.168999999999997</v>
      </c>
      <c r="BO55" s="11">
        <f t="shared" si="211"/>
        <v>58.856000000000002</v>
      </c>
      <c r="BP55" s="11">
        <f t="shared" si="212"/>
        <v>65.015000000000001</v>
      </c>
      <c r="BQ55" s="11">
        <f t="shared" si="213"/>
        <v>72.691000000000003</v>
      </c>
      <c r="BR55" s="11">
        <f t="shared" si="214"/>
        <v>62.640999999999998</v>
      </c>
      <c r="BT55" s="128" t="s">
        <v>750</v>
      </c>
      <c r="BU55" s="127">
        <f>10%-BU54</f>
        <v>5.6700000000000007E-2</v>
      </c>
      <c r="BY55" s="120" t="s">
        <v>1635</v>
      </c>
    </row>
    <row r="56" spans="2:80" ht="15" customHeight="1">
      <c r="B56" s="2" t="s">
        <v>308</v>
      </c>
      <c r="T56" s="11">
        <v>42.375999999999998</v>
      </c>
      <c r="U56" s="11">
        <v>42.475999999999999</v>
      </c>
      <c r="V56" s="11">
        <v>41.817</v>
      </c>
      <c r="W56" s="11">
        <v>43.716999999999999</v>
      </c>
      <c r="X56" s="11">
        <v>43.167999999999999</v>
      </c>
      <c r="Y56" s="11">
        <v>42.668999999999997</v>
      </c>
      <c r="Z56" s="2">
        <v>41.777999999999999</v>
      </c>
      <c r="AA56" s="11">
        <v>41.192</v>
      </c>
      <c r="AB56" s="11">
        <v>40.691000000000003</v>
      </c>
      <c r="AC56" s="11">
        <v>92.790999999999997</v>
      </c>
      <c r="AD56" s="2">
        <v>133.55199999999999</v>
      </c>
      <c r="AE56" s="11">
        <v>131.95500000000001</v>
      </c>
      <c r="AF56" s="11">
        <v>176.892</v>
      </c>
      <c r="AG56" s="11">
        <v>177.423</v>
      </c>
      <c r="AH56" s="11">
        <v>174.684</v>
      </c>
      <c r="AI56" s="11">
        <v>192.636</v>
      </c>
      <c r="AJ56" s="11">
        <v>189.839</v>
      </c>
      <c r="AK56" s="11">
        <v>187.494</v>
      </c>
      <c r="AL56" s="11">
        <v>184.52</v>
      </c>
      <c r="AM56" s="11">
        <v>188.756</v>
      </c>
      <c r="AN56" s="11">
        <v>185.845</v>
      </c>
      <c r="AO56" s="11">
        <v>183.316</v>
      </c>
      <c r="AP56" s="11">
        <v>180.923</v>
      </c>
      <c r="AQ56" s="11">
        <v>177.78700000000001</v>
      </c>
      <c r="AR56" s="11">
        <v>175.33099999999999</v>
      </c>
      <c r="BM56" s="11">
        <f t="shared" si="209"/>
        <v>43.716999999999999</v>
      </c>
      <c r="BN56" s="11">
        <f t="shared" si="210"/>
        <v>41.192</v>
      </c>
      <c r="BO56" s="11">
        <f t="shared" si="211"/>
        <v>131.95500000000001</v>
      </c>
      <c r="BP56" s="11">
        <f t="shared" si="212"/>
        <v>192.636</v>
      </c>
      <c r="BQ56" s="11">
        <f t="shared" si="213"/>
        <v>188.756</v>
      </c>
      <c r="BR56" s="11">
        <f t="shared" si="214"/>
        <v>177.78700000000001</v>
      </c>
      <c r="BT56" s="128" t="s">
        <v>609</v>
      </c>
      <c r="BU56" s="120">
        <v>0.56000000000000005</v>
      </c>
      <c r="BX56" s="121" t="s">
        <v>610</v>
      </c>
    </row>
    <row r="57" spans="2:80" ht="15" customHeight="1">
      <c r="B57" s="2" t="s">
        <v>307</v>
      </c>
      <c r="U57" s="2">
        <v>0</v>
      </c>
      <c r="V57" s="2">
        <v>0</v>
      </c>
      <c r="W57" s="11">
        <v>39.923999999999999</v>
      </c>
      <c r="X57" s="11">
        <v>39.286999999999999</v>
      </c>
      <c r="Y57" s="11">
        <v>37.927</v>
      </c>
      <c r="Z57" s="2">
        <v>38.798000000000002</v>
      </c>
      <c r="AA57" s="11">
        <v>38.064999999999998</v>
      </c>
      <c r="AB57" s="11">
        <v>37.697000000000003</v>
      </c>
      <c r="AC57" s="11">
        <v>37.030999999999999</v>
      </c>
      <c r="AD57" s="2">
        <v>36.844999999999999</v>
      </c>
      <c r="AE57" s="11">
        <v>36.276000000000003</v>
      </c>
      <c r="AF57" s="11">
        <v>35.549999999999997</v>
      </c>
      <c r="AG57" s="11">
        <v>34.743000000000002</v>
      </c>
      <c r="AH57" s="11">
        <v>34.113999999999997</v>
      </c>
      <c r="AI57" s="11">
        <v>33.323</v>
      </c>
      <c r="AJ57" s="11">
        <v>32.569000000000003</v>
      </c>
      <c r="AK57" s="11">
        <v>31.751000000000001</v>
      </c>
      <c r="AL57" s="11">
        <v>31.364000000000001</v>
      </c>
      <c r="AM57" s="11">
        <v>31.091999999999999</v>
      </c>
      <c r="AN57" s="11">
        <v>30.234000000000002</v>
      </c>
      <c r="AO57" s="11">
        <v>29.366</v>
      </c>
      <c r="AP57" s="11">
        <v>28.888000000000002</v>
      </c>
      <c r="AQ57" s="11">
        <v>28.018000000000001</v>
      </c>
      <c r="AR57" s="11">
        <v>27.126000000000001</v>
      </c>
      <c r="BM57" s="11">
        <f t="shared" si="209"/>
        <v>39.923999999999999</v>
      </c>
      <c r="BN57" s="11">
        <f t="shared" si="210"/>
        <v>38.064999999999998</v>
      </c>
      <c r="BO57" s="11">
        <f t="shared" si="211"/>
        <v>36.276000000000003</v>
      </c>
      <c r="BP57" s="11">
        <f t="shared" si="212"/>
        <v>33.323</v>
      </c>
      <c r="BQ57" s="11">
        <f t="shared" si="213"/>
        <v>31.091999999999999</v>
      </c>
      <c r="BR57" s="11">
        <f t="shared" si="214"/>
        <v>28.018000000000001</v>
      </c>
      <c r="BT57" s="128" t="s">
        <v>694</v>
      </c>
      <c r="BU57" s="127">
        <f>+BU54+(BU55*BU56)</f>
        <v>7.5052000000000008E-2</v>
      </c>
      <c r="BY57" s="120" t="s">
        <v>723</v>
      </c>
    </row>
    <row r="58" spans="2:80" ht="15" customHeight="1">
      <c r="B58" s="2" t="s">
        <v>309</v>
      </c>
      <c r="T58" s="11">
        <v>26.812999999999999</v>
      </c>
      <c r="U58" s="11">
        <v>26.030999999999999</v>
      </c>
      <c r="V58" s="11">
        <v>25.494</v>
      </c>
      <c r="W58" s="11">
        <v>25.407</v>
      </c>
      <c r="X58" s="11">
        <v>25.024000000000001</v>
      </c>
      <c r="Y58" s="11">
        <v>10.645</v>
      </c>
      <c r="Z58" s="2">
        <v>10.64</v>
      </c>
      <c r="AA58" s="11">
        <v>10.638999999999999</v>
      </c>
      <c r="AB58" s="11">
        <v>10.097</v>
      </c>
      <c r="AC58" s="11">
        <v>9.8949999999999996</v>
      </c>
      <c r="AD58" s="2">
        <v>9.49</v>
      </c>
      <c r="AE58" s="11">
        <v>90.617999999999995</v>
      </c>
      <c r="AF58" s="11">
        <v>88.471999999999994</v>
      </c>
      <c r="AG58" s="11">
        <v>86.162000000000006</v>
      </c>
      <c r="AH58" s="11">
        <v>83.36</v>
      </c>
      <c r="AI58" s="11">
        <v>81.161000000000001</v>
      </c>
      <c r="AJ58" s="11">
        <v>78.668999999999997</v>
      </c>
      <c r="AK58" s="11">
        <v>76.116</v>
      </c>
      <c r="AL58" s="11">
        <v>73.451999999999998</v>
      </c>
      <c r="AM58" s="11">
        <v>71.055999999999997</v>
      </c>
      <c r="AN58" s="11">
        <v>68.421000000000006</v>
      </c>
      <c r="AO58" s="11">
        <v>6.9550000000000001</v>
      </c>
      <c r="AP58" s="11">
        <v>6.92</v>
      </c>
      <c r="AQ58" s="11">
        <v>6.5129999999999999</v>
      </c>
      <c r="AR58" s="11">
        <v>6.4690000000000003</v>
      </c>
      <c r="BM58" s="11">
        <f t="shared" si="209"/>
        <v>25.407</v>
      </c>
      <c r="BN58" s="11">
        <f t="shared" si="210"/>
        <v>10.638999999999999</v>
      </c>
      <c r="BO58" s="11">
        <f t="shared" si="211"/>
        <v>90.617999999999995</v>
      </c>
      <c r="BP58" s="11">
        <f t="shared" si="212"/>
        <v>81.161000000000001</v>
      </c>
      <c r="BQ58" s="11">
        <f t="shared" si="213"/>
        <v>71.055999999999997</v>
      </c>
      <c r="BR58" s="11">
        <f t="shared" si="214"/>
        <v>6.5129999999999999</v>
      </c>
      <c r="BT58" s="128"/>
      <c r="BY58" s="120" t="s">
        <v>630</v>
      </c>
    </row>
    <row r="59" spans="2:80" ht="15" customHeight="1">
      <c r="B59" s="2" t="s">
        <v>310</v>
      </c>
      <c r="T59" s="11">
        <v>7.6589999999999998</v>
      </c>
      <c r="U59" s="11">
        <v>7.7649999999999997</v>
      </c>
      <c r="V59" s="11">
        <v>7.452</v>
      </c>
      <c r="W59" s="11">
        <v>7.6559999999999997</v>
      </c>
      <c r="X59" s="11">
        <v>7.5090000000000003</v>
      </c>
      <c r="Y59" s="11">
        <v>7.665</v>
      </c>
      <c r="Z59" s="2">
        <v>8.0039999999999996</v>
      </c>
      <c r="AA59" s="11">
        <v>8.3719999999999999</v>
      </c>
      <c r="AB59" s="11">
        <v>8.0060000000000002</v>
      </c>
      <c r="AC59" s="11">
        <v>8.109</v>
      </c>
      <c r="AD59" s="2">
        <v>7.9109999999999996</v>
      </c>
      <c r="AE59" s="11">
        <v>166.38800000000001</v>
      </c>
      <c r="AF59" s="11">
        <v>166.232</v>
      </c>
      <c r="AG59" s="11">
        <v>165.779</v>
      </c>
      <c r="AH59" s="11">
        <v>165.42599999999999</v>
      </c>
      <c r="AI59" s="11">
        <v>166.04599999999999</v>
      </c>
      <c r="AJ59" s="11">
        <v>166.161</v>
      </c>
      <c r="AK59" s="11">
        <v>166.166</v>
      </c>
      <c r="AL59" s="11">
        <v>165.95400000000001</v>
      </c>
      <c r="AM59" s="11">
        <v>166.27</v>
      </c>
      <c r="AN59" s="11">
        <v>166.10300000000001</v>
      </c>
      <c r="AO59" s="11">
        <v>166.05</v>
      </c>
      <c r="AP59" s="11">
        <v>166.35499999999999</v>
      </c>
      <c r="AQ59" s="11">
        <v>165.82599999999999</v>
      </c>
      <c r="AR59" s="11">
        <v>166.12299999999999</v>
      </c>
      <c r="BM59" s="11">
        <f t="shared" si="209"/>
        <v>7.6559999999999997</v>
      </c>
      <c r="BN59" s="11">
        <f t="shared" si="210"/>
        <v>8.3719999999999999</v>
      </c>
      <c r="BO59" s="11">
        <f t="shared" si="211"/>
        <v>166.38800000000001</v>
      </c>
      <c r="BP59" s="11">
        <f t="shared" si="212"/>
        <v>166.04599999999999</v>
      </c>
      <c r="BQ59" s="11">
        <f t="shared" si="213"/>
        <v>166.27</v>
      </c>
      <c r="BR59" s="11">
        <f t="shared" si="214"/>
        <v>165.82599999999999</v>
      </c>
      <c r="BT59" s="128" t="s">
        <v>556</v>
      </c>
      <c r="BU59" s="125">
        <f>NPV(BU57,BS39:DP39)</f>
        <v>12486.9440891541</v>
      </c>
      <c r="BZ59" s="120" t="s">
        <v>1649</v>
      </c>
    </row>
    <row r="60" spans="2:80" ht="15" customHeight="1">
      <c r="B60" s="2" t="s">
        <v>653</v>
      </c>
      <c r="T60" s="11">
        <v>31.861999999999998</v>
      </c>
      <c r="U60" s="11">
        <v>34.661000000000001</v>
      </c>
      <c r="V60" s="11">
        <v>32.817999999999998</v>
      </c>
      <c r="W60" s="11">
        <v>31.305</v>
      </c>
      <c r="X60" s="11">
        <v>32.945</v>
      </c>
      <c r="Y60" s="11">
        <v>36.473999999999997</v>
      </c>
      <c r="Z60" s="2">
        <v>47.91</v>
      </c>
      <c r="AA60" s="11">
        <v>50.139000000000003</v>
      </c>
      <c r="AB60" s="11">
        <v>48.978000000000002</v>
      </c>
      <c r="AC60" s="11">
        <v>47.67</v>
      </c>
      <c r="AD60" s="2">
        <v>49.454000000000001</v>
      </c>
      <c r="AE60" s="11">
        <v>65.697999999999993</v>
      </c>
      <c r="AF60" s="11">
        <v>70.08</v>
      </c>
      <c r="AG60" s="11">
        <v>68.403999999999996</v>
      </c>
      <c r="AH60" s="11">
        <v>62.826999999999998</v>
      </c>
      <c r="AI60" s="11">
        <v>64.212999999999994</v>
      </c>
      <c r="AJ60" s="11">
        <v>65.173000000000002</v>
      </c>
      <c r="AK60" s="11">
        <v>66.671000000000006</v>
      </c>
      <c r="AL60" s="11">
        <v>64.236000000000004</v>
      </c>
      <c r="AM60" s="11">
        <v>85.158000000000001</v>
      </c>
      <c r="AN60" s="11">
        <v>84.661000000000001</v>
      </c>
      <c r="AO60" s="11">
        <v>108.852</v>
      </c>
      <c r="AP60" s="11">
        <v>105.851</v>
      </c>
      <c r="AQ60" s="11">
        <v>100.33199999999999</v>
      </c>
      <c r="AR60" s="11">
        <v>102.355</v>
      </c>
      <c r="BM60" s="11">
        <f t="shared" si="209"/>
        <v>31.305</v>
      </c>
      <c r="BN60" s="11">
        <f t="shared" si="210"/>
        <v>50.139000000000003</v>
      </c>
      <c r="BO60" s="11">
        <f t="shared" si="211"/>
        <v>65.697999999999993</v>
      </c>
      <c r="BP60" s="11">
        <f t="shared" si="212"/>
        <v>64.212999999999994</v>
      </c>
      <c r="BQ60" s="11">
        <f t="shared" si="213"/>
        <v>85.158000000000001</v>
      </c>
      <c r="BR60" s="11">
        <f t="shared" si="214"/>
        <v>100.33199999999999</v>
      </c>
      <c r="BT60" s="128" t="s">
        <v>299</v>
      </c>
      <c r="BU60" s="125">
        <f>BS40</f>
        <v>38.6</v>
      </c>
      <c r="BV60" s="129" t="s">
        <v>274</v>
      </c>
      <c r="BZ60" s="120" t="s">
        <v>616</v>
      </c>
    </row>
    <row r="61" spans="2:80" ht="15" customHeight="1">
      <c r="B61" s="2" t="s">
        <v>311</v>
      </c>
      <c r="T61" s="11">
        <v>1.613</v>
      </c>
      <c r="U61" s="11">
        <v>1.6319999999999999</v>
      </c>
      <c r="V61" s="11">
        <v>9.6300000000000008</v>
      </c>
      <c r="W61" s="11">
        <v>2.9460000000000002</v>
      </c>
      <c r="X61" s="11">
        <v>3.8690000000000002</v>
      </c>
      <c r="Y61" s="11">
        <v>6.7370000000000001</v>
      </c>
      <c r="Z61" s="2">
        <v>8.0690000000000008</v>
      </c>
      <c r="AA61" s="11">
        <v>8.7050000000000001</v>
      </c>
      <c r="AB61" s="11">
        <v>9.9139999999999997</v>
      </c>
      <c r="AC61" s="11">
        <v>10.756</v>
      </c>
      <c r="AD61" s="2">
        <v>11.37</v>
      </c>
      <c r="AE61" s="11">
        <v>12.984999999999999</v>
      </c>
      <c r="AF61" s="11">
        <v>13.694000000000001</v>
      </c>
      <c r="AG61" s="11">
        <v>13.97</v>
      </c>
      <c r="AH61" s="11">
        <v>13.483000000000001</v>
      </c>
      <c r="AI61" s="11">
        <v>12.792999999999999</v>
      </c>
      <c r="AJ61" s="11">
        <v>11.173</v>
      </c>
      <c r="AK61" s="11">
        <v>10.5</v>
      </c>
      <c r="AL61" s="2">
        <v>14.743</v>
      </c>
      <c r="AM61" s="11">
        <v>25.88</v>
      </c>
      <c r="AN61" s="11">
        <v>33.814</v>
      </c>
      <c r="AO61" s="11">
        <v>38.518000000000001</v>
      </c>
      <c r="AP61" s="11">
        <v>38.514000000000003</v>
      </c>
      <c r="AQ61" s="11">
        <v>40.939</v>
      </c>
      <c r="AR61" s="11">
        <v>43.728999999999999</v>
      </c>
      <c r="BM61" s="11">
        <f t="shared" si="209"/>
        <v>2.9460000000000002</v>
      </c>
      <c r="BN61" s="11">
        <f t="shared" si="210"/>
        <v>8.7050000000000001</v>
      </c>
      <c r="BO61" s="11">
        <f t="shared" si="211"/>
        <v>12.984999999999999</v>
      </c>
      <c r="BP61" s="11">
        <f t="shared" si="212"/>
        <v>12.792999999999999</v>
      </c>
      <c r="BQ61" s="11">
        <f t="shared" si="213"/>
        <v>25.88</v>
      </c>
      <c r="BR61" s="11">
        <f t="shared" si="214"/>
        <v>40.939</v>
      </c>
      <c r="BT61" s="128" t="s">
        <v>557</v>
      </c>
      <c r="BU61" s="126">
        <f>BU59/BU60</f>
        <v>323.49596085891449</v>
      </c>
      <c r="BV61" s="130"/>
      <c r="CA61" s="120" t="s">
        <v>629</v>
      </c>
    </row>
    <row r="62" spans="2:80" ht="15" customHeight="1">
      <c r="B62" s="2" t="s">
        <v>312</v>
      </c>
      <c r="T62" s="11">
        <f t="shared" ref="T62:AQ62" si="215">SUM(T50:T61)</f>
        <v>568.78899999999999</v>
      </c>
      <c r="U62" s="11">
        <f>SUM(U50:U61)</f>
        <v>585.10899999999981</v>
      </c>
      <c r="V62" s="11">
        <f t="shared" si="215"/>
        <v>614.17000000000007</v>
      </c>
      <c r="W62" s="11">
        <f t="shared" si="215"/>
        <v>665.90099999999995</v>
      </c>
      <c r="X62" s="11">
        <f t="shared" si="215"/>
        <v>664.24000000000012</v>
      </c>
      <c r="Y62" s="11">
        <f t="shared" si="215"/>
        <v>780.19999999999982</v>
      </c>
      <c r="Z62" s="11">
        <f t="shared" si="215"/>
        <v>810.30399999999997</v>
      </c>
      <c r="AA62" s="11">
        <f t="shared" si="215"/>
        <v>822.98299999999995</v>
      </c>
      <c r="AB62" s="11">
        <f t="shared" si="215"/>
        <v>840.82399999999996</v>
      </c>
      <c r="AC62" s="11">
        <f t="shared" si="215"/>
        <v>910.21799999999996</v>
      </c>
      <c r="AD62" s="11">
        <f t="shared" si="215"/>
        <v>973.24099999999987</v>
      </c>
      <c r="AE62" s="11">
        <f t="shared" si="215"/>
        <v>1244.2499999999998</v>
      </c>
      <c r="AF62" s="11">
        <f t="shared" si="215"/>
        <v>1301.5729999999999</v>
      </c>
      <c r="AG62" s="11">
        <f t="shared" si="215"/>
        <v>1327.9</v>
      </c>
      <c r="AH62" s="11">
        <f t="shared" si="215"/>
        <v>1321.6009999999999</v>
      </c>
      <c r="AI62" s="11">
        <f t="shared" si="215"/>
        <v>1370.886</v>
      </c>
      <c r="AJ62" s="11">
        <f t="shared" si="215"/>
        <v>1395.298</v>
      </c>
      <c r="AK62" s="11">
        <f t="shared" si="215"/>
        <v>1432.5319999999999</v>
      </c>
      <c r="AL62" s="11">
        <f t="shared" si="215"/>
        <v>1468.377</v>
      </c>
      <c r="AM62" s="11">
        <f t="shared" si="215"/>
        <v>1556.3050000000003</v>
      </c>
      <c r="AN62" s="11">
        <f t="shared" si="215"/>
        <v>1579.845</v>
      </c>
      <c r="AO62" s="11">
        <f t="shared" si="215"/>
        <v>1534.5609999999999</v>
      </c>
      <c r="AP62" s="11">
        <f t="shared" si="215"/>
        <v>1479.1229999999998</v>
      </c>
      <c r="AQ62" s="11">
        <f t="shared" si="215"/>
        <v>1533.1759999999997</v>
      </c>
      <c r="AR62" s="11">
        <f t="shared" ref="AR62" si="216">SUM(AR50:AR61)</f>
        <v>1593.307</v>
      </c>
      <c r="BM62" s="11">
        <f t="shared" ref="BM62" si="217">SUM(BM50:BM61)</f>
        <v>665.90099999999995</v>
      </c>
      <c r="BN62" s="11">
        <f t="shared" ref="BN62" si="218">SUM(BN50:BN61)</f>
        <v>822.98299999999995</v>
      </c>
      <c r="BO62" s="11">
        <f t="shared" ref="BO62" si="219">SUM(BO50:BO61)</f>
        <v>1244.2499999999998</v>
      </c>
      <c r="BP62" s="11">
        <f t="shared" ref="BP62" si="220">SUM(BP50:BP61)</f>
        <v>1370.886</v>
      </c>
      <c r="BQ62" s="11">
        <f t="shared" ref="BQ62" si="221">SUM(BQ50:BQ61)</f>
        <v>1556.3050000000003</v>
      </c>
      <c r="BR62" s="11">
        <f t="shared" ref="BR62" si="222">SUM(BR50:BR61)</f>
        <v>1533.1759999999997</v>
      </c>
      <c r="BT62" s="128" t="s">
        <v>558</v>
      </c>
      <c r="BU62" s="126">
        <f>'Main | Overview'!C5</f>
        <v>297.91000000000003</v>
      </c>
      <c r="BV62" s="131">
        <v>45763</v>
      </c>
      <c r="BY62" s="120" t="s">
        <v>772</v>
      </c>
    </row>
    <row r="63" spans="2:80" ht="15" customHeight="1">
      <c r="AR63" s="2"/>
      <c r="BN63" s="11"/>
      <c r="BO63" s="11"/>
      <c r="BP63" s="11"/>
      <c r="BQ63" s="11"/>
      <c r="BR63" s="11"/>
      <c r="BT63" s="128" t="s">
        <v>1698</v>
      </c>
      <c r="BU63" s="127">
        <f>BU61/BU62-1</f>
        <v>8.58848674395436E-2</v>
      </c>
      <c r="BV63" s="130" t="str">
        <f>IF(BU63&gt;0,"Upside","Downside")</f>
        <v>Upside</v>
      </c>
      <c r="BZ63" s="120" t="s">
        <v>773</v>
      </c>
    </row>
    <row r="64" spans="2:80">
      <c r="B64" s="2" t="s">
        <v>313</v>
      </c>
      <c r="T64" s="11">
        <v>7.6920000000000002</v>
      </c>
      <c r="U64" s="11">
        <v>8.7430000000000003</v>
      </c>
      <c r="V64" s="11">
        <v>11.962</v>
      </c>
      <c r="W64" s="11">
        <v>15.111000000000001</v>
      </c>
      <c r="X64" s="11">
        <v>15.843</v>
      </c>
      <c r="Y64" s="11">
        <v>14.432</v>
      </c>
      <c r="Z64" s="11">
        <v>14.544</v>
      </c>
      <c r="AA64" s="11">
        <v>14.109</v>
      </c>
      <c r="AB64" s="11">
        <v>15.388999999999999</v>
      </c>
      <c r="AC64" s="11">
        <v>13.712</v>
      </c>
      <c r="AD64" s="2">
        <v>13.679</v>
      </c>
      <c r="AE64" s="11">
        <v>13.420999999999999</v>
      </c>
      <c r="AF64" s="11">
        <v>14.137</v>
      </c>
      <c r="AG64" s="11">
        <v>23.096</v>
      </c>
      <c r="AH64" s="11">
        <v>25.364999999999998</v>
      </c>
      <c r="AI64" s="11">
        <v>26.678999999999998</v>
      </c>
      <c r="AJ64" s="11">
        <v>28.199000000000002</v>
      </c>
      <c r="AK64" s="11">
        <v>25.818999999999999</v>
      </c>
      <c r="AL64" s="11">
        <v>27.995999999999999</v>
      </c>
      <c r="AM64" s="11">
        <v>27.155000000000001</v>
      </c>
      <c r="AN64" s="11">
        <v>32.454500000000003</v>
      </c>
      <c r="AO64" s="11">
        <v>32.822000000000003</v>
      </c>
      <c r="AP64" s="11">
        <v>33.151000000000003</v>
      </c>
      <c r="AQ64" s="11">
        <v>31.326000000000001</v>
      </c>
      <c r="AR64" s="11">
        <v>31.152999999999999</v>
      </c>
      <c r="BM64" s="11">
        <f>W64</f>
        <v>15.111000000000001</v>
      </c>
      <c r="BN64" s="11">
        <f>AA64</f>
        <v>14.109</v>
      </c>
      <c r="BO64" s="11">
        <f>AE64</f>
        <v>13.420999999999999</v>
      </c>
      <c r="BP64" s="11">
        <f>AI64</f>
        <v>26.678999999999998</v>
      </c>
      <c r="BQ64" s="11">
        <f>AM64</f>
        <v>27.155000000000001</v>
      </c>
      <c r="BR64" s="11">
        <f t="shared" ref="BR64" si="223">AQ64</f>
        <v>31.326000000000001</v>
      </c>
      <c r="BS64" s="125"/>
      <c r="BT64" s="125"/>
      <c r="BU64" s="125"/>
      <c r="BV64" s="125"/>
      <c r="BW64" s="125"/>
      <c r="BY64" s="120" t="s">
        <v>751</v>
      </c>
    </row>
    <row r="65" spans="2:79">
      <c r="B65" s="2" t="s">
        <v>314</v>
      </c>
      <c r="T65" s="11">
        <v>58.031999999999996</v>
      </c>
      <c r="U65" s="11">
        <v>57.276000000000003</v>
      </c>
      <c r="V65" s="11">
        <v>70.162999999999997</v>
      </c>
      <c r="W65" s="11">
        <v>67.63</v>
      </c>
      <c r="X65" s="11">
        <v>65.334999999999994</v>
      </c>
      <c r="Y65" s="11">
        <v>57.718000000000004</v>
      </c>
      <c r="Z65" s="11">
        <v>87.691000000000003</v>
      </c>
      <c r="AA65" s="11">
        <v>85.795000000000002</v>
      </c>
      <c r="AB65" s="11">
        <v>90.213999999999999</v>
      </c>
      <c r="AC65" s="11">
        <v>86.503</v>
      </c>
      <c r="AD65" s="2">
        <v>93.22</v>
      </c>
      <c r="AE65" s="11">
        <v>99.796000000000006</v>
      </c>
      <c r="AF65" s="11">
        <v>105.533</v>
      </c>
      <c r="AG65" s="11">
        <v>111.405</v>
      </c>
      <c r="AH65" s="11">
        <v>101.672</v>
      </c>
      <c r="AI65" s="11">
        <v>106.3</v>
      </c>
      <c r="AJ65" s="11">
        <v>105.869</v>
      </c>
      <c r="AK65" s="11">
        <v>105.60599999999999</v>
      </c>
      <c r="AL65" s="11">
        <v>104.184</v>
      </c>
      <c r="AM65" s="11">
        <v>110.55500000000001</v>
      </c>
      <c r="AN65" s="11">
        <v>106.54900000000001</v>
      </c>
      <c r="AO65" s="11">
        <v>104.071</v>
      </c>
      <c r="AP65" s="11">
        <v>105.55</v>
      </c>
      <c r="AQ65" s="11">
        <v>112.429</v>
      </c>
      <c r="AR65" s="11">
        <v>112.675</v>
      </c>
      <c r="BM65" s="11">
        <f t="shared" ref="BM65:BM71" si="224">W65</f>
        <v>67.63</v>
      </c>
      <c r="BN65" s="11">
        <f t="shared" ref="BN65:BN71" si="225">AA65</f>
        <v>85.795000000000002</v>
      </c>
      <c r="BO65" s="11">
        <f t="shared" ref="BO65:BO71" si="226">AE65</f>
        <v>99.796000000000006</v>
      </c>
      <c r="BP65" s="11">
        <f t="shared" ref="BP65:BP71" si="227">AI65</f>
        <v>106.3</v>
      </c>
      <c r="BQ65" s="11">
        <f t="shared" ref="BQ65:BQ70" si="228">AM65</f>
        <v>110.55500000000001</v>
      </c>
      <c r="BR65" s="11">
        <f t="shared" ref="BR65:BR70" si="229">AQ65</f>
        <v>112.429</v>
      </c>
      <c r="BY65" s="120" t="s">
        <v>654</v>
      </c>
    </row>
    <row r="66" spans="2:79">
      <c r="B66" s="2" t="s">
        <v>315</v>
      </c>
      <c r="T66" s="11">
        <v>3.6880000000000002</v>
      </c>
      <c r="U66" s="11">
        <v>3.742</v>
      </c>
      <c r="V66" s="11">
        <v>4.0419999999999998</v>
      </c>
      <c r="W66" s="11">
        <v>4.1420000000000003</v>
      </c>
      <c r="X66" s="11">
        <v>4.4349999999999996</v>
      </c>
      <c r="Y66" s="11">
        <v>4.4459999999999997</v>
      </c>
      <c r="Z66" s="11">
        <v>4.484</v>
      </c>
      <c r="AA66" s="11">
        <v>4.6970000000000001</v>
      </c>
      <c r="AB66" s="11">
        <v>4.8220000000000001</v>
      </c>
      <c r="AC66" s="11">
        <v>6.3470000000000004</v>
      </c>
      <c r="AD66" s="2">
        <v>7.5309999999999997</v>
      </c>
      <c r="AE66" s="11">
        <v>8.2669999999999995</v>
      </c>
      <c r="AF66" s="11">
        <v>8.66</v>
      </c>
      <c r="AG66" s="11">
        <v>9.2970000000000006</v>
      </c>
      <c r="AH66" s="11">
        <v>9.4169999999999998</v>
      </c>
      <c r="AI66" s="11">
        <v>10.032999999999999</v>
      </c>
      <c r="AJ66" s="11">
        <v>10.303000000000001</v>
      </c>
      <c r="AK66" s="11">
        <v>10.715</v>
      </c>
      <c r="AL66" s="11">
        <v>10.827</v>
      </c>
      <c r="AM66" s="11">
        <v>11.202999999999999</v>
      </c>
      <c r="AN66" s="11">
        <v>11.52</v>
      </c>
      <c r="AO66" s="11">
        <v>11.776</v>
      </c>
      <c r="AP66" s="11">
        <v>12.068</v>
      </c>
      <c r="AQ66" s="11">
        <v>12.221</v>
      </c>
      <c r="AR66" s="11">
        <v>12.51</v>
      </c>
      <c r="BM66" s="11">
        <f t="shared" si="224"/>
        <v>4.1420000000000003</v>
      </c>
      <c r="BN66" s="11">
        <f t="shared" si="225"/>
        <v>4.6970000000000001</v>
      </c>
      <c r="BO66" s="11">
        <f t="shared" si="226"/>
        <v>8.2669999999999995</v>
      </c>
      <c r="BP66" s="11">
        <f t="shared" si="227"/>
        <v>10.032999999999999</v>
      </c>
      <c r="BQ66" s="11">
        <f t="shared" si="228"/>
        <v>11.202999999999999</v>
      </c>
      <c r="BR66" s="11">
        <f t="shared" si="229"/>
        <v>12.221</v>
      </c>
      <c r="BY66" s="120" t="s">
        <v>613</v>
      </c>
    </row>
    <row r="67" spans="2:79">
      <c r="B67" s="2" t="s">
        <v>316</v>
      </c>
      <c r="T67" s="11">
        <v>0</v>
      </c>
      <c r="U67" s="11">
        <v>0</v>
      </c>
      <c r="V67" s="11">
        <v>0</v>
      </c>
      <c r="W67" s="11">
        <v>4.165</v>
      </c>
      <c r="X67" s="11">
        <v>2.4609999999999999</v>
      </c>
      <c r="Y67" s="11">
        <v>1.016</v>
      </c>
      <c r="Z67" s="11">
        <v>1.3360000000000001</v>
      </c>
      <c r="AA67" s="11">
        <v>1.331</v>
      </c>
      <c r="AB67" s="11">
        <v>1.4370000000000001</v>
      </c>
      <c r="AC67" s="11">
        <v>1.484</v>
      </c>
      <c r="AD67" s="2">
        <v>1.627</v>
      </c>
      <c r="AE67" s="11">
        <v>1.7130000000000001</v>
      </c>
      <c r="AF67" s="11">
        <v>1.7689999999999999</v>
      </c>
      <c r="AG67" s="11">
        <v>1.806</v>
      </c>
      <c r="AH67" s="11">
        <v>1.8779999999999999</v>
      </c>
      <c r="AI67" s="11">
        <v>1.92</v>
      </c>
      <c r="AJ67" s="11">
        <v>1.9570000000000001</v>
      </c>
      <c r="AK67" s="11">
        <v>1.984</v>
      </c>
      <c r="AL67" s="11">
        <v>2.0710000000000002</v>
      </c>
      <c r="AM67" s="11">
        <v>2.2309999999999999</v>
      </c>
      <c r="AN67" s="11">
        <v>2.2799999999999998</v>
      </c>
      <c r="AO67" s="11">
        <v>2.3250000000000002</v>
      </c>
      <c r="AP67" s="11">
        <v>2.4159999999999999</v>
      </c>
      <c r="AQ67" s="11">
        <v>2.3690000000000002</v>
      </c>
      <c r="AR67" s="11">
        <v>2.2919999999999998</v>
      </c>
      <c r="BM67" s="11">
        <f t="shared" si="224"/>
        <v>4.165</v>
      </c>
      <c r="BN67" s="11">
        <f t="shared" si="225"/>
        <v>1.331</v>
      </c>
      <c r="BO67" s="11">
        <f t="shared" si="226"/>
        <v>1.7130000000000001</v>
      </c>
      <c r="BP67" s="11">
        <f t="shared" si="227"/>
        <v>1.92</v>
      </c>
      <c r="BQ67" s="11">
        <f t="shared" si="228"/>
        <v>2.2309999999999999</v>
      </c>
      <c r="BR67" s="11">
        <f t="shared" si="229"/>
        <v>2.3690000000000002</v>
      </c>
      <c r="BY67" s="120" t="s">
        <v>614</v>
      </c>
    </row>
    <row r="68" spans="2:79">
      <c r="B68" s="2" t="s">
        <v>317</v>
      </c>
      <c r="T68" s="11">
        <v>46.07</v>
      </c>
      <c r="U68" s="11">
        <v>46.146000000000001</v>
      </c>
      <c r="V68" s="11">
        <v>45.4</v>
      </c>
      <c r="W68" s="11">
        <v>47.241999999999997</v>
      </c>
      <c r="X68" s="11">
        <v>46.415999999999997</v>
      </c>
      <c r="Y68" s="11">
        <v>45.924999999999997</v>
      </c>
      <c r="Z68" s="11">
        <v>44.997999999999998</v>
      </c>
      <c r="AA68" s="11">
        <v>44.183</v>
      </c>
      <c r="AB68" s="11">
        <v>43.524999999999999</v>
      </c>
      <c r="AC68" s="11">
        <v>94.444000000000003</v>
      </c>
      <c r="AD68" s="2">
        <v>138.16900000000001</v>
      </c>
      <c r="AE68" s="11">
        <v>137.04499999999999</v>
      </c>
      <c r="AF68" s="11">
        <v>182.43799999999999</v>
      </c>
      <c r="AG68" s="11">
        <v>183.155</v>
      </c>
      <c r="AH68" s="11">
        <v>180.89699999999999</v>
      </c>
      <c r="AI68" s="11">
        <v>198.95500000000001</v>
      </c>
      <c r="AJ68" s="11">
        <v>196.83699999999999</v>
      </c>
      <c r="AK68" s="11">
        <v>194.655</v>
      </c>
      <c r="AL68" s="11">
        <v>192.11699999999999</v>
      </c>
      <c r="AM68" s="11">
        <v>197.22900000000001</v>
      </c>
      <c r="AN68" s="11">
        <v>194.53700000000001</v>
      </c>
      <c r="AO68" s="11">
        <v>192.21600000000001</v>
      </c>
      <c r="AP68" s="11">
        <v>189.96</v>
      </c>
      <c r="AQ68" s="11">
        <v>187.06800000000001</v>
      </c>
      <c r="AR68" s="11">
        <v>184.65199999999999</v>
      </c>
      <c r="BM68" s="11">
        <f t="shared" si="224"/>
        <v>47.241999999999997</v>
      </c>
      <c r="BN68" s="11">
        <f t="shared" si="225"/>
        <v>44.183</v>
      </c>
      <c r="BO68" s="11">
        <f t="shared" si="226"/>
        <v>137.04499999999999</v>
      </c>
      <c r="BP68" s="11">
        <f t="shared" si="227"/>
        <v>198.95500000000001</v>
      </c>
      <c r="BQ68" s="11">
        <f t="shared" si="228"/>
        <v>197.22900000000001</v>
      </c>
      <c r="BR68" s="11">
        <f t="shared" si="229"/>
        <v>187.06800000000001</v>
      </c>
      <c r="BY68" s="120" t="s">
        <v>809</v>
      </c>
    </row>
    <row r="69" spans="2:79">
      <c r="B69" s="2" t="s">
        <v>318</v>
      </c>
      <c r="T69" s="11">
        <v>0</v>
      </c>
      <c r="U69" s="11">
        <v>0</v>
      </c>
      <c r="V69" s="2">
        <v>0</v>
      </c>
      <c r="W69" s="2">
        <v>26.748000000000001</v>
      </c>
      <c r="X69" s="11">
        <v>26.483000000000001</v>
      </c>
      <c r="Y69" s="11">
        <v>26.202000000000002</v>
      </c>
      <c r="Z69" s="11">
        <v>27.390999999999998</v>
      </c>
      <c r="AA69" s="11">
        <v>27.065999999999999</v>
      </c>
      <c r="AB69" s="11">
        <v>27</v>
      </c>
      <c r="AC69" s="11">
        <v>26.690999999999999</v>
      </c>
      <c r="AD69" s="2">
        <v>26.774999999999999</v>
      </c>
      <c r="AE69" s="11">
        <v>26.523</v>
      </c>
      <c r="AF69" s="11">
        <v>26.122</v>
      </c>
      <c r="AG69" s="11">
        <v>25.654</v>
      </c>
      <c r="AH69" s="11">
        <v>25.324999999999999</v>
      </c>
      <c r="AI69" s="11">
        <v>24.864999999999998</v>
      </c>
      <c r="AJ69" s="11">
        <v>24.422999999999998</v>
      </c>
      <c r="AK69" s="11">
        <v>23.922000000000001</v>
      </c>
      <c r="AL69" s="11">
        <v>23.779</v>
      </c>
      <c r="AM69" s="11">
        <v>23.68</v>
      </c>
      <c r="AN69" s="11">
        <v>23.097999999999999</v>
      </c>
      <c r="AO69" s="11">
        <v>22.501000000000001</v>
      </c>
      <c r="AP69" s="11">
        <v>22.245000000000001</v>
      </c>
      <c r="AQ69" s="11">
        <v>21.731000000000002</v>
      </c>
      <c r="AR69" s="11">
        <v>21.201000000000001</v>
      </c>
      <c r="BM69" s="11">
        <f t="shared" si="224"/>
        <v>26.748000000000001</v>
      </c>
      <c r="BN69" s="11">
        <f t="shared" si="225"/>
        <v>27.065999999999999</v>
      </c>
      <c r="BO69" s="11">
        <f t="shared" si="226"/>
        <v>26.523</v>
      </c>
      <c r="BP69" s="11">
        <f t="shared" si="227"/>
        <v>24.864999999999998</v>
      </c>
      <c r="BQ69" s="11">
        <f t="shared" si="228"/>
        <v>23.68</v>
      </c>
      <c r="BR69" s="11">
        <f t="shared" si="229"/>
        <v>21.731000000000002</v>
      </c>
      <c r="BX69" s="121" t="s">
        <v>636</v>
      </c>
    </row>
    <row r="70" spans="2:79">
      <c r="B70" s="2" t="s">
        <v>319</v>
      </c>
      <c r="T70" s="11">
        <v>16.643999999999998</v>
      </c>
      <c r="U70" s="11">
        <v>15.019</v>
      </c>
      <c r="V70" s="11">
        <v>15.662000000000001</v>
      </c>
      <c r="W70" s="11">
        <v>15.25</v>
      </c>
      <c r="X70" s="11">
        <v>15.15</v>
      </c>
      <c r="Y70" s="11">
        <v>7.3</v>
      </c>
      <c r="Z70" s="11">
        <v>10.147</v>
      </c>
      <c r="AA70" s="11">
        <v>8.0139999999999993</v>
      </c>
      <c r="AB70" s="11">
        <v>7.9660000000000002</v>
      </c>
      <c r="AC70" s="11">
        <v>7.6609999999999996</v>
      </c>
      <c r="AD70" s="2">
        <v>7.6349999999999998</v>
      </c>
      <c r="AE70" s="11">
        <v>3.5579999999999998</v>
      </c>
      <c r="AF70" s="11">
        <v>3.6120000000000001</v>
      </c>
      <c r="AG70" s="11">
        <v>3.472</v>
      </c>
      <c r="AH70" s="11">
        <v>3.2949999999999999</v>
      </c>
      <c r="AI70" s="11">
        <v>3.2759999999999998</v>
      </c>
      <c r="AJ70" s="11">
        <v>3.2410000000000001</v>
      </c>
      <c r="AK70" s="11">
        <v>3.2879999999999998</v>
      </c>
      <c r="AL70" s="11">
        <v>3.2650000000000001</v>
      </c>
      <c r="AM70" s="11">
        <v>5.3079999999999998</v>
      </c>
      <c r="AN70" s="11">
        <v>5.8760000000000003</v>
      </c>
      <c r="AO70" s="11">
        <v>7.6189999999999998</v>
      </c>
      <c r="AP70" s="11">
        <v>9.4529999999999994</v>
      </c>
      <c r="AQ70" s="11">
        <v>15.103</v>
      </c>
      <c r="AR70" s="11">
        <v>15.942</v>
      </c>
      <c r="BM70" s="11">
        <f t="shared" si="224"/>
        <v>15.25</v>
      </c>
      <c r="BN70" s="11">
        <f t="shared" si="225"/>
        <v>8.0139999999999993</v>
      </c>
      <c r="BO70" s="11">
        <f t="shared" si="226"/>
        <v>3.5579999999999998</v>
      </c>
      <c r="BP70" s="11">
        <f t="shared" si="227"/>
        <v>3.2759999999999998</v>
      </c>
      <c r="BQ70" s="11">
        <f t="shared" si="228"/>
        <v>5.3079999999999998</v>
      </c>
      <c r="BR70" s="11">
        <f t="shared" si="229"/>
        <v>15.103</v>
      </c>
      <c r="BY70" s="120" t="s">
        <v>632</v>
      </c>
    </row>
    <row r="71" spans="2:79">
      <c r="B71" s="2" t="s">
        <v>320</v>
      </c>
      <c r="T71" s="11">
        <v>436.66300000000001</v>
      </c>
      <c r="U71" s="11">
        <v>454.18299999999999</v>
      </c>
      <c r="V71" s="11">
        <v>466.94099999999997</v>
      </c>
      <c r="W71" s="11">
        <v>485.613</v>
      </c>
      <c r="X71" s="11">
        <v>488.11700000000002</v>
      </c>
      <c r="Y71" s="11">
        <v>623.16099999999994</v>
      </c>
      <c r="Z71" s="11">
        <v>619.71199999999999</v>
      </c>
      <c r="AA71" s="11">
        <v>637.78800000000001</v>
      </c>
      <c r="AB71" s="11">
        <v>650.471</v>
      </c>
      <c r="AC71" s="11">
        <v>673.37599999999998</v>
      </c>
      <c r="AD71" s="2">
        <v>684.60299999999995</v>
      </c>
      <c r="AE71" s="11">
        <v>953.92700000000002</v>
      </c>
      <c r="AF71" s="11">
        <v>959.30200000000002</v>
      </c>
      <c r="AG71" s="11">
        <v>970.01499999999999</v>
      </c>
      <c r="AH71" s="11">
        <v>973.75199999999995</v>
      </c>
      <c r="AI71" s="11">
        <v>998.85799999999995</v>
      </c>
      <c r="AJ71" s="11">
        <v>1024.4690000000001</v>
      </c>
      <c r="AK71" s="11">
        <v>1066.5429999999999</v>
      </c>
      <c r="AL71" s="11">
        <v>1104.1379999999999</v>
      </c>
      <c r="AM71" s="11">
        <v>1178.94</v>
      </c>
      <c r="AN71" s="11">
        <v>1203.5309999999999</v>
      </c>
      <c r="AO71" s="11">
        <v>1161.231</v>
      </c>
      <c r="AP71" s="11">
        <v>1104.28</v>
      </c>
      <c r="AQ71" s="11">
        <v>1150.931</v>
      </c>
      <c r="AR71" s="11">
        <v>1212.8820000000001</v>
      </c>
      <c r="BM71" s="11">
        <f t="shared" si="224"/>
        <v>485.613</v>
      </c>
      <c r="BN71" s="11">
        <f t="shared" si="225"/>
        <v>637.78800000000001</v>
      </c>
      <c r="BO71" s="11">
        <f t="shared" si="226"/>
        <v>953.92700000000002</v>
      </c>
      <c r="BP71" s="11">
        <f t="shared" si="227"/>
        <v>998.85799999999995</v>
      </c>
      <c r="BQ71" s="11">
        <f>AM71</f>
        <v>1178.94</v>
      </c>
      <c r="BR71" s="11">
        <f>AQ71</f>
        <v>1150.931</v>
      </c>
      <c r="BY71" s="120" t="s">
        <v>1636</v>
      </c>
    </row>
    <row r="72" spans="2:79">
      <c r="B72" s="2" t="s">
        <v>321</v>
      </c>
      <c r="T72" s="11">
        <f t="shared" ref="T72" si="230">SUM(T64:T71)</f>
        <v>568.78899999999999</v>
      </c>
      <c r="U72" s="11">
        <f t="shared" ref="U72" si="231">SUM(U64:U71)</f>
        <v>585.10900000000004</v>
      </c>
      <c r="V72" s="11">
        <f t="shared" ref="V72" si="232">SUM(V64:V71)</f>
        <v>614.16999999999996</v>
      </c>
      <c r="W72" s="11">
        <f t="shared" ref="W72" si="233">SUM(W64:W71)</f>
        <v>665.90099999999995</v>
      </c>
      <c r="X72" s="11">
        <f t="shared" ref="X72:AO72" si="234">SUM(X64:X71)</f>
        <v>664.24</v>
      </c>
      <c r="Y72" s="11">
        <f t="shared" si="234"/>
        <v>780.19999999999993</v>
      </c>
      <c r="Z72" s="11">
        <f t="shared" si="234"/>
        <v>810.303</v>
      </c>
      <c r="AA72" s="11">
        <f t="shared" si="234"/>
        <v>822.98300000000006</v>
      </c>
      <c r="AB72" s="11">
        <f t="shared" si="234"/>
        <v>840.82400000000007</v>
      </c>
      <c r="AC72" s="11">
        <f t="shared" si="234"/>
        <v>910.21799999999996</v>
      </c>
      <c r="AD72" s="11">
        <f t="shared" si="234"/>
        <v>973.23899999999992</v>
      </c>
      <c r="AE72" s="11">
        <f t="shared" si="234"/>
        <v>1244.25</v>
      </c>
      <c r="AF72" s="11">
        <f t="shared" si="234"/>
        <v>1301.5730000000001</v>
      </c>
      <c r="AG72" s="11">
        <f t="shared" si="234"/>
        <v>1327.9</v>
      </c>
      <c r="AH72" s="11">
        <f t="shared" si="234"/>
        <v>1321.6009999999999</v>
      </c>
      <c r="AI72" s="11">
        <f t="shared" si="234"/>
        <v>1370.886</v>
      </c>
      <c r="AJ72" s="11">
        <f t="shared" si="234"/>
        <v>1395.298</v>
      </c>
      <c r="AK72" s="11">
        <f t="shared" si="234"/>
        <v>1432.5319999999999</v>
      </c>
      <c r="AL72" s="11">
        <f t="shared" si="234"/>
        <v>1468.377</v>
      </c>
      <c r="AM72" s="11">
        <f t="shared" si="234"/>
        <v>1556.3010000000002</v>
      </c>
      <c r="AN72" s="11">
        <f t="shared" si="234"/>
        <v>1579.8454999999999</v>
      </c>
      <c r="AO72" s="11">
        <f t="shared" si="234"/>
        <v>1534.5610000000001</v>
      </c>
      <c r="AP72" s="11">
        <f>SUM(AP64:AP71)</f>
        <v>1479.123</v>
      </c>
      <c r="AQ72" s="11">
        <f>SUM(AQ64:AQ71)</f>
        <v>1533.1780000000001</v>
      </c>
      <c r="AR72" s="11">
        <f>SUM(AR64:AR71)</f>
        <v>1593.307</v>
      </c>
      <c r="BM72" s="11">
        <f t="shared" ref="BM72:BQ72" si="235">SUM(BM64:BM71)</f>
        <v>665.90099999999995</v>
      </c>
      <c r="BN72" s="11">
        <f t="shared" si="235"/>
        <v>822.98300000000006</v>
      </c>
      <c r="BO72" s="11">
        <f t="shared" si="235"/>
        <v>1244.25</v>
      </c>
      <c r="BP72" s="11">
        <f t="shared" si="235"/>
        <v>1370.886</v>
      </c>
      <c r="BQ72" s="11">
        <f t="shared" si="235"/>
        <v>1556.3010000000002</v>
      </c>
      <c r="BR72" s="11">
        <f>SUM(BR64:BR71)</f>
        <v>1533.1780000000001</v>
      </c>
      <c r="BX72" s="125"/>
      <c r="CA72" s="120" t="s">
        <v>615</v>
      </c>
    </row>
    <row r="73" spans="2:79">
      <c r="AR73" s="2"/>
      <c r="BN73" s="11"/>
      <c r="BO73" s="11"/>
      <c r="BP73" s="11"/>
      <c r="BQ73" s="11"/>
      <c r="BR73" s="11"/>
      <c r="CA73" s="120" t="s">
        <v>617</v>
      </c>
    </row>
    <row r="74" spans="2:79">
      <c r="B74" s="2" t="s">
        <v>548</v>
      </c>
      <c r="T74" s="14">
        <f t="shared" ref="T74:AP74" si="236">SUM(T50:T54)/SUM(T64:T67)</f>
        <v>6.0952861176741786</v>
      </c>
      <c r="U74" s="14">
        <f t="shared" si="236"/>
        <v>6.2298992273619929</v>
      </c>
      <c r="V74" s="14">
        <f t="shared" si="236"/>
        <v>5.2378984994255351</v>
      </c>
      <c r="W74" s="14">
        <f t="shared" si="236"/>
        <v>5.0867015200773222</v>
      </c>
      <c r="X74" s="14">
        <f t="shared" si="236"/>
        <v>5.1518041646797013</v>
      </c>
      <c r="Y74" s="14">
        <f t="shared" si="236"/>
        <v>7.4201798690924061</v>
      </c>
      <c r="Z74" s="14">
        <f t="shared" si="236"/>
        <v>5.4620239692749077</v>
      </c>
      <c r="AA74" s="14">
        <f t="shared" si="236"/>
        <v>5.8311180757467049</v>
      </c>
      <c r="AB74" s="14">
        <f t="shared" si="236"/>
        <v>5.6777726126834862</v>
      </c>
      <c r="AC74" s="14">
        <f t="shared" si="236"/>
        <v>6.0447587138811247</v>
      </c>
      <c r="AD74" s="14">
        <f t="shared" si="236"/>
        <v>5.7556803984249116</v>
      </c>
      <c r="AE74" s="14">
        <f t="shared" si="236"/>
        <v>5.5315795027476309</v>
      </c>
      <c r="AF74" s="14">
        <f t="shared" si="236"/>
        <v>5.3061591557198744</v>
      </c>
      <c r="AG74" s="14">
        <f t="shared" si="236"/>
        <v>4.9309153594681465</v>
      </c>
      <c r="AH74" s="14">
        <f t="shared" si="236"/>
        <v>5.2310745163808825</v>
      </c>
      <c r="AI74" s="14">
        <f t="shared" si="236"/>
        <v>5.214162503794884</v>
      </c>
      <c r="AJ74" s="14">
        <f t="shared" si="236"/>
        <v>5.3748428188726685</v>
      </c>
      <c r="AK74" s="14">
        <f t="shared" si="236"/>
        <v>5.7441925009020007</v>
      </c>
      <c r="AL74" s="14">
        <f t="shared" si="236"/>
        <v>5.9862694550517652</v>
      </c>
      <c r="AM74" s="14">
        <f t="shared" si="236"/>
        <v>6.0564891758852486</v>
      </c>
      <c r="AN74" s="14">
        <f t="shared" si="236"/>
        <v>6.1191203081081245</v>
      </c>
      <c r="AO74" s="14">
        <f t="shared" si="236"/>
        <v>6.2505463793263303</v>
      </c>
      <c r="AP74" s="14">
        <f t="shared" si="236"/>
        <v>5.8214120181479911</v>
      </c>
      <c r="AQ74" s="14">
        <f>SUM(AQ50:AQ54)/SUM(AQ64:AQ67)</f>
        <v>6.0066310903407114</v>
      </c>
      <c r="AR74" s="14">
        <f t="shared" ref="AR74" si="237">SUM(AR50:AR54)/SUM(AR64:AR67)</f>
        <v>6.3021433524554</v>
      </c>
      <c r="AS74" s="124"/>
      <c r="AT74" s="124"/>
      <c r="AU74" s="124"/>
      <c r="AV74" s="124"/>
      <c r="AW74" s="124"/>
      <c r="AX74" s="124"/>
      <c r="AY74" s="124"/>
      <c r="AZ74" s="124"/>
      <c r="BA74" s="124"/>
      <c r="BB74" s="124"/>
      <c r="BC74" s="124"/>
      <c r="BD74" s="11"/>
      <c r="BE74" s="11"/>
      <c r="BF74" s="11"/>
      <c r="BG74" s="11"/>
      <c r="BH74" s="11"/>
      <c r="BI74" s="11"/>
      <c r="BJ74" s="11"/>
      <c r="BK74" s="11"/>
      <c r="BL74" s="11"/>
      <c r="BM74" s="14">
        <f t="shared" ref="BM74:BQ74" si="238">SUM(BM50:BM54)/SUM(BM64:BM67)</f>
        <v>5.0867015200773222</v>
      </c>
      <c r="BN74" s="14">
        <f t="shared" si="238"/>
        <v>5.8311180757467049</v>
      </c>
      <c r="BO74" s="14">
        <f t="shared" si="238"/>
        <v>5.5315795027476309</v>
      </c>
      <c r="BP74" s="14">
        <f t="shared" si="238"/>
        <v>5.214162503794884</v>
      </c>
      <c r="BQ74" s="14">
        <f t="shared" si="238"/>
        <v>6.0564891758852486</v>
      </c>
      <c r="BR74" s="14">
        <f>SUM(BR50:BR54)/SUM(BR64:BR67)</f>
        <v>6.0066310903407114</v>
      </c>
      <c r="CA74" s="120" t="s">
        <v>1650</v>
      </c>
    </row>
    <row r="75" spans="2:79">
      <c r="B75" s="2" t="s">
        <v>549</v>
      </c>
      <c r="T75" s="14">
        <f t="shared" ref="T75:AP75" si="239">(SUM(T50:T54)-T53)/SUM(T64:T67)</f>
        <v>4.3421166368927562</v>
      </c>
      <c r="U75" s="14">
        <f t="shared" si="239"/>
        <v>4.3271885437422055</v>
      </c>
      <c r="V75" s="14">
        <f t="shared" si="239"/>
        <v>3.6089802360532457</v>
      </c>
      <c r="W75" s="14">
        <f t="shared" si="239"/>
        <v>3.4063570863720241</v>
      </c>
      <c r="X75" s="14">
        <f t="shared" si="239"/>
        <v>3.2652996343983474</v>
      </c>
      <c r="Y75" s="14">
        <f t="shared" si="239"/>
        <v>5.0566020718445577</v>
      </c>
      <c r="Z75" s="14">
        <f t="shared" si="239"/>
        <v>3.689343389940309</v>
      </c>
      <c r="AA75" s="14">
        <f t="shared" si="239"/>
        <v>3.7587792168560963</v>
      </c>
      <c r="AB75" s="14">
        <f t="shared" si="239"/>
        <v>3.484704367881855</v>
      </c>
      <c r="AC75" s="14">
        <f t="shared" si="239"/>
        <v>3.6848657053477223</v>
      </c>
      <c r="AD75" s="14">
        <f t="shared" si="239"/>
        <v>3.5299120259872301</v>
      </c>
      <c r="AE75" s="14">
        <f t="shared" si="239"/>
        <v>3.3926962507203902</v>
      </c>
      <c r="AF75" s="14">
        <f t="shared" si="239"/>
        <v>3.19738814287581</v>
      </c>
      <c r="AG75" s="14">
        <f t="shared" si="239"/>
        <v>2.8988077250624991</v>
      </c>
      <c r="AH75" s="14">
        <f t="shared" si="239"/>
        <v>2.9156015961599637</v>
      </c>
      <c r="AI75" s="14">
        <f t="shared" si="239"/>
        <v>2.9095920845637959</v>
      </c>
      <c r="AJ75" s="14">
        <f t="shared" si="239"/>
        <v>3.0236728445683663</v>
      </c>
      <c r="AK75" s="14">
        <f t="shared" si="239"/>
        <v>3.2548777441647472</v>
      </c>
      <c r="AL75" s="14">
        <f t="shared" si="239"/>
        <v>3.406657108589862</v>
      </c>
      <c r="AM75" s="14">
        <f t="shared" si="239"/>
        <v>3.4892486635261739</v>
      </c>
      <c r="AN75" s="14">
        <f t="shared" si="239"/>
        <v>3.5120726946699512</v>
      </c>
      <c r="AO75" s="14">
        <f t="shared" si="239"/>
        <v>3.7749579453488216</v>
      </c>
      <c r="AP75" s="14">
        <f t="shared" si="239"/>
        <v>3.2531905865456801</v>
      </c>
      <c r="AQ75" s="14">
        <f>(SUM(AQ50:AQ54)-AQ53)/SUM(AQ64:AQ67)</f>
        <v>3.4379550980454061</v>
      </c>
      <c r="AR75" s="14">
        <f>(SUM(AR50:AR54)-AR53)/SUM(AR64:AR67)</f>
        <v>3.6805522284561558</v>
      </c>
      <c r="AS75" s="124"/>
      <c r="AT75" s="124"/>
      <c r="AU75" s="124"/>
      <c r="AV75" s="124"/>
      <c r="AW75" s="124"/>
      <c r="AX75" s="124"/>
      <c r="AY75" s="124"/>
      <c r="AZ75" s="124"/>
      <c r="BA75" s="124"/>
      <c r="BB75" s="124"/>
      <c r="BC75" s="124"/>
      <c r="BD75" s="11"/>
      <c r="BE75" s="11"/>
      <c r="BF75" s="11"/>
      <c r="BG75" s="11"/>
      <c r="BH75" s="11"/>
      <c r="BI75" s="11"/>
      <c r="BJ75" s="11"/>
      <c r="BK75" s="11"/>
      <c r="BL75" s="11"/>
      <c r="BM75" s="14">
        <f t="shared" ref="BM75:BQ75" si="240">(SUM(BM50:BM54)-BM53)/SUM(BM64:BM67)</f>
        <v>3.4063570863720241</v>
      </c>
      <c r="BN75" s="14">
        <f t="shared" si="240"/>
        <v>3.7587792168560963</v>
      </c>
      <c r="BO75" s="14">
        <f t="shared" si="240"/>
        <v>3.3926962507203902</v>
      </c>
      <c r="BP75" s="14">
        <f t="shared" si="240"/>
        <v>2.9095920845637959</v>
      </c>
      <c r="BQ75" s="14">
        <f t="shared" si="240"/>
        <v>3.4892486635261739</v>
      </c>
      <c r="BR75" s="14">
        <f>(SUM(BR50:BR54)-BR53)/SUM(BR64:BR67)</f>
        <v>3.4379550980454061</v>
      </c>
      <c r="BZ75" s="120" t="s">
        <v>1651</v>
      </c>
    </row>
    <row r="76" spans="2:79">
      <c r="B76" s="2" t="s">
        <v>550</v>
      </c>
      <c r="T76" s="14">
        <f t="shared" ref="T76:AP76" si="241">T50/SUM(T64:T67)</f>
        <v>1.3773699072206536</v>
      </c>
      <c r="U76" s="14">
        <f t="shared" si="241"/>
        <v>1.1075099267499031</v>
      </c>
      <c r="V76" s="14">
        <f t="shared" si="241"/>
        <v>1.2949388977218657</v>
      </c>
      <c r="W76" s="14">
        <f t="shared" si="241"/>
        <v>0.79934759687197954</v>
      </c>
      <c r="X76" s="14">
        <f t="shared" si="241"/>
        <v>0.82267184413107164</v>
      </c>
      <c r="Y76" s="14">
        <f t="shared" si="241"/>
        <v>1.731446168118332</v>
      </c>
      <c r="Z76" s="14">
        <f t="shared" si="241"/>
        <v>0.74142797649345238</v>
      </c>
      <c r="AA76" s="14">
        <f t="shared" si="241"/>
        <v>0.65768606275724051</v>
      </c>
      <c r="AB76" s="14">
        <f t="shared" si="241"/>
        <v>0.49732706370349183</v>
      </c>
      <c r="AC76" s="14">
        <f t="shared" si="241"/>
        <v>0.76149973159580187</v>
      </c>
      <c r="AD76" s="14">
        <f t="shared" si="241"/>
        <v>0.57118484882428466</v>
      </c>
      <c r="AE76" s="14">
        <f t="shared" si="241"/>
        <v>0.48198413922416938</v>
      </c>
      <c r="AF76" s="14">
        <f t="shared" si="241"/>
        <v>0.52393177503285948</v>
      </c>
      <c r="AG76" s="14">
        <f t="shared" si="241"/>
        <v>0.39994780363176835</v>
      </c>
      <c r="AH76" s="14">
        <f t="shared" si="241"/>
        <v>0.39646647196599494</v>
      </c>
      <c r="AI76" s="14">
        <f t="shared" si="241"/>
        <v>0.48200535423508972</v>
      </c>
      <c r="AJ76" s="14">
        <f t="shared" si="241"/>
        <v>0.64709419933300527</v>
      </c>
      <c r="AK76" s="14">
        <f t="shared" si="241"/>
        <v>0.79214426466098642</v>
      </c>
      <c r="AL76" s="14">
        <f t="shared" si="241"/>
        <v>0.69450226774562651</v>
      </c>
      <c r="AM76" s="14">
        <f t="shared" si="241"/>
        <v>1.1081220557878579</v>
      </c>
      <c r="AN76" s="14">
        <f t="shared" si="241"/>
        <v>1.4601367115282045</v>
      </c>
      <c r="AO76" s="14">
        <f t="shared" si="241"/>
        <v>1.9095593202378902</v>
      </c>
      <c r="AP76" s="14">
        <f t="shared" si="241"/>
        <v>1.8309625616085126</v>
      </c>
      <c r="AQ76" s="14">
        <f>AQ50/SUM(AQ64:AQ67)</f>
        <v>2.048691149073226</v>
      </c>
      <c r="AR76" s="14">
        <f t="shared" ref="AR76" si="242">AR50/SUM(AR64:AR67)</f>
        <v>2.3706360713610288</v>
      </c>
      <c r="AS76" s="124"/>
      <c r="AT76" s="124"/>
      <c r="AU76" s="124"/>
      <c r="AV76" s="124"/>
      <c r="AW76" s="124"/>
      <c r="AX76" s="124"/>
      <c r="AY76" s="124"/>
      <c r="AZ76" s="124"/>
      <c r="BA76" s="124"/>
      <c r="BB76" s="124"/>
      <c r="BC76" s="124"/>
      <c r="BD76" s="11"/>
      <c r="BE76" s="11"/>
      <c r="BF76" s="11"/>
      <c r="BG76" s="11"/>
      <c r="BH76" s="11"/>
      <c r="BI76" s="11"/>
      <c r="BJ76" s="11"/>
      <c r="BK76" s="11"/>
      <c r="BL76" s="11"/>
      <c r="BM76" s="14">
        <f t="shared" ref="BM76:BR76" si="243">BM50/SUM(BM64:BM67)</f>
        <v>0.79934759687197954</v>
      </c>
      <c r="BN76" s="14">
        <f t="shared" si="243"/>
        <v>0.65768606275724051</v>
      </c>
      <c r="BO76" s="14">
        <f t="shared" si="243"/>
        <v>0.48198413922416938</v>
      </c>
      <c r="BP76" s="14">
        <f t="shared" si="243"/>
        <v>0.48200535423508972</v>
      </c>
      <c r="BQ76" s="14">
        <f t="shared" si="243"/>
        <v>1.1081220557878579</v>
      </c>
      <c r="BR76" s="14">
        <f t="shared" si="243"/>
        <v>2.048691149073226</v>
      </c>
      <c r="BY76" s="120" t="s">
        <v>1652</v>
      </c>
    </row>
    <row r="77" spans="2:79">
      <c r="B77" s="2" t="s">
        <v>1658</v>
      </c>
      <c r="T77" s="14">
        <f t="shared" ref="T77:AR77" si="244">T26/T55</f>
        <v>3.6302713397399655</v>
      </c>
      <c r="U77" s="14">
        <f t="shared" si="244"/>
        <v>3.5371903004744332</v>
      </c>
      <c r="V77" s="14">
        <f t="shared" si="244"/>
        <v>3.0575780821917808</v>
      </c>
      <c r="W77" s="14">
        <f t="shared" si="244"/>
        <v>2.8036169227206069</v>
      </c>
      <c r="X77" s="14">
        <f t="shared" si="244"/>
        <v>2.3390916215203243</v>
      </c>
      <c r="Y77" s="14">
        <f t="shared" si="244"/>
        <v>1.6900366630218047</v>
      </c>
      <c r="Z77" s="14">
        <f t="shared" si="244"/>
        <v>2.3279820047453237</v>
      </c>
      <c r="AA77" s="14">
        <f t="shared" si="244"/>
        <v>3.4651331769395264</v>
      </c>
      <c r="AB77" s="14">
        <f t="shared" si="244"/>
        <v>3.3628811066502364</v>
      </c>
      <c r="AC77" s="14">
        <f t="shared" si="244"/>
        <v>3.6241003657529403</v>
      </c>
      <c r="AD77" s="14">
        <f t="shared" si="244"/>
        <v>3.3567594292979233</v>
      </c>
      <c r="AE77" s="14">
        <f t="shared" si="244"/>
        <v>3.4659168139187169</v>
      </c>
      <c r="AF77" s="14">
        <f t="shared" si="244"/>
        <v>3.3799128085268619</v>
      </c>
      <c r="AG77" s="14">
        <f t="shared" si="244"/>
        <v>3.2824860537678466</v>
      </c>
      <c r="AH77" s="14">
        <f t="shared" si="244"/>
        <v>3.3347898005680223</v>
      </c>
      <c r="AI77" s="14">
        <f t="shared" si="244"/>
        <v>3.4027993539952308</v>
      </c>
      <c r="AJ77" s="14">
        <f t="shared" si="244"/>
        <v>3.7010916227155648</v>
      </c>
      <c r="AK77" s="14">
        <f t="shared" si="244"/>
        <v>3.9646441675005306</v>
      </c>
      <c r="AL77" s="14">
        <f t="shared" si="244"/>
        <v>4.1275597269624571</v>
      </c>
      <c r="AM77" s="14">
        <f t="shared" si="244"/>
        <v>3.916853530698436</v>
      </c>
      <c r="AN77" s="14">
        <f t="shared" si="244"/>
        <v>3.6794993662864384</v>
      </c>
      <c r="AO77" s="14">
        <f t="shared" si="244"/>
        <v>5.1880989100486916</v>
      </c>
      <c r="AP77" s="14">
        <f t="shared" si="244"/>
        <v>5.0234483219012338</v>
      </c>
      <c r="AQ77" s="14">
        <f t="shared" si="244"/>
        <v>5.0366373461470921</v>
      </c>
      <c r="AR77" s="14">
        <f t="shared" si="244"/>
        <v>4.4730559580487128</v>
      </c>
      <c r="AS77" s="124"/>
      <c r="AT77" s="124"/>
      <c r="AU77" s="124"/>
      <c r="AV77" s="124"/>
      <c r="AW77" s="124"/>
      <c r="AX77" s="124"/>
      <c r="AY77" s="124"/>
      <c r="AZ77" s="124"/>
      <c r="BA77" s="124"/>
      <c r="BB77" s="124"/>
      <c r="BC77" s="124"/>
      <c r="BD77" s="11"/>
      <c r="BE77" s="11"/>
      <c r="BF77" s="11"/>
      <c r="BG77" s="11"/>
      <c r="BH77" s="11"/>
      <c r="BI77" s="11"/>
      <c r="BJ77" s="11"/>
      <c r="BK77" s="11"/>
      <c r="BL77" s="11"/>
      <c r="BM77" s="14">
        <f t="shared" ref="BM77:BQ77" si="245">BM26/BM55</f>
        <v>10.56517795105381</v>
      </c>
      <c r="BN77" s="14">
        <f t="shared" si="245"/>
        <v>11.634287612364801</v>
      </c>
      <c r="BO77" s="14">
        <f t="shared" si="245"/>
        <v>12.702018485795842</v>
      </c>
      <c r="BP77" s="14">
        <f t="shared" si="245"/>
        <v>13.029808505729447</v>
      </c>
      <c r="BQ77" s="14">
        <f t="shared" si="245"/>
        <v>14.56191275398605</v>
      </c>
      <c r="BR77" s="14">
        <f>BR26/BR55</f>
        <v>19.070576778787057</v>
      </c>
      <c r="BY77" s="120" t="s">
        <v>623</v>
      </c>
    </row>
    <row r="78" spans="2:79">
      <c r="B78" s="2" t="s">
        <v>551</v>
      </c>
      <c r="T78" s="14">
        <f t="shared" ref="T78:AR78" si="246">T26/T62</f>
        <v>0.2258113289813973</v>
      </c>
      <c r="U78" s="14">
        <f t="shared" si="246"/>
        <v>0.229360683223126</v>
      </c>
      <c r="V78" s="14">
        <f t="shared" si="246"/>
        <v>0.22713906573098652</v>
      </c>
      <c r="W78" s="14">
        <f t="shared" si="246"/>
        <v>0.2181420361284937</v>
      </c>
      <c r="X78" s="14">
        <f t="shared" si="246"/>
        <v>0.20670239672407562</v>
      </c>
      <c r="Y78" s="14">
        <f t="shared" si="246"/>
        <v>0.13470904896180469</v>
      </c>
      <c r="Z78" s="14">
        <f t="shared" si="246"/>
        <v>0.18647322486375484</v>
      </c>
      <c r="AA78" s="14">
        <f t="shared" si="246"/>
        <v>0.2028134238495814</v>
      </c>
      <c r="AB78" s="14">
        <f t="shared" si="246"/>
        <v>0.20123117323006956</v>
      </c>
      <c r="AC78" s="14">
        <f t="shared" si="246"/>
        <v>0.20247896657723757</v>
      </c>
      <c r="AD78" s="14">
        <f t="shared" si="246"/>
        <v>0.19532674846209727</v>
      </c>
      <c r="AE78" s="14">
        <f t="shared" si="246"/>
        <v>0.16394615230058271</v>
      </c>
      <c r="AF78" s="14">
        <f t="shared" si="246"/>
        <v>0.15665659936092716</v>
      </c>
      <c r="AG78" s="14">
        <f t="shared" si="246"/>
        <v>0.15686422170344153</v>
      </c>
      <c r="AH78" s="14">
        <f t="shared" si="246"/>
        <v>0.16169781953857482</v>
      </c>
      <c r="AI78" s="14">
        <f t="shared" si="246"/>
        <v>0.16137957496101057</v>
      </c>
      <c r="AJ78" s="14">
        <f t="shared" si="246"/>
        <v>0.17300963665109534</v>
      </c>
      <c r="AK78" s="14">
        <f t="shared" si="246"/>
        <v>0.18254391524936267</v>
      </c>
      <c r="AL78" s="14">
        <f t="shared" si="246"/>
        <v>0.18448940564991143</v>
      </c>
      <c r="AM78" s="14">
        <f t="shared" si="246"/>
        <v>0.18294614487520119</v>
      </c>
      <c r="AN78" s="14">
        <f t="shared" si="246"/>
        <v>0.17640971107925144</v>
      </c>
      <c r="AO78" s="14">
        <f t="shared" si="246"/>
        <v>0.19510465859617179</v>
      </c>
      <c r="AP78" s="14">
        <f t="shared" si="246"/>
        <v>0.20349896526522815</v>
      </c>
      <c r="AQ78" s="14">
        <f t="shared" si="246"/>
        <v>0.20578198458624455</v>
      </c>
      <c r="AR78" s="14">
        <f t="shared" si="246"/>
        <v>0.20343850871175484</v>
      </c>
      <c r="AS78" s="124"/>
      <c r="AT78" s="124"/>
      <c r="AU78" s="124"/>
      <c r="AV78" s="124"/>
      <c r="AW78" s="124"/>
      <c r="AX78" s="124"/>
      <c r="AY78" s="124"/>
      <c r="AZ78" s="124"/>
      <c r="BA78" s="124"/>
      <c r="BB78" s="124"/>
      <c r="BC78" s="124"/>
      <c r="BD78" s="11"/>
      <c r="BE78" s="11"/>
      <c r="BF78" s="11"/>
      <c r="BG78" s="11"/>
      <c r="BH78" s="11"/>
      <c r="BI78" s="11"/>
      <c r="BJ78" s="11"/>
      <c r="BK78" s="11"/>
      <c r="BL78" s="11"/>
      <c r="BM78" s="14">
        <f t="shared" ref="BM78:BR78" si="247">BM26/BM62</f>
        <v>0.82204862284333569</v>
      </c>
      <c r="BN78" s="14">
        <f t="shared" si="247"/>
        <v>0.68095209743093121</v>
      </c>
      <c r="BO78" s="14">
        <f t="shared" si="247"/>
        <v>0.6008358448864779</v>
      </c>
      <c r="BP78" s="14">
        <f t="shared" si="247"/>
        <v>0.61794562056947122</v>
      </c>
      <c r="BQ78" s="14">
        <f t="shared" si="247"/>
        <v>0.68014945656539028</v>
      </c>
      <c r="BR78" s="14">
        <f t="shared" si="247"/>
        <v>0.77916690582164094</v>
      </c>
      <c r="BY78" s="120" t="s">
        <v>631</v>
      </c>
    </row>
    <row r="79" spans="2:79">
      <c r="B79" s="2" t="s">
        <v>547</v>
      </c>
      <c r="T79" s="14"/>
      <c r="U79" s="14">
        <f>U27/AVERAGE(A53:U53)</f>
        <v>0.31657928041945399</v>
      </c>
      <c r="V79" s="14">
        <f>V27/AVERAGE(B53:V53)</f>
        <v>0.33059006801170254</v>
      </c>
      <c r="W79" s="14">
        <f t="shared" ref="W79:AR79" si="248">W27/AVERAGE(T53:W53)</f>
        <v>0.34419115808075174</v>
      </c>
      <c r="X79" s="14">
        <f t="shared" si="248"/>
        <v>0.33297424346293208</v>
      </c>
      <c r="Y79" s="14">
        <f t="shared" si="248"/>
        <v>0.25009915311574088</v>
      </c>
      <c r="Z79" s="14">
        <f t="shared" si="248"/>
        <v>0.34663673964499597</v>
      </c>
      <c r="AA79" s="14">
        <f t="shared" si="248"/>
        <v>0.38168557110329349</v>
      </c>
      <c r="AB79" s="14">
        <f t="shared" si="248"/>
        <v>0.27561062444260015</v>
      </c>
      <c r="AC79" s="14">
        <f t="shared" si="248"/>
        <v>0.28791755726530988</v>
      </c>
      <c r="AD79" s="14">
        <f t="shared" si="248"/>
        <v>0.28707517627826667</v>
      </c>
      <c r="AE79" s="14">
        <f t="shared" si="248"/>
        <v>0.30736568576230944</v>
      </c>
      <c r="AF79" s="14">
        <f t="shared" si="248"/>
        <v>0.29111084473517479</v>
      </c>
      <c r="AG79" s="14">
        <f t="shared" si="248"/>
        <v>0.27214821272247108</v>
      </c>
      <c r="AH79" s="14">
        <f t="shared" si="248"/>
        <v>0.2717410141762851</v>
      </c>
      <c r="AI79" s="14">
        <f t="shared" si="248"/>
        <v>0.27022674599972879</v>
      </c>
      <c r="AJ79" s="14">
        <f t="shared" si="248"/>
        <v>0.27908378308421578</v>
      </c>
      <c r="AK79" s="14">
        <f t="shared" si="248"/>
        <v>0.27882533773676943</v>
      </c>
      <c r="AL79" s="14">
        <f t="shared" si="248"/>
        <v>0.26419798407300027</v>
      </c>
      <c r="AM79" s="14">
        <f t="shared" si="248"/>
        <v>0.26701613563764443</v>
      </c>
      <c r="AN79" s="14">
        <f t="shared" si="248"/>
        <v>0.25667959278769831</v>
      </c>
      <c r="AO79" s="14">
        <f t="shared" si="248"/>
        <v>0.35609244587414374</v>
      </c>
      <c r="AP79" s="14">
        <f t="shared" si="248"/>
        <v>0.25926862817415797</v>
      </c>
      <c r="AQ79" s="14">
        <f t="shared" si="248"/>
        <v>0.26661324225743571</v>
      </c>
      <c r="AR79" s="14">
        <f t="shared" si="248"/>
        <v>0.27237685965384584</v>
      </c>
      <c r="AS79" s="124"/>
      <c r="AT79" s="124"/>
      <c r="AU79" s="124"/>
      <c r="AV79" s="124"/>
      <c r="AW79" s="124"/>
      <c r="AX79" s="124"/>
      <c r="AY79" s="124"/>
      <c r="AZ79" s="124"/>
      <c r="BA79" s="124"/>
      <c r="BB79" s="124"/>
      <c r="BC79" s="124"/>
      <c r="BD79" s="11"/>
      <c r="BE79" s="11"/>
      <c r="BF79" s="11"/>
      <c r="BG79" s="11"/>
      <c r="BH79" s="11"/>
      <c r="BI79" s="11"/>
      <c r="BJ79" s="11"/>
      <c r="BK79" s="11"/>
      <c r="BL79" s="11"/>
      <c r="BM79" s="14">
        <f t="shared" ref="BM79:BR79" si="249">BM27/AVERAGE(BJ53:BM53)</f>
        <v>1.1467331625183017</v>
      </c>
      <c r="BN79" s="14">
        <f t="shared" si="249"/>
        <v>1.1931579328839603</v>
      </c>
      <c r="BO79" s="14">
        <f t="shared" si="249"/>
        <v>1.283953567716891</v>
      </c>
      <c r="BP79" s="14">
        <f t="shared" si="249"/>
        <v>1.2862543284788392</v>
      </c>
      <c r="BQ79" s="14">
        <f t="shared" si="249"/>
        <v>1.2477387018073789</v>
      </c>
      <c r="BR79" s="14">
        <f t="shared" si="249"/>
        <v>1.2629734175124079</v>
      </c>
      <c r="BZ79" s="120" t="s">
        <v>1637</v>
      </c>
    </row>
    <row r="80" spans="2:79">
      <c r="B80" s="2" t="s">
        <v>545</v>
      </c>
      <c r="T80" s="5">
        <f t="shared" ref="T80:AR80" si="250">T39/T62</f>
        <v>1.8808380612142642E-2</v>
      </c>
      <c r="U80" s="5">
        <f t="shared" si="250"/>
        <v>2.8688671683395731E-2</v>
      </c>
      <c r="V80" s="5">
        <f t="shared" si="250"/>
        <v>1.8696777765113894E-2</v>
      </c>
      <c r="W80" s="5">
        <f t="shared" si="250"/>
        <v>1.4249865971067921E-2</v>
      </c>
      <c r="X80" s="5">
        <f t="shared" si="250"/>
        <v>2.282307599662792E-3</v>
      </c>
      <c r="Y80" s="5">
        <f t="shared" si="250"/>
        <v>-1.5303768264547575E-2</v>
      </c>
      <c r="Z80" s="5">
        <f t="shared" si="250"/>
        <v>-1.0900847089487405E-2</v>
      </c>
      <c r="AA80" s="5">
        <f t="shared" si="250"/>
        <v>4.4411609960351662E-3</v>
      </c>
      <c r="AB80" s="5">
        <f t="shared" si="250"/>
        <v>1.4071910411691393E-2</v>
      </c>
      <c r="AC80" s="5">
        <f t="shared" si="250"/>
        <v>1.0167893845210732E-2</v>
      </c>
      <c r="AD80" s="5">
        <f t="shared" si="250"/>
        <v>9.0851084161065777E-3</v>
      </c>
      <c r="AE80" s="5">
        <f t="shared" si="250"/>
        <v>-1.9823186658629765E-2</v>
      </c>
      <c r="AF80" s="5">
        <f t="shared" si="250"/>
        <v>5.5317680990614748E-5</v>
      </c>
      <c r="AG80" s="5">
        <f t="shared" si="250"/>
        <v>-2.7592439189698067E-3</v>
      </c>
      <c r="AH80" s="5">
        <f t="shared" si="250"/>
        <v>-1.7251802926904591E-3</v>
      </c>
      <c r="AI80" s="5">
        <f t="shared" si="250"/>
        <v>2.8229918461490956E-3</v>
      </c>
      <c r="AJ80" s="5">
        <f t="shared" si="250"/>
        <v>6.1664246634052658E-3</v>
      </c>
      <c r="AK80" s="5">
        <f t="shared" si="250"/>
        <v>1.333303549240087E-2</v>
      </c>
      <c r="AL80" s="5">
        <f t="shared" si="250"/>
        <v>6.272231177688015E-3</v>
      </c>
      <c r="AM80" s="5">
        <f t="shared" si="250"/>
        <v>3.4759253488230148E-2</v>
      </c>
      <c r="AN80" s="5">
        <f t="shared" si="250"/>
        <v>7.0260057157505891E-3</v>
      </c>
      <c r="AO80" s="5">
        <f t="shared" si="250"/>
        <v>-3.922946041245675E-2</v>
      </c>
      <c r="AP80" s="5">
        <f t="shared" si="250"/>
        <v>1.9944250748585503E-2</v>
      </c>
      <c r="AQ80" s="5">
        <f t="shared" si="250"/>
        <v>2.1908769769419825E-2</v>
      </c>
      <c r="AR80" s="5">
        <f t="shared" si="250"/>
        <v>2.4617352462519778E-2</v>
      </c>
      <c r="AS80" s="132"/>
      <c r="AT80" s="132"/>
      <c r="AU80" s="132"/>
      <c r="AV80" s="132"/>
      <c r="AW80" s="132"/>
      <c r="AX80" s="132"/>
      <c r="AY80" s="132"/>
      <c r="AZ80" s="132"/>
      <c r="BA80" s="132"/>
      <c r="BB80" s="132"/>
      <c r="BC80" s="132"/>
      <c r="BD80" s="5"/>
      <c r="BE80" s="5"/>
      <c r="BF80" s="5"/>
      <c r="BG80" s="5"/>
      <c r="BH80" s="5"/>
      <c r="BI80" s="5"/>
      <c r="BJ80" s="5"/>
      <c r="BK80" s="5"/>
      <c r="BL80" s="5"/>
      <c r="BM80" s="5">
        <f t="shared" ref="BM80:BR80" si="251">BM39/BM62</f>
        <v>7.2767573558231602E-2</v>
      </c>
      <c r="BN80" s="5">
        <f t="shared" si="251"/>
        <v>-1.8957864257220253E-2</v>
      </c>
      <c r="BO80" s="5">
        <f t="shared" si="251"/>
        <v>4.2467349809121686E-3</v>
      </c>
      <c r="BP80" s="5">
        <f t="shared" si="251"/>
        <v>-1.4603694253204809E-3</v>
      </c>
      <c r="BQ80" s="5">
        <f t="shared" si="251"/>
        <v>5.8478254583773738E-2</v>
      </c>
      <c r="BR80" s="5">
        <f t="shared" si="251"/>
        <v>9.1248493323661979E-3</v>
      </c>
      <c r="BY80" s="120" t="s">
        <v>655</v>
      </c>
    </row>
    <row r="81" spans="2:84">
      <c r="B81" s="2" t="s">
        <v>546</v>
      </c>
      <c r="T81" s="5">
        <f t="shared" ref="T81:AR81" si="252">T39/T71</f>
        <v>2.4499442361729757E-2</v>
      </c>
      <c r="U81" s="5">
        <f t="shared" si="252"/>
        <v>3.6958670844131083E-2</v>
      </c>
      <c r="V81" s="5">
        <f t="shared" si="252"/>
        <v>2.4591972005028474E-2</v>
      </c>
      <c r="W81" s="5">
        <f t="shared" si="252"/>
        <v>1.9540251187674339E-2</v>
      </c>
      <c r="X81" s="5">
        <f t="shared" si="252"/>
        <v>3.1058127457146817E-3</v>
      </c>
      <c r="Y81" s="5">
        <f t="shared" si="252"/>
        <v>-1.916037749474055E-2</v>
      </c>
      <c r="Z81" s="5">
        <f t="shared" si="252"/>
        <v>-1.4253395125477644E-2</v>
      </c>
      <c r="AA81" s="5">
        <f t="shared" si="252"/>
        <v>5.7307443852816437E-3</v>
      </c>
      <c r="AB81" s="5">
        <f t="shared" si="252"/>
        <v>1.8189896244413667E-2</v>
      </c>
      <c r="AC81" s="5">
        <f t="shared" si="252"/>
        <v>1.3744178586703451E-2</v>
      </c>
      <c r="AD81" s="5">
        <f t="shared" si="252"/>
        <v>1.2915514539083208E-2</v>
      </c>
      <c r="AE81" s="5">
        <f t="shared" si="252"/>
        <v>-2.5856276214008073E-2</v>
      </c>
      <c r="AF81" s="5">
        <f t="shared" si="252"/>
        <v>7.5054570927609243E-5</v>
      </c>
      <c r="AG81" s="5">
        <f t="shared" si="252"/>
        <v>-3.7772611763735682E-3</v>
      </c>
      <c r="AH81" s="5">
        <f t="shared" si="252"/>
        <v>-2.341458605476552E-3</v>
      </c>
      <c r="AI81" s="5">
        <f t="shared" si="252"/>
        <v>3.8744245928850241E-3</v>
      </c>
      <c r="AJ81" s="5">
        <f t="shared" si="252"/>
        <v>8.3984971726816914E-3</v>
      </c>
      <c r="AK81" s="5">
        <f t="shared" si="252"/>
        <v>1.7908326246574215E-2</v>
      </c>
      <c r="AL81" s="5">
        <f t="shared" si="252"/>
        <v>8.3413486357683496E-3</v>
      </c>
      <c r="AM81" s="5">
        <f t="shared" si="252"/>
        <v>4.588528678304242E-2</v>
      </c>
      <c r="AN81" s="5">
        <f t="shared" si="252"/>
        <v>9.2228617293613462E-3</v>
      </c>
      <c r="AO81" s="5">
        <f t="shared" si="252"/>
        <v>-5.1841537127410513E-2</v>
      </c>
      <c r="AP81" s="5">
        <f t="shared" si="252"/>
        <v>2.6714239142246562E-2</v>
      </c>
      <c r="AQ81" s="5">
        <f t="shared" si="252"/>
        <v>2.9185068435901025E-2</v>
      </c>
      <c r="AR81" s="5">
        <f t="shared" si="252"/>
        <v>3.2338677628986165E-2</v>
      </c>
      <c r="AS81" s="132"/>
      <c r="AT81" s="132"/>
      <c r="AU81" s="132"/>
      <c r="AV81" s="132"/>
      <c r="AW81" s="132"/>
      <c r="AX81" s="132"/>
      <c r="AY81" s="132"/>
      <c r="AZ81" s="132"/>
      <c r="BA81" s="132"/>
      <c r="BB81" s="132"/>
      <c r="BC81" s="132"/>
      <c r="BD81" s="5"/>
      <c r="BE81" s="5"/>
      <c r="BF81" s="5"/>
      <c r="BG81" s="5"/>
      <c r="BH81" s="5"/>
      <c r="BI81" s="5"/>
      <c r="BJ81" s="5"/>
      <c r="BK81" s="5"/>
      <c r="BL81" s="5"/>
      <c r="BM81" s="5">
        <f t="shared" ref="BM81:BR81" si="253">BM39/BM71</f>
        <v>9.9783160664973905E-2</v>
      </c>
      <c r="BN81" s="5">
        <f t="shared" si="253"/>
        <v>-2.4462674117418159E-2</v>
      </c>
      <c r="BO81" s="5">
        <f t="shared" si="253"/>
        <v>5.5392079268119735E-3</v>
      </c>
      <c r="BP81" s="5">
        <f t="shared" si="253"/>
        <v>-2.0042888979213188E-3</v>
      </c>
      <c r="BQ81" s="5">
        <f t="shared" si="253"/>
        <v>7.7196464620761018E-2</v>
      </c>
      <c r="BR81" s="5">
        <f t="shared" si="253"/>
        <v>1.2155376821025653E-2</v>
      </c>
      <c r="CA81" s="120" t="s">
        <v>656</v>
      </c>
    </row>
    <row r="82" spans="2:84">
      <c r="AR82" s="2"/>
      <c r="BN82" s="11"/>
      <c r="BO82" s="11"/>
      <c r="BP82" s="11"/>
      <c r="BQ82" s="11"/>
      <c r="BR82" s="11"/>
      <c r="CA82" s="120" t="s">
        <v>657</v>
      </c>
    </row>
    <row r="83" spans="2:84">
      <c r="B83" s="2" t="s">
        <v>529</v>
      </c>
      <c r="C83" s="11">
        <v>-5.4</v>
      </c>
      <c r="D83" s="11">
        <v>-2.7</v>
      </c>
      <c r="E83" s="11">
        <v>-5.6</v>
      </c>
      <c r="F83" s="11">
        <v>-4.3</v>
      </c>
      <c r="G83" s="11">
        <v>-8</v>
      </c>
      <c r="H83" s="11">
        <v>-2.1</v>
      </c>
      <c r="I83" s="11">
        <v>-6.1</v>
      </c>
      <c r="J83" s="11">
        <v>5.7</v>
      </c>
      <c r="K83" s="11">
        <v>-10.4</v>
      </c>
      <c r="L83" s="11">
        <v>2.2000000000000002</v>
      </c>
      <c r="M83" s="11">
        <v>0.6</v>
      </c>
      <c r="N83" s="11">
        <v>10.8</v>
      </c>
      <c r="O83" s="11">
        <v>-0.9</v>
      </c>
      <c r="P83" s="11">
        <v>10.7</v>
      </c>
      <c r="Q83" s="11">
        <v>0.1</v>
      </c>
      <c r="R83" s="11">
        <v>10.4</v>
      </c>
      <c r="S83" s="11">
        <v>7.5</v>
      </c>
      <c r="T83" s="11">
        <v>-5.92</v>
      </c>
      <c r="U83" s="11">
        <f>-27.609-T83</f>
        <v>-21.689</v>
      </c>
      <c r="V83" s="11">
        <f>-31.159-SUM(T83:U83)</f>
        <v>-3.5499999999999972</v>
      </c>
      <c r="W83" s="11">
        <f>-33.242-SUM(T83:V83)</f>
        <v>-2.0829999999999984</v>
      </c>
      <c r="X83" s="11">
        <v>-5.92</v>
      </c>
      <c r="Y83" s="11">
        <f>-27.609-X83</f>
        <v>-21.689</v>
      </c>
      <c r="Z83" s="11">
        <f>-31.159-SUM(X83:Y83)</f>
        <v>-3.5499999999999972</v>
      </c>
      <c r="AA83" s="11">
        <f>-33.242-SUM(X83:Z83)</f>
        <v>-2.0829999999999984</v>
      </c>
      <c r="AB83" s="11">
        <v>-14.368</v>
      </c>
      <c r="AC83" s="11">
        <f>-17.678-AB83</f>
        <v>-3.3100000000000005</v>
      </c>
      <c r="AD83" s="11">
        <f>18.772-SUM(AB83:AC83)</f>
        <v>36.450000000000003</v>
      </c>
      <c r="AE83" s="11">
        <f>9.502-SUM(AB83:AD83)</f>
        <v>-9.2700000000000014</v>
      </c>
      <c r="AF83" s="11">
        <v>-4.5140000000000002</v>
      </c>
      <c r="AG83" s="11">
        <f>-44.089-AF83</f>
        <v>-39.574999999999996</v>
      </c>
      <c r="AH83" s="11">
        <f>-56.998-SUM(AF83:AG83)</f>
        <v>-12.908999999999999</v>
      </c>
      <c r="AI83" s="11">
        <f>-55.661-SUM(AF83:AH83)</f>
        <v>1.3369999999999962</v>
      </c>
      <c r="AJ83" s="11">
        <v>13.129</v>
      </c>
      <c r="AK83" s="11">
        <f>30.228-AJ83</f>
        <v>17.099000000000004</v>
      </c>
      <c r="AL83" s="11">
        <f>61.072-SUM(AJ83:AK83)</f>
        <v>30.844000000000001</v>
      </c>
      <c r="AM83" s="11">
        <f>97.333-SUM(AJ83:AL83)</f>
        <v>36.260999999999996</v>
      </c>
      <c r="AN83" s="11">
        <v>38.295000000000002</v>
      </c>
      <c r="AO83" s="11">
        <f>60.906-AN83</f>
        <v>22.610999999999997</v>
      </c>
      <c r="AP83" s="11">
        <f>117.373-SUM(AN83:AO83)</f>
        <v>56.467000000000006</v>
      </c>
      <c r="AQ83" s="11">
        <f>168.481-SUM(AN83:AP83)</f>
        <v>51.10799999999999</v>
      </c>
      <c r="AR83" s="11">
        <f>48.97</f>
        <v>48.97</v>
      </c>
      <c r="BM83" s="11">
        <f t="shared" ref="BM83:BM87" si="254">SUM(T83:W83)</f>
        <v>-33.241999999999997</v>
      </c>
      <c r="BN83" s="11">
        <f t="shared" ref="BN83:BN85" si="255">SUM(X83:AA83)</f>
        <v>-33.241999999999997</v>
      </c>
      <c r="BO83" s="11">
        <f t="shared" ref="BO83:BO85" si="256">SUM(AB83:AE83)</f>
        <v>9.5020000000000007</v>
      </c>
      <c r="BP83" s="11">
        <f t="shared" ref="BP83:BP85" si="257">SUM(AF83:AI83)</f>
        <v>-55.661000000000001</v>
      </c>
      <c r="BQ83" s="11">
        <f t="shared" ref="BQ83:BQ87" si="258">SUM(AJ83:AM83)</f>
        <v>97.332999999999998</v>
      </c>
      <c r="BR83" s="11">
        <f t="shared" ref="BR83:BR87" si="259">SUM(AN83:AQ83)</f>
        <v>168.48099999999999</v>
      </c>
      <c r="CB83" s="120" t="s">
        <v>1657</v>
      </c>
    </row>
    <row r="84" spans="2:84">
      <c r="B84" s="2" t="s">
        <v>530</v>
      </c>
      <c r="C84" s="11">
        <v>-2.1</v>
      </c>
      <c r="D84" s="11">
        <v>-1.3</v>
      </c>
      <c r="E84" s="11">
        <v>-1.8</v>
      </c>
      <c r="F84" s="11">
        <v>-1.4</v>
      </c>
      <c r="G84" s="11">
        <v>-1</v>
      </c>
      <c r="H84" s="11">
        <v>-1.1000000000000001</v>
      </c>
      <c r="I84" s="11">
        <v>-2.6</v>
      </c>
      <c r="J84" s="11">
        <v>-3.4</v>
      </c>
      <c r="K84" s="11">
        <v>-6.6</v>
      </c>
      <c r="L84" s="11">
        <v>-3.2</v>
      </c>
      <c r="M84" s="11">
        <v>-2.2000000000000002</v>
      </c>
      <c r="N84" s="11">
        <v>-1.4</v>
      </c>
      <c r="O84" s="11">
        <v>-5.7</v>
      </c>
      <c r="P84" s="11">
        <v>-2.8</v>
      </c>
      <c r="Q84" s="11">
        <v>-2.2999999999999998</v>
      </c>
      <c r="R84" s="11">
        <v>-1.5</v>
      </c>
      <c r="S84" s="11">
        <v>-3</v>
      </c>
      <c r="T84" s="11">
        <v>-10.131</v>
      </c>
      <c r="U84" s="11">
        <f>-16.85-T84</f>
        <v>-6.7190000000000012</v>
      </c>
      <c r="V84" s="11">
        <f>-21.003-SUM(T84:U84)</f>
        <v>-4.1529999999999987</v>
      </c>
      <c r="W84" s="11">
        <f>-24.756-SUM(T84:V84)</f>
        <v>-3.7530000000000001</v>
      </c>
      <c r="X84" s="11">
        <v>-10.131</v>
      </c>
      <c r="Y84" s="11">
        <f>-16.85-X84</f>
        <v>-6.7190000000000012</v>
      </c>
      <c r="Z84" s="11">
        <f>-21.003-SUM(X84:Y84)</f>
        <v>-4.1529999999999987</v>
      </c>
      <c r="AA84" s="11">
        <f>-24.756-SUM(X84:Z84)</f>
        <v>-3.7530000000000001</v>
      </c>
      <c r="AB84" s="11">
        <v>-3.9910000000000001</v>
      </c>
      <c r="AC84" s="11">
        <f>-7.286-AB84</f>
        <v>-3.2949999999999995</v>
      </c>
      <c r="AD84" s="11">
        <f>-13.088-SUM(AB84:AC84)</f>
        <v>-5.8019999999999996</v>
      </c>
      <c r="AE84" s="11">
        <f>-21.18-SUM(AB84:AD84)</f>
        <v>-8.0920000000000005</v>
      </c>
      <c r="AF84" s="11">
        <v>-4.9569999999999999</v>
      </c>
      <c r="AG84" s="11">
        <f>-9.388-AF84</f>
        <v>-4.431</v>
      </c>
      <c r="AH84" s="11">
        <f>-15.736-SUM(AF84:AG84)</f>
        <v>-6.3480000000000008</v>
      </c>
      <c r="AI84" s="11">
        <f>-19.298-SUM(AF84:AH84)</f>
        <v>-3.5619999999999976</v>
      </c>
      <c r="AJ84" s="11">
        <v>-3.8940000000000001</v>
      </c>
      <c r="AK84" s="11">
        <f>-8.236-AJ84</f>
        <v>-4.3420000000000005</v>
      </c>
      <c r="AL84" s="11">
        <f>-12.568-SUM(AJ84:AK84)</f>
        <v>-4.331999999999999</v>
      </c>
      <c r="AM84" s="11">
        <f>-16.213-SUM(AJ84:AL84)</f>
        <v>-3.6450000000000014</v>
      </c>
      <c r="AN84" s="11">
        <v>-5.8239999999999998</v>
      </c>
      <c r="AO84" s="11">
        <f>-10.36-AN84</f>
        <v>-4.5359999999999996</v>
      </c>
      <c r="AP84" s="11">
        <f>-15.811-SUM(AN84:AO84)</f>
        <v>-5.4510000000000005</v>
      </c>
      <c r="AQ84" s="11">
        <f>-21.182-SUM(AN84:AP84)</f>
        <v>-5.3709999999999987</v>
      </c>
      <c r="AR84" s="11">
        <f>--13.467</f>
        <v>13.467000000000001</v>
      </c>
      <c r="BM84" s="11">
        <f t="shared" si="254"/>
        <v>-24.756</v>
      </c>
      <c r="BN84" s="11">
        <f t="shared" si="255"/>
        <v>-24.756</v>
      </c>
      <c r="BO84" s="11">
        <f t="shared" si="256"/>
        <v>-21.18</v>
      </c>
      <c r="BP84" s="11">
        <f t="shared" si="257"/>
        <v>-19.297999999999998</v>
      </c>
      <c r="BQ84" s="11">
        <f t="shared" si="258"/>
        <v>-16.213000000000001</v>
      </c>
      <c r="BR84" s="11">
        <f t="shared" si="259"/>
        <v>-21.181999999999999</v>
      </c>
      <c r="BY84" s="120" t="s">
        <v>635</v>
      </c>
    </row>
    <row r="85" spans="2:84">
      <c r="B85" s="2" t="s">
        <v>531</v>
      </c>
      <c r="C85" s="11">
        <f t="shared" ref="C85:S85" si="260">C83+C84</f>
        <v>-7.5</v>
      </c>
      <c r="D85" s="11">
        <f t="shared" si="260"/>
        <v>-4</v>
      </c>
      <c r="E85" s="11">
        <f t="shared" si="260"/>
        <v>-7.3999999999999995</v>
      </c>
      <c r="F85" s="11">
        <f t="shared" si="260"/>
        <v>-5.6999999999999993</v>
      </c>
      <c r="G85" s="11">
        <f t="shared" si="260"/>
        <v>-9</v>
      </c>
      <c r="H85" s="11">
        <f t="shared" si="260"/>
        <v>-3.2</v>
      </c>
      <c r="I85" s="11">
        <f t="shared" si="260"/>
        <v>-8.6999999999999993</v>
      </c>
      <c r="J85" s="11">
        <f t="shared" si="260"/>
        <v>2.3000000000000003</v>
      </c>
      <c r="K85" s="11">
        <f t="shared" si="260"/>
        <v>-17</v>
      </c>
      <c r="L85" s="11">
        <f t="shared" si="260"/>
        <v>-1</v>
      </c>
      <c r="M85" s="11">
        <f t="shared" si="260"/>
        <v>-1.6</v>
      </c>
      <c r="N85" s="11">
        <f t="shared" si="260"/>
        <v>9.4</v>
      </c>
      <c r="O85" s="11">
        <f t="shared" si="260"/>
        <v>-6.6000000000000005</v>
      </c>
      <c r="P85" s="11">
        <f t="shared" si="260"/>
        <v>7.8999999999999995</v>
      </c>
      <c r="Q85" s="11">
        <f t="shared" si="260"/>
        <v>-2.1999999999999997</v>
      </c>
      <c r="R85" s="11">
        <f t="shared" si="260"/>
        <v>8.9</v>
      </c>
      <c r="S85" s="11">
        <f t="shared" si="260"/>
        <v>4.5</v>
      </c>
      <c r="T85" s="11">
        <f t="shared" ref="T85" si="261">T83+T84</f>
        <v>-16.051000000000002</v>
      </c>
      <c r="U85" s="11">
        <f t="shared" ref="U85" si="262">U83+U84</f>
        <v>-28.408000000000001</v>
      </c>
      <c r="V85" s="11">
        <f t="shared" ref="V85" si="263">V83+V84</f>
        <v>-7.7029999999999959</v>
      </c>
      <c r="W85" s="11">
        <f t="shared" ref="W85" si="264">W83+W84</f>
        <v>-5.8359999999999985</v>
      </c>
      <c r="X85" s="11">
        <f t="shared" ref="X85:AP85" si="265">X83+X84</f>
        <v>-16.051000000000002</v>
      </c>
      <c r="Y85" s="11">
        <f t="shared" si="265"/>
        <v>-28.408000000000001</v>
      </c>
      <c r="Z85" s="11">
        <f t="shared" si="265"/>
        <v>-7.7029999999999959</v>
      </c>
      <c r="AA85" s="11">
        <f t="shared" si="265"/>
        <v>-5.8359999999999985</v>
      </c>
      <c r="AB85" s="11">
        <f t="shared" si="265"/>
        <v>-18.359000000000002</v>
      </c>
      <c r="AC85" s="11">
        <f t="shared" si="265"/>
        <v>-6.6050000000000004</v>
      </c>
      <c r="AD85" s="11">
        <f t="shared" si="265"/>
        <v>30.648000000000003</v>
      </c>
      <c r="AE85" s="11">
        <f t="shared" si="265"/>
        <v>-17.362000000000002</v>
      </c>
      <c r="AF85" s="11">
        <f t="shared" si="265"/>
        <v>-9.4710000000000001</v>
      </c>
      <c r="AG85" s="11">
        <f t="shared" si="265"/>
        <v>-44.005999999999993</v>
      </c>
      <c r="AH85" s="11">
        <f t="shared" si="265"/>
        <v>-19.256999999999998</v>
      </c>
      <c r="AI85" s="11">
        <f t="shared" si="265"/>
        <v>-2.2250000000000014</v>
      </c>
      <c r="AJ85" s="11">
        <f t="shared" si="265"/>
        <v>9.2349999999999994</v>
      </c>
      <c r="AK85" s="11">
        <f t="shared" si="265"/>
        <v>12.757000000000003</v>
      </c>
      <c r="AL85" s="11">
        <f t="shared" si="265"/>
        <v>26.512</v>
      </c>
      <c r="AM85" s="11">
        <f t="shared" si="265"/>
        <v>32.615999999999993</v>
      </c>
      <c r="AN85" s="11">
        <f t="shared" si="265"/>
        <v>32.471000000000004</v>
      </c>
      <c r="AO85" s="11">
        <f t="shared" si="265"/>
        <v>18.074999999999996</v>
      </c>
      <c r="AP85" s="11">
        <f t="shared" si="265"/>
        <v>51.016000000000005</v>
      </c>
      <c r="AQ85" s="11">
        <f>AQ83+AQ84</f>
        <v>45.736999999999995</v>
      </c>
      <c r="AR85" s="11">
        <f t="shared" ref="AR85" si="266">AR83+AR84</f>
        <v>62.436999999999998</v>
      </c>
      <c r="BM85" s="11">
        <f t="shared" si="254"/>
        <v>-57.997999999999998</v>
      </c>
      <c r="BN85" s="11">
        <f t="shared" si="255"/>
        <v>-57.997999999999998</v>
      </c>
      <c r="BO85" s="11">
        <f t="shared" si="256"/>
        <v>-11.678000000000001</v>
      </c>
      <c r="BP85" s="11">
        <f t="shared" si="257"/>
        <v>-74.958999999999975</v>
      </c>
      <c r="BQ85" s="11">
        <f t="shared" si="258"/>
        <v>81.12</v>
      </c>
      <c r="BR85" s="11">
        <f t="shared" si="259"/>
        <v>147.29900000000001</v>
      </c>
      <c r="BZ85" s="120" t="s">
        <v>658</v>
      </c>
    </row>
    <row r="86" spans="2:84">
      <c r="B86" s="2" t="s">
        <v>299</v>
      </c>
      <c r="T86" s="11">
        <f t="shared" ref="T86:AR86" si="267">T40</f>
        <v>34.506999999999998</v>
      </c>
      <c r="U86" s="11">
        <f t="shared" si="267"/>
        <v>34.694000000000003</v>
      </c>
      <c r="V86" s="11">
        <f t="shared" si="267"/>
        <v>34.840000000000003</v>
      </c>
      <c r="W86" s="11">
        <f t="shared" si="267"/>
        <v>35</v>
      </c>
      <c r="X86" s="11">
        <f t="shared" si="267"/>
        <v>35</v>
      </c>
      <c r="Y86" s="11">
        <f t="shared" si="267"/>
        <v>35.4</v>
      </c>
      <c r="Z86" s="11">
        <f t="shared" si="267"/>
        <v>36.207000000000001</v>
      </c>
      <c r="AA86" s="11">
        <f t="shared" si="267"/>
        <v>37.651000000000003</v>
      </c>
      <c r="AB86" s="11">
        <f t="shared" si="267"/>
        <v>36.454999999999998</v>
      </c>
      <c r="AC86" s="11">
        <f t="shared" si="267"/>
        <v>36.523000000000003</v>
      </c>
      <c r="AD86" s="11">
        <f t="shared" si="267"/>
        <v>36.616999999999997</v>
      </c>
      <c r="AE86" s="11">
        <f t="shared" si="267"/>
        <v>36.700000000000003</v>
      </c>
      <c r="AF86" s="11">
        <f t="shared" si="267"/>
        <v>37.646000000000001</v>
      </c>
      <c r="AG86" s="11">
        <f t="shared" si="267"/>
        <v>37.767000000000003</v>
      </c>
      <c r="AH86" s="11">
        <f t="shared" si="267"/>
        <v>37.917999999999999</v>
      </c>
      <c r="AI86" s="11">
        <f t="shared" si="267"/>
        <v>37.841000000000001</v>
      </c>
      <c r="AJ86" s="11">
        <f t="shared" si="267"/>
        <v>39.07</v>
      </c>
      <c r="AK86" s="11">
        <f t="shared" si="267"/>
        <v>38.15</v>
      </c>
      <c r="AL86" s="11">
        <f t="shared" si="267"/>
        <v>38.956000000000003</v>
      </c>
      <c r="AM86" s="11">
        <f t="shared" si="267"/>
        <v>38.4</v>
      </c>
      <c r="AN86" s="11">
        <f t="shared" si="267"/>
        <v>39.299999999999997</v>
      </c>
      <c r="AO86" s="11">
        <f t="shared" si="267"/>
        <v>38.799999999999997</v>
      </c>
      <c r="AP86" s="11">
        <f t="shared" si="267"/>
        <v>38.6</v>
      </c>
      <c r="AQ86" s="11">
        <f t="shared" si="267"/>
        <v>38.630000000000003</v>
      </c>
      <c r="AR86" s="11">
        <f t="shared" si="267"/>
        <v>38.561999999999998</v>
      </c>
      <c r="BM86" s="11">
        <f t="shared" si="254"/>
        <v>139.041</v>
      </c>
      <c r="BN86" s="11">
        <f>AA86</f>
        <v>37.651000000000003</v>
      </c>
      <c r="BO86" s="11">
        <f>AE86</f>
        <v>36.700000000000003</v>
      </c>
      <c r="BP86" s="11">
        <f>AI86</f>
        <v>37.841000000000001</v>
      </c>
      <c r="BQ86" s="11">
        <f>AM86</f>
        <v>38.4</v>
      </c>
      <c r="BR86" s="11">
        <f>AQ86</f>
        <v>38.630000000000003</v>
      </c>
      <c r="BX86" s="121" t="s">
        <v>633</v>
      </c>
    </row>
    <row r="87" spans="2:84">
      <c r="B87" s="2" t="s">
        <v>532</v>
      </c>
      <c r="T87" s="14">
        <f t="shared" ref="T87:W87" si="268">T85/T86</f>
        <v>-0.46515199814530395</v>
      </c>
      <c r="U87" s="14">
        <f t="shared" si="268"/>
        <v>-0.81881593359082261</v>
      </c>
      <c r="V87" s="14">
        <f t="shared" si="268"/>
        <v>-0.22109644087256014</v>
      </c>
      <c r="W87" s="14">
        <f t="shared" si="268"/>
        <v>-0.16674285714285711</v>
      </c>
      <c r="X87" s="14">
        <f t="shared" ref="X87:AP87" si="269">X85/X86</f>
        <v>-0.45860000000000006</v>
      </c>
      <c r="Y87" s="14">
        <f t="shared" si="269"/>
        <v>-0.80248587570621477</v>
      </c>
      <c r="Z87" s="14">
        <f t="shared" si="269"/>
        <v>-0.2127489159554781</v>
      </c>
      <c r="AA87" s="14">
        <f t="shared" si="269"/>
        <v>-0.15500252317335525</v>
      </c>
      <c r="AB87" s="14">
        <f t="shared" si="269"/>
        <v>-0.50360718694280626</v>
      </c>
      <c r="AC87" s="14">
        <f t="shared" si="269"/>
        <v>-0.18084494701968623</v>
      </c>
      <c r="AD87" s="14">
        <f t="shared" si="269"/>
        <v>0.83698828413032211</v>
      </c>
      <c r="AE87" s="14">
        <f t="shared" si="269"/>
        <v>-0.47307901907356947</v>
      </c>
      <c r="AF87" s="14">
        <f t="shared" si="269"/>
        <v>-0.25158051320193381</v>
      </c>
      <c r="AG87" s="14">
        <f t="shared" si="269"/>
        <v>-1.1651971297693751</v>
      </c>
      <c r="AH87" s="14">
        <f t="shared" si="269"/>
        <v>-0.50785906429664007</v>
      </c>
      <c r="AI87" s="14">
        <f t="shared" si="269"/>
        <v>-5.8798657540762703E-2</v>
      </c>
      <c r="AJ87" s="14">
        <f t="shared" si="269"/>
        <v>0.23637061684156641</v>
      </c>
      <c r="AK87" s="14">
        <f t="shared" si="269"/>
        <v>0.33439056356487556</v>
      </c>
      <c r="AL87" s="14">
        <f t="shared" si="269"/>
        <v>0.68056268610740323</v>
      </c>
      <c r="AM87" s="14">
        <f t="shared" si="269"/>
        <v>0.84937499999999988</v>
      </c>
      <c r="AN87" s="14">
        <f t="shared" si="269"/>
        <v>0.82623409669211212</v>
      </c>
      <c r="AO87" s="14">
        <f t="shared" si="269"/>
        <v>0.46585051546391743</v>
      </c>
      <c r="AP87" s="14">
        <f t="shared" si="269"/>
        <v>1.321658031088083</v>
      </c>
      <c r="AQ87" s="14">
        <f>AQ85/AQ86</f>
        <v>1.1839761843127101</v>
      </c>
      <c r="AR87" s="14">
        <f t="shared" ref="AR87" si="270">AR85/AR86</f>
        <v>1.6191328250609409</v>
      </c>
      <c r="BM87" s="14">
        <f t="shared" si="254"/>
        <v>-1.6718072297515438</v>
      </c>
      <c r="BN87" s="14">
        <f>SUM(X87:AA87)</f>
        <v>-1.6288373148350481</v>
      </c>
      <c r="BO87" s="14">
        <f>SUM(AB87:AE87)</f>
        <v>-0.32054286890573985</v>
      </c>
      <c r="BP87" s="14">
        <f>SUM(AF87:AI87)</f>
        <v>-1.9834353648087115</v>
      </c>
      <c r="BQ87" s="14">
        <f t="shared" si="258"/>
        <v>2.1006988665138451</v>
      </c>
      <c r="BR87" s="14">
        <f t="shared" si="259"/>
        <v>3.7977188275568228</v>
      </c>
      <c r="BY87" s="120" t="s">
        <v>1623</v>
      </c>
    </row>
    <row r="88" spans="2:84">
      <c r="BY88" s="120" t="s">
        <v>1638</v>
      </c>
    </row>
    <row r="89" spans="2:84">
      <c r="BZ89" s="120" t="s">
        <v>659</v>
      </c>
    </row>
    <row r="90" spans="2:84">
      <c r="CA90" s="120" t="s">
        <v>724</v>
      </c>
    </row>
    <row r="91" spans="2:84">
      <c r="BY91" s="120" t="s">
        <v>634</v>
      </c>
    </row>
    <row r="92" spans="2:84">
      <c r="BY92" s="120" t="s">
        <v>660</v>
      </c>
    </row>
    <row r="93" spans="2:84">
      <c r="BX93" s="2"/>
      <c r="BY93" s="2"/>
      <c r="BZ93" s="2"/>
      <c r="CA93" s="2"/>
      <c r="CB93" s="2"/>
      <c r="CC93" s="2"/>
      <c r="CD93" s="2"/>
      <c r="CE93" s="2"/>
      <c r="CF93" s="2"/>
    </row>
  </sheetData>
  <pageMargins left="0.7" right="0.7" top="0.75" bottom="0.75" header="0.3" footer="0.3"/>
  <ignoredErrors>
    <ignoredError sqref="AE26:AE27 T78:AQ78 T74:AQ76 U79:AQ79 AR74 AR78:AR79 AR76" formulaRange="1"/>
    <ignoredError sqref="BM24:BM25" evalError="1"/>
    <ignoredError sqref="BM26:BM27 BM41 BM29:BM32" evalError="1" formulaRange="1"/>
    <ignoredError sqref="BM28:BR28 BM33:BS33 BM37:BR37 BN36:BP36 BM35:BR35 BN34:BR34 BN38:BR38 AQ83:AQ84 BM86:BR86"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opLeftCell="BM1" zoomScale="85" zoomScaleNormal="85" workbookViewId="0">
      <selection activeCell="BT3" sqref="BT3"/>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330</v>
      </c>
    </row>
    <row r="2" spans="8:109" ht="15">
      <c r="H2" s="25" t="s">
        <v>533</v>
      </c>
      <c r="AB2" s="1" t="s">
        <v>679</v>
      </c>
      <c r="BT2" s="1" t="s">
        <v>722</v>
      </c>
    </row>
    <row r="3" spans="8:109" ht="15">
      <c r="AB3" s="2" t="s">
        <v>618</v>
      </c>
    </row>
    <row r="5" spans="8:109">
      <c r="AB5" s="2" t="s">
        <v>334</v>
      </c>
    </row>
    <row r="6" spans="8:109">
      <c r="AC6" s="2" t="s">
        <v>335</v>
      </c>
    </row>
    <row r="7" spans="8:109">
      <c r="AC7" s="2" t="s">
        <v>566</v>
      </c>
    </row>
    <row r="8" spans="8:109">
      <c r="AC8" s="2" t="s">
        <v>567</v>
      </c>
    </row>
    <row r="9" spans="8:109">
      <c r="AD9" s="2" t="s">
        <v>541</v>
      </c>
    </row>
    <row r="10" spans="8:109">
      <c r="AD10" s="2" t="s">
        <v>619</v>
      </c>
    </row>
    <row r="12" spans="8:109">
      <c r="AB12" s="2" t="s">
        <v>568</v>
      </c>
    </row>
    <row r="13" spans="8:109">
      <c r="AC13" s="2" t="s">
        <v>441</v>
      </c>
    </row>
    <row r="14" spans="8:109">
      <c r="AC14" s="2" t="s">
        <v>442</v>
      </c>
    </row>
    <row r="15" spans="8:109">
      <c r="AD15" s="2" t="s">
        <v>569</v>
      </c>
    </row>
    <row r="17" spans="28:52" ht="15">
      <c r="AB17" s="1" t="s">
        <v>513</v>
      </c>
      <c r="AJ17" s="1" t="s">
        <v>752</v>
      </c>
    </row>
    <row r="18" spans="28:52">
      <c r="AB18" s="36"/>
      <c r="AC18" s="37" t="s">
        <v>467</v>
      </c>
      <c r="AD18" s="36"/>
      <c r="AJ18" s="2" t="s">
        <v>542</v>
      </c>
    </row>
    <row r="19" spans="28:52">
      <c r="AB19" s="36"/>
      <c r="AC19" s="36"/>
      <c r="AD19" s="37" t="s">
        <v>571</v>
      </c>
      <c r="AJ19" s="2" t="s">
        <v>441</v>
      </c>
    </row>
    <row r="20" spans="28:52">
      <c r="AB20" s="36"/>
      <c r="AC20" s="36"/>
      <c r="AD20" s="37" t="s">
        <v>570</v>
      </c>
      <c r="AJ20" s="2" t="s">
        <v>562</v>
      </c>
    </row>
    <row r="22" spans="28:52" ht="15">
      <c r="AB22" s="1" t="s">
        <v>680</v>
      </c>
      <c r="AM22" s="1" t="s">
        <v>707</v>
      </c>
    </row>
    <row r="23" spans="28:52" ht="15">
      <c r="AB23" s="1" t="s">
        <v>651</v>
      </c>
      <c r="AN23" s="2" t="s">
        <v>1716</v>
      </c>
    </row>
    <row r="24" spans="28:52" ht="15">
      <c r="AZ24"/>
    </row>
    <row r="33" spans="8:45" ht="15">
      <c r="H33" s="1" t="s">
        <v>561</v>
      </c>
    </row>
    <row r="39" spans="8:45" ht="15">
      <c r="AS39"/>
    </row>
    <row r="49" spans="28:30">
      <c r="AB49" s="2" t="s">
        <v>745</v>
      </c>
    </row>
    <row r="50" spans="28:30">
      <c r="AC50" s="2" t="s">
        <v>703</v>
      </c>
    </row>
    <row r="51" spans="28:30">
      <c r="AC51" s="2" t="s">
        <v>742</v>
      </c>
    </row>
    <row r="52" spans="28:30">
      <c r="AD52" s="2" t="s">
        <v>808</v>
      </c>
    </row>
    <row r="53" spans="28:30" ht="15">
      <c r="AC53" s="2" t="s">
        <v>1656</v>
      </c>
    </row>
    <row r="54" spans="28:30">
      <c r="AC54" s="2" t="s">
        <v>1642</v>
      </c>
    </row>
    <row r="55" spans="28:30">
      <c r="AB55" s="2" t="s">
        <v>743</v>
      </c>
    </row>
    <row r="56" spans="28:30">
      <c r="AC56" s="2" t="s">
        <v>1643</v>
      </c>
    </row>
    <row r="57" spans="28:30">
      <c r="AC57" s="2" t="s">
        <v>744</v>
      </c>
    </row>
    <row r="58" spans="28:30">
      <c r="AD58" s="2" t="s">
        <v>753</v>
      </c>
    </row>
    <row r="59" spans="28:30">
      <c r="AB59" s="2" t="s">
        <v>757</v>
      </c>
    </row>
    <row r="60" spans="28:30">
      <c r="AB60" s="2" t="s">
        <v>746</v>
      </c>
    </row>
    <row r="61" spans="28:30">
      <c r="AC61" s="2" t="s">
        <v>1644</v>
      </c>
    </row>
    <row r="62" spans="28:30">
      <c r="AD62" s="2" t="s">
        <v>758</v>
      </c>
    </row>
    <row r="63" spans="28:30">
      <c r="AB63" s="2" t="s">
        <v>747</v>
      </c>
    </row>
    <row r="64" spans="28:30">
      <c r="AB64" s="2" t="s">
        <v>1645</v>
      </c>
    </row>
    <row r="65" spans="8:29">
      <c r="AB65" s="2" t="s">
        <v>1646</v>
      </c>
    </row>
    <row r="66" spans="8:29" ht="15">
      <c r="H66" s="1" t="s">
        <v>1550</v>
      </c>
      <c r="AC66" s="2" t="s">
        <v>748</v>
      </c>
    </row>
    <row r="67" spans="8:29" ht="15">
      <c r="AB67" s="1" t="s">
        <v>771</v>
      </c>
    </row>
    <row r="69" spans="8:29" ht="15">
      <c r="AB69" s="1" t="s">
        <v>749</v>
      </c>
    </row>
    <row r="75" spans="8:29" ht="13.5" customHeight="1"/>
    <row r="97" spans="1:30">
      <c r="AB97" s="2" t="s">
        <v>704</v>
      </c>
    </row>
    <row r="98" spans="1:30">
      <c r="K98" s="2" t="s">
        <v>1569</v>
      </c>
      <c r="AC98" s="2" t="s">
        <v>702</v>
      </c>
    </row>
    <row r="99" spans="1:30">
      <c r="L99" s="2" t="s">
        <v>1648</v>
      </c>
      <c r="AC99" s="2" t="s">
        <v>701</v>
      </c>
    </row>
    <row r="100" spans="1:30">
      <c r="K100" s="2" t="s">
        <v>560</v>
      </c>
      <c r="AB100" s="2" t="s">
        <v>705</v>
      </c>
    </row>
    <row r="101" spans="1:30">
      <c r="K101" s="2" t="s">
        <v>811</v>
      </c>
      <c r="AC101" s="2" t="s">
        <v>706</v>
      </c>
    </row>
    <row r="102" spans="1:30" ht="15">
      <c r="I102" s="1"/>
      <c r="L102" s="2" t="s">
        <v>1641</v>
      </c>
      <c r="AB102" s="2" t="s">
        <v>664</v>
      </c>
    </row>
    <row r="103" spans="1:30">
      <c r="L103" s="2" t="s">
        <v>1563</v>
      </c>
      <c r="AC103" s="2" t="s">
        <v>665</v>
      </c>
    </row>
    <row r="104" spans="1:30">
      <c r="M104" s="2" t="s">
        <v>1565</v>
      </c>
      <c r="AD104" s="2" t="s">
        <v>666</v>
      </c>
    </row>
    <row r="105" spans="1:30">
      <c r="I105" s="6"/>
      <c r="J105" s="6" t="s">
        <v>266</v>
      </c>
      <c r="K105" s="7">
        <f>MIN($G$113:$G$1116)</f>
        <v>-0.13203174603174594</v>
      </c>
      <c r="M105" s="2" t="s">
        <v>1564</v>
      </c>
      <c r="AB105" s="2" t="s">
        <v>759</v>
      </c>
    </row>
    <row r="106" spans="1:30">
      <c r="I106" s="17"/>
      <c r="J106" s="6" t="s">
        <v>265</v>
      </c>
      <c r="K106" s="7">
        <f>MAX($G$113:$G$1116)</f>
        <v>0.18352724177071522</v>
      </c>
      <c r="M106" s="2" t="s">
        <v>1566</v>
      </c>
      <c r="AC106" s="2" t="s">
        <v>760</v>
      </c>
    </row>
    <row r="107" spans="1:30">
      <c r="I107" s="6"/>
      <c r="J107" s="6" t="s">
        <v>268</v>
      </c>
      <c r="K107" s="7">
        <f>AVERAGE($G$113:$G$1116)</f>
        <v>3.5008473359527444E-4</v>
      </c>
      <c r="AC107" s="2" t="s">
        <v>667</v>
      </c>
    </row>
    <row r="108" spans="1:30">
      <c r="I108" s="17"/>
      <c r="J108" s="6" t="s">
        <v>810</v>
      </c>
      <c r="K108" s="7">
        <f>MEDIAN($G$113:$G$1116)</f>
        <v>-3.2415430792942512E-4</v>
      </c>
      <c r="AC108" s="2" t="s">
        <v>668</v>
      </c>
    </row>
    <row r="109" spans="1:30">
      <c r="I109" s="17"/>
      <c r="J109" s="6" t="s">
        <v>267</v>
      </c>
      <c r="K109" s="7">
        <f>_xlfn.STDEV.P($G$113:$G$1116)</f>
        <v>2.4922310845394476E-2</v>
      </c>
      <c r="AC109" s="2" t="s">
        <v>669</v>
      </c>
    </row>
    <row r="110" spans="1:30" ht="15">
      <c r="I110" s="17"/>
      <c r="J110" s="17" t="s">
        <v>1562</v>
      </c>
      <c r="K110" s="7">
        <f>3*K109</f>
        <v>7.4766932536183425E-2</v>
      </c>
      <c r="L110" s="6"/>
      <c r="M110" s="1" t="s">
        <v>1653</v>
      </c>
      <c r="AC110" s="1" t="s">
        <v>671</v>
      </c>
    </row>
    <row r="111" spans="1:30" ht="15">
      <c r="I111" s="6"/>
      <c r="J111" s="17" t="s">
        <v>1561</v>
      </c>
      <c r="K111" s="6">
        <v>0.56000000000000005</v>
      </c>
      <c r="L111" s="6"/>
      <c r="M111" s="1" t="s">
        <v>806</v>
      </c>
      <c r="AB111" s="2" t="s">
        <v>761</v>
      </c>
    </row>
    <row r="112" spans="1:30" ht="15" customHeight="1">
      <c r="A112" s="68" t="s">
        <v>264</v>
      </c>
      <c r="B112" s="68" t="s">
        <v>263</v>
      </c>
      <c r="C112" s="68" t="s">
        <v>262</v>
      </c>
      <c r="D112" s="68" t="s">
        <v>261</v>
      </c>
      <c r="E112" s="68" t="s">
        <v>260</v>
      </c>
      <c r="F112" s="68" t="s">
        <v>259</v>
      </c>
      <c r="G112" s="6" t="s">
        <v>269</v>
      </c>
      <c r="AC112" s="2" t="s">
        <v>672</v>
      </c>
    </row>
    <row r="113" spans="1:30" ht="15" customHeight="1">
      <c r="A113" s="67">
        <v>296.91000000000003</v>
      </c>
      <c r="B113" s="67">
        <v>301.14999999999998</v>
      </c>
      <c r="C113" s="67">
        <v>293.32</v>
      </c>
      <c r="D113" s="67">
        <v>297.44</v>
      </c>
      <c r="E113" s="67">
        <v>572291</v>
      </c>
      <c r="F113" s="67" t="s">
        <v>812</v>
      </c>
      <c r="G113" s="5">
        <f>A113/D113-1</f>
        <v>-1.7818719741795608E-3</v>
      </c>
      <c r="I113" s="8" t="s">
        <v>1632</v>
      </c>
      <c r="J113" s="117">
        <v>1004</v>
      </c>
      <c r="AC113" s="2" t="s">
        <v>670</v>
      </c>
    </row>
    <row r="114" spans="1:30" ht="15" customHeight="1" thickBot="1">
      <c r="A114" s="67">
        <v>297.32</v>
      </c>
      <c r="B114" s="67">
        <v>302.99</v>
      </c>
      <c r="C114" s="67">
        <v>293.92</v>
      </c>
      <c r="D114" s="67">
        <v>300</v>
      </c>
      <c r="E114" s="67">
        <v>489790</v>
      </c>
      <c r="F114" s="67" t="s">
        <v>813</v>
      </c>
      <c r="G114" s="5">
        <f t="shared" ref="G114:G177" si="0">A114/D114-1</f>
        <v>-8.9333333333333487E-3</v>
      </c>
      <c r="I114" s="2" t="s">
        <v>1631</v>
      </c>
      <c r="L114" s="2" t="s">
        <v>1634</v>
      </c>
      <c r="P114" s="2" t="s">
        <v>1633</v>
      </c>
      <c r="AD114" s="2" t="s">
        <v>762</v>
      </c>
    </row>
    <row r="115" spans="1:30" ht="15" customHeight="1">
      <c r="A115" s="67">
        <v>299.77999999999997</v>
      </c>
      <c r="B115" s="67">
        <v>305.74299999999999</v>
      </c>
      <c r="C115" s="67">
        <v>292.93939999999998</v>
      </c>
      <c r="D115" s="67">
        <v>300</v>
      </c>
      <c r="E115" s="67">
        <v>606068</v>
      </c>
      <c r="F115" s="67" t="s">
        <v>805</v>
      </c>
      <c r="G115" s="5">
        <f t="shared" si="0"/>
        <v>-7.3333333333347461E-4</v>
      </c>
      <c r="I115" s="72" t="s">
        <v>1547</v>
      </c>
      <c r="J115" s="72" t="s">
        <v>1549</v>
      </c>
      <c r="K115" s="67"/>
      <c r="L115" s="76" t="s">
        <v>1559</v>
      </c>
      <c r="M115" s="77" t="s">
        <v>1560</v>
      </c>
      <c r="P115" s="76" t="s">
        <v>1551</v>
      </c>
      <c r="Q115" s="77" t="s">
        <v>1552</v>
      </c>
    </row>
    <row r="116" spans="1:30" ht="15">
      <c r="A116" s="67">
        <v>298.25</v>
      </c>
      <c r="B116" s="67">
        <v>300.60449999999997</v>
      </c>
      <c r="C116" s="67">
        <v>273.91340000000002</v>
      </c>
      <c r="D116" s="67">
        <v>300</v>
      </c>
      <c r="E116" s="67">
        <v>1574699</v>
      </c>
      <c r="F116" s="67" t="s">
        <v>804</v>
      </c>
      <c r="G116" s="5">
        <f t="shared" si="0"/>
        <v>-5.833333333333357E-3</v>
      </c>
      <c r="I116" s="70">
        <v>-7.4999999999999997E-2</v>
      </c>
      <c r="J116">
        <v>1</v>
      </c>
      <c r="K116" s="67"/>
      <c r="L116" s="2">
        <v>-7.7499999999999999E-2</v>
      </c>
      <c r="M116" s="2">
        <f t="shared" ref="M116:M147" si="1">_xlfn.NORM.DIST(L116,$K$107,$K$109,FALSE)</f>
        <v>0.12175671053333864</v>
      </c>
      <c r="O116" s="2" t="s">
        <v>268</v>
      </c>
      <c r="P116" s="5">
        <f>K107</f>
        <v>3.5008473359527444E-4</v>
      </c>
      <c r="Q116" s="2">
        <v>0</v>
      </c>
    </row>
    <row r="117" spans="1:30" ht="15">
      <c r="A117" s="67">
        <v>278.77</v>
      </c>
      <c r="B117" s="67">
        <v>285.64999999999998</v>
      </c>
      <c r="C117" s="67">
        <v>275.7201</v>
      </c>
      <c r="D117" s="67">
        <v>282.74</v>
      </c>
      <c r="E117" s="67">
        <v>834790</v>
      </c>
      <c r="F117" s="67" t="s">
        <v>803</v>
      </c>
      <c r="G117" s="5">
        <f t="shared" si="0"/>
        <v>-1.4041168564759232E-2</v>
      </c>
      <c r="I117" s="70">
        <v>-7.2499999999999995E-2</v>
      </c>
      <c r="J117">
        <v>1</v>
      </c>
      <c r="K117" s="67"/>
      <c r="L117" s="2">
        <v>-7.4999999999999997E-2</v>
      </c>
      <c r="M117" s="2">
        <f t="shared" si="1"/>
        <v>0.16572643532551629</v>
      </c>
      <c r="P117" s="5">
        <f>K107</f>
        <v>3.5008473359527444E-4</v>
      </c>
      <c r="Q117" s="2">
        <v>25</v>
      </c>
    </row>
    <row r="118" spans="1:30" ht="15">
      <c r="A118" s="67">
        <v>277.22000000000003</v>
      </c>
      <c r="B118" s="67">
        <v>277.22000000000003</v>
      </c>
      <c r="C118" s="67">
        <v>270.02</v>
      </c>
      <c r="D118" s="67">
        <v>274</v>
      </c>
      <c r="E118" s="67">
        <v>728380</v>
      </c>
      <c r="F118" s="67" t="s">
        <v>802</v>
      </c>
      <c r="G118" s="5">
        <f t="shared" si="0"/>
        <v>1.1751824817518353E-2</v>
      </c>
      <c r="I118" s="70">
        <v>-6.9999999999999993E-2</v>
      </c>
      <c r="J118">
        <v>1</v>
      </c>
      <c r="K118" s="67"/>
      <c r="L118" s="2">
        <f t="shared" ref="L118:L149" si="2">L117+0.0025</f>
        <v>-7.2499999999999995E-2</v>
      </c>
      <c r="M118" s="2">
        <f t="shared" si="1"/>
        <v>0.22331639508899631</v>
      </c>
      <c r="O118" s="73" t="s">
        <v>1553</v>
      </c>
      <c r="P118" s="5">
        <f>$K$107+$K$109*-3</f>
        <v>-7.4416847802588157E-2</v>
      </c>
      <c r="Q118" s="2">
        <v>0</v>
      </c>
      <c r="AB118" s="1" t="s">
        <v>756</v>
      </c>
    </row>
    <row r="119" spans="1:30" ht="15">
      <c r="A119" s="67">
        <v>270.64</v>
      </c>
      <c r="B119" s="67">
        <v>278.58999999999997</v>
      </c>
      <c r="C119" s="67">
        <v>268.14999999999998</v>
      </c>
      <c r="D119" s="67">
        <v>277</v>
      </c>
      <c r="E119" s="67">
        <v>502045</v>
      </c>
      <c r="F119" s="67" t="s">
        <v>801</v>
      </c>
      <c r="G119" s="5">
        <f t="shared" si="0"/>
        <v>-2.2960288808664298E-2</v>
      </c>
      <c r="I119" s="70">
        <v>-6.7499999999999991E-2</v>
      </c>
      <c r="J119">
        <v>0</v>
      </c>
      <c r="K119" s="67"/>
      <c r="L119" s="2">
        <f t="shared" si="2"/>
        <v>-6.9999999999999993E-2</v>
      </c>
      <c r="M119" s="2">
        <f t="shared" si="1"/>
        <v>0.29790607870469921</v>
      </c>
      <c r="O119" s="14"/>
      <c r="P119" s="5">
        <f>$K$107+$K$109*-3</f>
        <v>-7.4416847802588157E-2</v>
      </c>
      <c r="Q119" s="2">
        <v>1</v>
      </c>
    </row>
    <row r="120" spans="1:30" ht="15">
      <c r="A120" s="67">
        <v>277.35000000000002</v>
      </c>
      <c r="B120" s="67">
        <v>280.77</v>
      </c>
      <c r="C120" s="67">
        <v>273.03469999999999</v>
      </c>
      <c r="D120" s="67">
        <v>277.5</v>
      </c>
      <c r="E120" s="67">
        <v>326830</v>
      </c>
      <c r="F120" s="67" t="s">
        <v>800</v>
      </c>
      <c r="G120" s="5">
        <f t="shared" si="0"/>
        <v>-5.40540540540424E-4</v>
      </c>
      <c r="I120" s="70">
        <v>-6.4999999999999988E-2</v>
      </c>
      <c r="J120">
        <v>2</v>
      </c>
      <c r="K120" s="67"/>
      <c r="L120" s="2">
        <f t="shared" si="2"/>
        <v>-6.7499999999999991E-2</v>
      </c>
      <c r="M120" s="2">
        <f t="shared" si="1"/>
        <v>0.39343053030094327</v>
      </c>
      <c r="O120" s="73" t="s">
        <v>1554</v>
      </c>
      <c r="P120" s="5">
        <f>$K$107+$K$109*-2</f>
        <v>-4.9494536957193677E-2</v>
      </c>
      <c r="Q120" s="2">
        <v>0</v>
      </c>
    </row>
    <row r="121" spans="1:30" ht="15">
      <c r="A121" s="67">
        <v>277.79000000000002</v>
      </c>
      <c r="B121" s="67">
        <v>278.74</v>
      </c>
      <c r="C121" s="67">
        <v>271.13</v>
      </c>
      <c r="D121" s="67">
        <v>272.01</v>
      </c>
      <c r="E121" s="67">
        <v>433558</v>
      </c>
      <c r="F121" s="67" t="s">
        <v>799</v>
      </c>
      <c r="G121" s="5">
        <f t="shared" si="0"/>
        <v>2.1249218778721435E-2</v>
      </c>
      <c r="I121" s="70">
        <v>-6.2499999999999986E-2</v>
      </c>
      <c r="J121">
        <v>0</v>
      </c>
      <c r="K121" s="67"/>
      <c r="L121" s="2">
        <f t="shared" si="2"/>
        <v>-6.4999999999999988E-2</v>
      </c>
      <c r="M121" s="2">
        <f t="shared" si="1"/>
        <v>0.51438309634328894</v>
      </c>
      <c r="O121" s="14"/>
      <c r="P121" s="5">
        <f>$K$107+$K$109*-2</f>
        <v>-4.9494536957193677E-2</v>
      </c>
      <c r="Q121" s="2">
        <v>7</v>
      </c>
    </row>
    <row r="122" spans="1:30" ht="15">
      <c r="A122" s="67">
        <v>272.26</v>
      </c>
      <c r="B122" s="67">
        <v>275</v>
      </c>
      <c r="C122" s="67">
        <v>269.58999999999997</v>
      </c>
      <c r="D122" s="67">
        <v>271.20999999999998</v>
      </c>
      <c r="E122" s="67">
        <v>343522</v>
      </c>
      <c r="F122" s="67" t="s">
        <v>798</v>
      </c>
      <c r="G122" s="5">
        <f t="shared" si="0"/>
        <v>3.8715386600789436E-3</v>
      </c>
      <c r="I122" s="70">
        <v>-5.9999999999999984E-2</v>
      </c>
      <c r="J122">
        <v>2</v>
      </c>
      <c r="K122" s="67"/>
      <c r="L122" s="2">
        <f t="shared" si="2"/>
        <v>-6.2499999999999986E-2</v>
      </c>
      <c r="M122" s="2">
        <f t="shared" si="1"/>
        <v>0.6657869147290929</v>
      </c>
      <c r="O122" s="74" t="s">
        <v>1555</v>
      </c>
      <c r="P122" s="5">
        <f>$K$107+$K$109*-1</f>
        <v>-2.4572226111799201E-2</v>
      </c>
      <c r="Q122" s="2">
        <v>0</v>
      </c>
    </row>
    <row r="123" spans="1:30" ht="15">
      <c r="A123" s="67">
        <v>270.27</v>
      </c>
      <c r="B123" s="67">
        <v>278.39</v>
      </c>
      <c r="C123" s="67">
        <v>266.75</v>
      </c>
      <c r="D123" s="67">
        <v>278.39</v>
      </c>
      <c r="E123" s="67">
        <v>394203</v>
      </c>
      <c r="F123" s="67" t="s">
        <v>797</v>
      </c>
      <c r="G123" s="5">
        <f t="shared" si="0"/>
        <v>-2.9167714357555941E-2</v>
      </c>
      <c r="I123" s="70">
        <v>-5.7499999999999982E-2</v>
      </c>
      <c r="J123">
        <v>0</v>
      </c>
      <c r="K123" s="67"/>
      <c r="L123" s="2">
        <f t="shared" si="2"/>
        <v>-5.9999999999999984E-2</v>
      </c>
      <c r="M123" s="2">
        <f t="shared" si="1"/>
        <v>0.85312714212129315</v>
      </c>
      <c r="P123" s="5">
        <f>$K$107+$K$109*-1</f>
        <v>-2.4572226111799201E-2</v>
      </c>
      <c r="Q123" s="2">
        <v>15</v>
      </c>
    </row>
    <row r="124" spans="1:30" ht="15">
      <c r="A124" s="67">
        <v>272.32</v>
      </c>
      <c r="B124" s="67">
        <v>277.25</v>
      </c>
      <c r="C124" s="67">
        <v>264.45499999999998</v>
      </c>
      <c r="D124" s="67">
        <v>269.60000000000002</v>
      </c>
      <c r="E124" s="67">
        <v>388806</v>
      </c>
      <c r="F124" s="67" t="s">
        <v>796</v>
      </c>
      <c r="G124" s="5">
        <f t="shared" si="0"/>
        <v>1.0089020771513191E-2</v>
      </c>
      <c r="I124" s="70">
        <v>-5.4999999999999979E-2</v>
      </c>
      <c r="J124">
        <v>2</v>
      </c>
      <c r="K124" s="67"/>
      <c r="L124" s="2">
        <f t="shared" si="2"/>
        <v>-5.7499999999999982E-2</v>
      </c>
      <c r="M124" s="2">
        <f t="shared" si="1"/>
        <v>1.082236556927398</v>
      </c>
      <c r="O124" s="2" t="s">
        <v>1556</v>
      </c>
      <c r="P124" s="5">
        <f>$K$107+$K$109*1</f>
        <v>2.5272395578989752E-2</v>
      </c>
      <c r="Q124" s="2">
        <v>0</v>
      </c>
    </row>
    <row r="125" spans="1:30" ht="15">
      <c r="A125" s="67">
        <v>268.57</v>
      </c>
      <c r="B125" s="67">
        <v>275.38</v>
      </c>
      <c r="C125" s="67">
        <v>261.52</v>
      </c>
      <c r="D125" s="67">
        <v>271.45999999999998</v>
      </c>
      <c r="E125" s="67">
        <v>509513</v>
      </c>
      <c r="F125" s="67" t="s">
        <v>795</v>
      </c>
      <c r="G125" s="5">
        <f t="shared" si="0"/>
        <v>-1.0646135710601912E-2</v>
      </c>
      <c r="I125" s="70">
        <v>-5.2499999999999977E-2</v>
      </c>
      <c r="J125">
        <v>7</v>
      </c>
      <c r="K125" s="67"/>
      <c r="L125" s="2">
        <f t="shared" si="2"/>
        <v>-5.4999999999999979E-2</v>
      </c>
      <c r="M125" s="2">
        <f t="shared" si="1"/>
        <v>1.3591286816430226</v>
      </c>
      <c r="P125" s="5">
        <f>$K$107+$K$109*1</f>
        <v>2.5272395578989752E-2</v>
      </c>
      <c r="Q125" s="2">
        <v>15</v>
      </c>
    </row>
    <row r="126" spans="1:30" ht="15">
      <c r="A126" s="67">
        <v>275.45999999999998</v>
      </c>
      <c r="B126" s="67">
        <v>279.06</v>
      </c>
      <c r="C126" s="67">
        <v>253.27</v>
      </c>
      <c r="D126" s="67">
        <v>253.27</v>
      </c>
      <c r="E126" s="67">
        <v>685564</v>
      </c>
      <c r="F126" s="67" t="s">
        <v>794</v>
      </c>
      <c r="G126" s="5">
        <f t="shared" si="0"/>
        <v>8.7614008765349194E-2</v>
      </c>
      <c r="I126" s="70">
        <v>-4.9999999999999975E-2</v>
      </c>
      <c r="J126">
        <v>2</v>
      </c>
      <c r="K126" s="67"/>
      <c r="L126" s="2">
        <f t="shared" si="2"/>
        <v>-5.2499999999999977E-2</v>
      </c>
      <c r="M126" s="2">
        <f t="shared" si="1"/>
        <v>1.6897750443815549</v>
      </c>
      <c r="O126" s="75" t="s">
        <v>1557</v>
      </c>
      <c r="P126" s="5">
        <f>$K$107+$K$109*2</f>
        <v>5.0194706424384228E-2</v>
      </c>
      <c r="Q126" s="2">
        <v>0</v>
      </c>
    </row>
    <row r="127" spans="1:30" ht="15">
      <c r="A127" s="67">
        <v>255.82</v>
      </c>
      <c r="B127" s="67">
        <v>274.47879999999998</v>
      </c>
      <c r="C127" s="67">
        <v>254.49</v>
      </c>
      <c r="D127" s="67">
        <v>270</v>
      </c>
      <c r="E127" s="67">
        <v>434838</v>
      </c>
      <c r="F127" s="67" t="s">
        <v>793</v>
      </c>
      <c r="G127" s="5">
        <f t="shared" si="0"/>
        <v>-5.251851851851852E-2</v>
      </c>
      <c r="I127" s="70">
        <v>-4.7499999999999973E-2</v>
      </c>
      <c r="J127">
        <v>7</v>
      </c>
      <c r="K127" s="67"/>
      <c r="L127" s="2">
        <f t="shared" si="2"/>
        <v>-4.9999999999999975E-2</v>
      </c>
      <c r="M127" s="2">
        <f t="shared" si="1"/>
        <v>2.0798266711855637</v>
      </c>
      <c r="P127" s="5">
        <f>$K$107+$K$109*2</f>
        <v>5.0194706424384228E-2</v>
      </c>
      <c r="Q127" s="2">
        <v>7</v>
      </c>
    </row>
    <row r="128" spans="1:30" ht="15">
      <c r="A128" s="67">
        <v>263.49</v>
      </c>
      <c r="B128" s="67">
        <v>275.8</v>
      </c>
      <c r="C128" s="67">
        <v>246.45</v>
      </c>
      <c r="D128" s="67">
        <v>252</v>
      </c>
      <c r="E128" s="67">
        <v>501999</v>
      </c>
      <c r="F128" s="67" t="s">
        <v>792</v>
      </c>
      <c r="G128" s="5">
        <f t="shared" si="0"/>
        <v>4.5595238095238022E-2</v>
      </c>
      <c r="I128" s="70">
        <v>-4.4999999999999971E-2</v>
      </c>
      <c r="J128">
        <v>5</v>
      </c>
      <c r="K128" s="67"/>
      <c r="L128" s="2">
        <f t="shared" si="2"/>
        <v>-4.7499999999999973E-2</v>
      </c>
      <c r="M128" s="2">
        <f t="shared" si="1"/>
        <v>2.5342842896496385</v>
      </c>
      <c r="O128" s="75" t="s">
        <v>1558</v>
      </c>
      <c r="P128" s="5">
        <f>$K$107+$K$109*3</f>
        <v>7.5117017269778694E-2</v>
      </c>
      <c r="Q128" s="2">
        <v>0</v>
      </c>
    </row>
    <row r="129" spans="1:17" ht="15">
      <c r="A129" s="67">
        <v>262.27999999999997</v>
      </c>
      <c r="B129" s="67">
        <v>267.46499999999997</v>
      </c>
      <c r="C129" s="67">
        <v>255</v>
      </c>
      <c r="D129" s="67">
        <v>263.38</v>
      </c>
      <c r="E129" s="67">
        <v>576802</v>
      </c>
      <c r="F129" s="67" t="s">
        <v>791</v>
      </c>
      <c r="G129" s="5">
        <f t="shared" si="0"/>
        <v>-4.1764750550535856E-3</v>
      </c>
      <c r="I129" s="70">
        <v>-4.2499999999999968E-2</v>
      </c>
      <c r="J129">
        <v>2</v>
      </c>
      <c r="K129" s="67"/>
      <c r="L129" s="2">
        <f t="shared" si="2"/>
        <v>-4.4999999999999971E-2</v>
      </c>
      <c r="M129" s="2">
        <f t="shared" si="1"/>
        <v>3.0571268288032196</v>
      </c>
      <c r="O129" s="75"/>
      <c r="P129" s="5">
        <f>$K$107+$K$109*3</f>
        <v>7.5117017269778694E-2</v>
      </c>
      <c r="Q129" s="2">
        <v>1</v>
      </c>
    </row>
    <row r="130" spans="1:17" ht="15">
      <c r="A130" s="67">
        <v>273.24</v>
      </c>
      <c r="B130" s="67">
        <v>278.7</v>
      </c>
      <c r="C130" s="67">
        <v>265.05</v>
      </c>
      <c r="D130" s="67">
        <v>265.05</v>
      </c>
      <c r="E130" s="67">
        <v>542229</v>
      </c>
      <c r="F130" s="67" t="s">
        <v>790</v>
      </c>
      <c r="G130" s="5">
        <f t="shared" si="0"/>
        <v>3.0899830220713076E-2</v>
      </c>
      <c r="I130" s="70">
        <v>-3.9999999999999966E-2</v>
      </c>
      <c r="J130">
        <v>12</v>
      </c>
      <c r="K130" s="67"/>
      <c r="L130" s="2">
        <f t="shared" si="2"/>
        <v>-4.2499999999999968E-2</v>
      </c>
      <c r="M130" s="2">
        <f t="shared" si="1"/>
        <v>3.6509132879381645</v>
      </c>
    </row>
    <row r="131" spans="1:17" ht="15">
      <c r="A131" s="67">
        <v>277.35000000000002</v>
      </c>
      <c r="B131" s="67">
        <v>279.79000000000002</v>
      </c>
      <c r="C131" s="67">
        <v>265.76</v>
      </c>
      <c r="D131" s="67">
        <v>266.93</v>
      </c>
      <c r="E131" s="67">
        <v>361870</v>
      </c>
      <c r="F131" s="67" t="s">
        <v>789</v>
      </c>
      <c r="G131" s="5">
        <f t="shared" si="0"/>
        <v>3.9036451504139702E-2</v>
      </c>
      <c r="I131" s="70">
        <v>-3.7499999999999964E-2</v>
      </c>
      <c r="J131">
        <v>8</v>
      </c>
      <c r="K131" s="67"/>
      <c r="L131" s="2">
        <f t="shared" si="2"/>
        <v>-3.9999999999999966E-2</v>
      </c>
      <c r="M131" s="2">
        <f t="shared" si="1"/>
        <v>4.3163784635877072</v>
      </c>
    </row>
    <row r="132" spans="1:17" ht="15">
      <c r="A132" s="67">
        <v>271.13</v>
      </c>
      <c r="B132" s="67">
        <v>272.77999999999997</v>
      </c>
      <c r="C132" s="67">
        <v>264.67</v>
      </c>
      <c r="D132" s="67">
        <v>267.17</v>
      </c>
      <c r="E132" s="67">
        <v>411680</v>
      </c>
      <c r="F132" s="67" t="s">
        <v>788</v>
      </c>
      <c r="G132" s="5">
        <f t="shared" si="0"/>
        <v>1.4822023430774323E-2</v>
      </c>
      <c r="I132" s="70">
        <v>-3.4999999999999962E-2</v>
      </c>
      <c r="J132">
        <v>10</v>
      </c>
      <c r="K132" s="67"/>
      <c r="L132" s="2">
        <f t="shared" si="2"/>
        <v>-3.7499999999999964E-2</v>
      </c>
      <c r="M132" s="2">
        <f t="shared" si="1"/>
        <v>5.0520478185070772</v>
      </c>
    </row>
    <row r="133" spans="1:17" ht="15">
      <c r="A133" s="67">
        <v>267.41000000000003</v>
      </c>
      <c r="B133" s="67">
        <v>273.8</v>
      </c>
      <c r="C133" s="67">
        <v>258.95</v>
      </c>
      <c r="D133" s="67">
        <v>264.58</v>
      </c>
      <c r="E133" s="67">
        <v>370000</v>
      </c>
      <c r="F133" s="67" t="s">
        <v>787</v>
      </c>
      <c r="G133" s="5">
        <f t="shared" si="0"/>
        <v>1.0696197747373404E-2</v>
      </c>
      <c r="I133" s="70">
        <v>-3.2499999999999959E-2</v>
      </c>
      <c r="J133">
        <v>6</v>
      </c>
      <c r="K133" s="67"/>
      <c r="L133" s="2">
        <f t="shared" si="2"/>
        <v>-3.4999999999999962E-2</v>
      </c>
      <c r="M133" s="2">
        <f t="shared" si="1"/>
        <v>5.8539003473180768</v>
      </c>
    </row>
    <row r="134" spans="1:17" ht="15">
      <c r="A134" s="67">
        <v>267.56</v>
      </c>
      <c r="B134" s="67">
        <v>269.59500000000003</v>
      </c>
      <c r="C134" s="67">
        <v>264.45</v>
      </c>
      <c r="D134" s="67">
        <v>267.70999999999998</v>
      </c>
      <c r="E134" s="67">
        <v>304934</v>
      </c>
      <c r="F134" s="67" t="s">
        <v>258</v>
      </c>
      <c r="G134" s="5">
        <f t="shared" si="0"/>
        <v>-5.6030779574900436E-4</v>
      </c>
      <c r="I134" s="70">
        <v>-2.9999999999999961E-2</v>
      </c>
      <c r="J134">
        <v>11</v>
      </c>
      <c r="K134" s="67"/>
      <c r="L134" s="2">
        <f t="shared" si="2"/>
        <v>-3.2499999999999959E-2</v>
      </c>
      <c r="M134" s="2">
        <f t="shared" si="1"/>
        <v>6.7151100484493975</v>
      </c>
    </row>
    <row r="135" spans="1:17" ht="15">
      <c r="A135" s="67">
        <v>269.62</v>
      </c>
      <c r="B135" s="67">
        <v>275.02999999999997</v>
      </c>
      <c r="C135" s="67">
        <v>267.77</v>
      </c>
      <c r="D135" s="67">
        <v>274.44</v>
      </c>
      <c r="E135" s="67">
        <v>471362</v>
      </c>
      <c r="F135" s="67" t="s">
        <v>257</v>
      </c>
      <c r="G135" s="5">
        <f t="shared" si="0"/>
        <v>-1.7563037458096509E-2</v>
      </c>
      <c r="I135" s="70">
        <v>-2.7499999999999962E-2</v>
      </c>
      <c r="J135">
        <v>9</v>
      </c>
      <c r="K135" s="24"/>
      <c r="L135" s="2">
        <f t="shared" si="2"/>
        <v>-2.9999999999999961E-2</v>
      </c>
      <c r="M135" s="2">
        <f t="shared" si="1"/>
        <v>7.6258960414977723</v>
      </c>
    </row>
    <row r="136" spans="1:17" ht="15">
      <c r="A136" s="67">
        <v>275.14999999999998</v>
      </c>
      <c r="B136" s="67">
        <v>282.33999999999997</v>
      </c>
      <c r="C136" s="67">
        <v>272.98</v>
      </c>
      <c r="D136" s="67">
        <v>282.33999999999997</v>
      </c>
      <c r="E136" s="67">
        <v>433245</v>
      </c>
      <c r="F136" s="67" t="s">
        <v>256</v>
      </c>
      <c r="G136" s="5">
        <f t="shared" si="0"/>
        <v>-2.5465750513565144E-2</v>
      </c>
      <c r="I136" s="70">
        <v>-2.4999999999999963E-2</v>
      </c>
      <c r="J136">
        <v>25</v>
      </c>
      <c r="K136" s="24"/>
      <c r="L136" s="2">
        <f t="shared" si="2"/>
        <v>-2.7499999999999962E-2</v>
      </c>
      <c r="M136" s="2">
        <f t="shared" si="1"/>
        <v>8.5735081215953706</v>
      </c>
    </row>
    <row r="137" spans="1:17" ht="15">
      <c r="A137" s="67">
        <v>283.42</v>
      </c>
      <c r="B137" s="67">
        <v>288.56990000000002</v>
      </c>
      <c r="C137" s="67">
        <v>280.45</v>
      </c>
      <c r="D137" s="67">
        <v>286.88</v>
      </c>
      <c r="E137" s="67">
        <v>542655</v>
      </c>
      <c r="F137" s="67" t="s">
        <v>255</v>
      </c>
      <c r="G137" s="5">
        <f t="shared" si="0"/>
        <v>-1.2060791968767304E-2</v>
      </c>
      <c r="I137" s="70">
        <v>-2.2499999999999964E-2</v>
      </c>
      <c r="J137">
        <v>32</v>
      </c>
      <c r="K137" s="24"/>
      <c r="L137" s="2">
        <f t="shared" si="2"/>
        <v>-2.4999999999999963E-2</v>
      </c>
      <c r="M137" s="2">
        <f t="shared" si="1"/>
        <v>9.5423684933312458</v>
      </c>
    </row>
    <row r="138" spans="1:17" ht="15">
      <c r="A138" s="67">
        <v>286.23</v>
      </c>
      <c r="B138" s="67">
        <v>287.70999999999998</v>
      </c>
      <c r="C138" s="67">
        <v>282.43</v>
      </c>
      <c r="D138" s="67">
        <v>285.02</v>
      </c>
      <c r="E138" s="67">
        <v>259517</v>
      </c>
      <c r="F138" s="67" t="s">
        <v>254</v>
      </c>
      <c r="G138" s="5">
        <f t="shared" si="0"/>
        <v>4.2453161181672527E-3</v>
      </c>
      <c r="I138" s="70">
        <v>-1.9999999999999966E-2</v>
      </c>
      <c r="J138">
        <v>18</v>
      </c>
      <c r="K138" s="24"/>
      <c r="L138" s="2">
        <f t="shared" si="2"/>
        <v>-2.2499999999999964E-2</v>
      </c>
      <c r="M138" s="2">
        <f t="shared" si="1"/>
        <v>10.51438173045598</v>
      </c>
    </row>
    <row r="139" spans="1:17" ht="15">
      <c r="A139" s="67">
        <v>280.38</v>
      </c>
      <c r="B139" s="67">
        <v>282.08</v>
      </c>
      <c r="C139" s="67">
        <v>273</v>
      </c>
      <c r="D139" s="67">
        <v>277.98</v>
      </c>
      <c r="E139" s="67">
        <v>737372</v>
      </c>
      <c r="F139" s="67" t="s">
        <v>253</v>
      </c>
      <c r="G139" s="5">
        <f t="shared" si="0"/>
        <v>8.6337146557304845E-3</v>
      </c>
      <c r="I139" s="70">
        <v>-1.7499999999999967E-2</v>
      </c>
      <c r="J139">
        <v>27</v>
      </c>
      <c r="K139" s="24"/>
      <c r="L139" s="2">
        <f t="shared" si="2"/>
        <v>-1.9999999999999966E-2</v>
      </c>
      <c r="M139" s="2">
        <f t="shared" si="1"/>
        <v>11.469414121105958</v>
      </c>
    </row>
    <row r="140" spans="1:17" ht="15">
      <c r="A140" s="67">
        <v>281.33</v>
      </c>
      <c r="B140" s="67">
        <v>283.40499999999997</v>
      </c>
      <c r="C140" s="67">
        <v>276.31</v>
      </c>
      <c r="D140" s="67">
        <v>276.31</v>
      </c>
      <c r="E140" s="67">
        <v>353789</v>
      </c>
      <c r="F140" s="67" t="s">
        <v>252</v>
      </c>
      <c r="G140" s="5">
        <f t="shared" si="0"/>
        <v>1.8167999710470006E-2</v>
      </c>
      <c r="I140" s="70">
        <v>-1.4999999999999966E-2</v>
      </c>
      <c r="J140">
        <v>24</v>
      </c>
      <c r="K140" s="24"/>
      <c r="L140" s="2">
        <f t="shared" si="2"/>
        <v>-1.7499999999999967E-2</v>
      </c>
      <c r="M140" s="2">
        <f t="shared" si="1"/>
        <v>12.385931230979054</v>
      </c>
    </row>
    <row r="141" spans="1:17" ht="15">
      <c r="A141" s="67">
        <v>279.48</v>
      </c>
      <c r="B141" s="67">
        <v>281.16000000000003</v>
      </c>
      <c r="C141" s="67">
        <v>271.07</v>
      </c>
      <c r="D141" s="67">
        <v>276.07</v>
      </c>
      <c r="E141" s="67">
        <v>532310</v>
      </c>
      <c r="F141" s="67" t="s">
        <v>251</v>
      </c>
      <c r="G141" s="5">
        <f t="shared" si="0"/>
        <v>1.2351939725432137E-2</v>
      </c>
      <c r="I141" s="70">
        <v>-1.2499999999999966E-2</v>
      </c>
      <c r="J141">
        <v>42</v>
      </c>
      <c r="K141" s="24"/>
      <c r="L141" s="2">
        <f t="shared" si="2"/>
        <v>-1.4999999999999966E-2</v>
      </c>
      <c r="M141" s="2">
        <f t="shared" si="1"/>
        <v>13.241769741499533</v>
      </c>
    </row>
    <row r="142" spans="1:17" ht="15">
      <c r="A142" s="67">
        <v>275.29000000000002</v>
      </c>
      <c r="B142" s="67">
        <v>276.685</v>
      </c>
      <c r="C142" s="67">
        <v>272.45999999999998</v>
      </c>
      <c r="D142" s="67">
        <v>275.12</v>
      </c>
      <c r="E142" s="67">
        <v>431903</v>
      </c>
      <c r="F142" s="67" t="s">
        <v>250</v>
      </c>
      <c r="G142" s="5">
        <f t="shared" si="0"/>
        <v>6.1791218377438284E-4</v>
      </c>
      <c r="I142" s="70">
        <v>-9.9999999999999655E-3</v>
      </c>
      <c r="J142">
        <v>53</v>
      </c>
      <c r="K142" s="24"/>
      <c r="L142" s="2">
        <f t="shared" si="2"/>
        <v>-1.2499999999999966E-2</v>
      </c>
      <c r="M142" s="2">
        <f t="shared" si="1"/>
        <v>14.01500754718894</v>
      </c>
    </row>
    <row r="143" spans="1:17" ht="15">
      <c r="A143" s="67">
        <v>276.07</v>
      </c>
      <c r="B143" s="67">
        <v>278.27</v>
      </c>
      <c r="C143" s="67">
        <v>268.846</v>
      </c>
      <c r="D143" s="67">
        <v>270.23</v>
      </c>
      <c r="E143" s="67">
        <v>242610</v>
      </c>
      <c r="F143" s="67" t="s">
        <v>249</v>
      </c>
      <c r="G143" s="5">
        <f t="shared" si="0"/>
        <v>2.1611220071790616E-2</v>
      </c>
      <c r="I143" s="70">
        <v>-7.499999999999965E-3</v>
      </c>
      <c r="J143">
        <v>48</v>
      </c>
      <c r="K143" s="24"/>
      <c r="L143" s="2">
        <f t="shared" si="2"/>
        <v>-9.9999999999999655E-3</v>
      </c>
      <c r="M143" s="2">
        <f t="shared" si="1"/>
        <v>14.684885920138573</v>
      </c>
    </row>
    <row r="144" spans="1:17" ht="15">
      <c r="A144" s="67">
        <v>272.62</v>
      </c>
      <c r="B144" s="67">
        <v>274.86</v>
      </c>
      <c r="C144" s="67">
        <v>264.92500000000001</v>
      </c>
      <c r="D144" s="67">
        <v>268.19</v>
      </c>
      <c r="E144" s="67">
        <v>307499</v>
      </c>
      <c r="F144" s="67" t="s">
        <v>248</v>
      </c>
      <c r="G144" s="5">
        <f t="shared" si="0"/>
        <v>1.6518140124538672E-2</v>
      </c>
      <c r="I144" s="70">
        <v>-4.9999999999999645E-3</v>
      </c>
      <c r="J144">
        <v>47</v>
      </c>
      <c r="K144" s="24"/>
      <c r="L144" s="2">
        <f t="shared" si="2"/>
        <v>-7.499999999999965E-3</v>
      </c>
      <c r="M144" s="2">
        <f t="shared" si="1"/>
        <v>15.23273037524465</v>
      </c>
    </row>
    <row r="145" spans="1:31" ht="15">
      <c r="A145" s="67">
        <v>260.63</v>
      </c>
      <c r="B145" s="67">
        <v>266.93</v>
      </c>
      <c r="C145" s="67">
        <v>256.54000000000002</v>
      </c>
      <c r="D145" s="67">
        <v>266.93</v>
      </c>
      <c r="E145" s="67">
        <v>281756</v>
      </c>
      <c r="F145" s="67" t="s">
        <v>247</v>
      </c>
      <c r="G145" s="5">
        <f t="shared" si="0"/>
        <v>-2.3601693327838791E-2</v>
      </c>
      <c r="I145" s="70">
        <v>-2.4999999999999645E-3</v>
      </c>
      <c r="J145">
        <v>49</v>
      </c>
      <c r="K145" s="24"/>
      <c r="L145" s="2">
        <f t="shared" si="2"/>
        <v>-4.9999999999999645E-3</v>
      </c>
      <c r="M145" s="2">
        <f t="shared" si="1"/>
        <v>15.642813582443607</v>
      </c>
      <c r="AB145" s="2" t="s">
        <v>637</v>
      </c>
    </row>
    <row r="146" spans="1:31" ht="15">
      <c r="A146" s="67">
        <v>267.13</v>
      </c>
      <c r="B146" s="67">
        <v>272.71499999999997</v>
      </c>
      <c r="C146" s="67">
        <v>264.11</v>
      </c>
      <c r="D146" s="67">
        <v>266.01</v>
      </c>
      <c r="E146" s="67">
        <v>470259</v>
      </c>
      <c r="F146" s="67" t="s">
        <v>246</v>
      </c>
      <c r="G146" s="5">
        <f t="shared" si="0"/>
        <v>4.2103680312770564E-3</v>
      </c>
      <c r="I146" s="70">
        <v>3.5561831257524545E-17</v>
      </c>
      <c r="J146">
        <v>51</v>
      </c>
      <c r="K146" s="24"/>
      <c r="L146" s="2">
        <f t="shared" si="2"/>
        <v>-2.4999999999999645E-3</v>
      </c>
      <c r="M146" s="2">
        <f t="shared" si="1"/>
        <v>15.903104819568272</v>
      </c>
      <c r="AC146" s="2" t="s">
        <v>661</v>
      </c>
    </row>
    <row r="147" spans="1:31" ht="15">
      <c r="A147" s="67">
        <v>262.33999999999997</v>
      </c>
      <c r="B147" s="67">
        <v>265.38</v>
      </c>
      <c r="C147" s="67">
        <v>254.5</v>
      </c>
      <c r="D147" s="67">
        <v>257.24</v>
      </c>
      <c r="E147" s="67">
        <v>508894</v>
      </c>
      <c r="F147" s="67" t="s">
        <v>245</v>
      </c>
      <c r="G147" s="5">
        <f t="shared" si="0"/>
        <v>1.982584357020678E-2</v>
      </c>
      <c r="I147" s="70">
        <v>2.5000000000000356E-3</v>
      </c>
      <c r="J147">
        <v>42</v>
      </c>
      <c r="K147" s="24"/>
      <c r="L147" s="2">
        <f t="shared" si="2"/>
        <v>3.5561831257524545E-17</v>
      </c>
      <c r="M147" s="2">
        <f t="shared" si="1"/>
        <v>16.005856170285302</v>
      </c>
      <c r="AC147" s="2" t="s">
        <v>638</v>
      </c>
    </row>
    <row r="148" spans="1:31" ht="15">
      <c r="A148" s="67">
        <v>257.24</v>
      </c>
      <c r="B148" s="67">
        <v>272.50209999999998</v>
      </c>
      <c r="C148" s="67">
        <v>256.17</v>
      </c>
      <c r="D148" s="67">
        <v>272.05</v>
      </c>
      <c r="E148" s="67">
        <v>693380</v>
      </c>
      <c r="F148" s="67" t="s">
        <v>244</v>
      </c>
      <c r="G148" s="5">
        <f t="shared" si="0"/>
        <v>-5.4438522330453987E-2</v>
      </c>
      <c r="I148" s="70">
        <v>5.0000000000000357E-3</v>
      </c>
      <c r="J148">
        <v>61</v>
      </c>
      <c r="K148" s="24"/>
      <c r="L148" s="2">
        <f t="shared" si="2"/>
        <v>2.5000000000000356E-3</v>
      </c>
      <c r="M148" s="2">
        <f t="shared" ref="M148:M177" si="3">_xlfn.NORM.DIST(L148,$K$107,$K$109,FALSE)</f>
        <v>15.947985618787614</v>
      </c>
      <c r="AD148" s="2" t="s">
        <v>641</v>
      </c>
    </row>
    <row r="149" spans="1:31" ht="15">
      <c r="A149" s="67">
        <v>274.79000000000002</v>
      </c>
      <c r="B149" s="67">
        <v>278.81</v>
      </c>
      <c r="C149" s="67">
        <v>269.42</v>
      </c>
      <c r="D149" s="67">
        <v>275.58999999999997</v>
      </c>
      <c r="E149" s="67">
        <v>347006</v>
      </c>
      <c r="F149" s="67" t="s">
        <v>243</v>
      </c>
      <c r="G149" s="5">
        <f t="shared" si="0"/>
        <v>-2.902862948582885E-3</v>
      </c>
      <c r="I149" s="70">
        <v>7.5000000000000362E-3</v>
      </c>
      <c r="J149">
        <v>43</v>
      </c>
      <c r="K149" s="24"/>
      <c r="L149" s="2">
        <f t="shared" si="2"/>
        <v>5.0000000000000357E-3</v>
      </c>
      <c r="M149" s="2">
        <f t="shared" si="3"/>
        <v>15.731230610744719</v>
      </c>
      <c r="AE149" s="2" t="s">
        <v>1624</v>
      </c>
    </row>
    <row r="150" spans="1:31" ht="15">
      <c r="A150" s="67">
        <v>277.69</v>
      </c>
      <c r="B150" s="67">
        <v>287.86</v>
      </c>
      <c r="C150" s="67">
        <v>276.23</v>
      </c>
      <c r="D150" s="67">
        <v>282.24</v>
      </c>
      <c r="E150" s="67">
        <v>263249</v>
      </c>
      <c r="F150" s="67" t="s">
        <v>242</v>
      </c>
      <c r="G150" s="5">
        <f t="shared" si="0"/>
        <v>-1.6121031746031744E-2</v>
      </c>
      <c r="I150" s="70">
        <v>1.0000000000000037E-2</v>
      </c>
      <c r="J150">
        <v>41</v>
      </c>
      <c r="K150" s="24"/>
      <c r="L150" s="2">
        <f t="shared" ref="L150:L177" si="4">L149+0.0025</f>
        <v>7.5000000000000362E-3</v>
      </c>
      <c r="M150" s="2">
        <f t="shared" si="3"/>
        <v>15.362061404536385</v>
      </c>
      <c r="AE150" s="2" t="s">
        <v>1625</v>
      </c>
    </row>
    <row r="151" spans="1:31" ht="15">
      <c r="A151" s="67">
        <v>286.38</v>
      </c>
      <c r="B151" s="67">
        <v>287.35000000000002</v>
      </c>
      <c r="C151" s="67">
        <v>280.44</v>
      </c>
      <c r="D151" s="67">
        <v>281.76</v>
      </c>
      <c r="E151" s="67">
        <v>393198</v>
      </c>
      <c r="F151" s="67" t="s">
        <v>241</v>
      </c>
      <c r="G151" s="5">
        <f t="shared" si="0"/>
        <v>1.6396933560477001E-2</v>
      </c>
      <c r="I151" s="70">
        <v>1.2500000000000037E-2</v>
      </c>
      <c r="J151">
        <v>41</v>
      </c>
      <c r="K151" s="24"/>
      <c r="L151" s="2">
        <f t="shared" si="4"/>
        <v>1.0000000000000037E-2</v>
      </c>
      <c r="M151" s="2">
        <f t="shared" si="3"/>
        <v>14.851360242436012</v>
      </c>
      <c r="AB151" s="2" t="s">
        <v>1626</v>
      </c>
    </row>
    <row r="152" spans="1:31" ht="15">
      <c r="A152" s="67">
        <v>283.62</v>
      </c>
      <c r="B152" s="67">
        <v>287.69</v>
      </c>
      <c r="C152" s="67">
        <v>278.62</v>
      </c>
      <c r="D152" s="67">
        <v>282.88</v>
      </c>
      <c r="E152" s="67">
        <v>437027</v>
      </c>
      <c r="F152" s="67" t="s">
        <v>240</v>
      </c>
      <c r="G152" s="5">
        <f t="shared" si="0"/>
        <v>2.6159502262443901E-3</v>
      </c>
      <c r="I152" s="70">
        <v>1.5000000000000038E-2</v>
      </c>
      <c r="J152">
        <v>38</v>
      </c>
      <c r="K152" s="24"/>
      <c r="L152" s="2">
        <f t="shared" si="4"/>
        <v>1.2500000000000037E-2</v>
      </c>
      <c r="M152" s="2">
        <f t="shared" si="3"/>
        <v>14.213888539371403</v>
      </c>
      <c r="AC152" s="2" t="s">
        <v>650</v>
      </c>
    </row>
    <row r="153" spans="1:31" ht="15">
      <c r="A153" s="67">
        <v>285.88</v>
      </c>
      <c r="B153" s="67">
        <v>292.14</v>
      </c>
      <c r="C153" s="67">
        <v>281.89</v>
      </c>
      <c r="D153" s="67">
        <v>285.48</v>
      </c>
      <c r="E153" s="67">
        <v>434432</v>
      </c>
      <c r="F153" s="67" t="s">
        <v>239</v>
      </c>
      <c r="G153" s="5">
        <f t="shared" si="0"/>
        <v>1.4011489421323908E-3</v>
      </c>
      <c r="I153" s="70">
        <v>1.7500000000000036E-2</v>
      </c>
      <c r="J153">
        <v>33</v>
      </c>
      <c r="K153" s="24"/>
      <c r="L153" s="2">
        <f t="shared" si="4"/>
        <v>1.5000000000000038E-2</v>
      </c>
      <c r="M153" s="2">
        <f t="shared" si="3"/>
        <v>13.467578486782354</v>
      </c>
      <c r="AD153" s="2" t="s">
        <v>1627</v>
      </c>
    </row>
    <row r="154" spans="1:31" ht="15">
      <c r="A154" s="67">
        <v>285.44</v>
      </c>
      <c r="B154" s="67">
        <v>285.44</v>
      </c>
      <c r="C154" s="67">
        <v>278.41000000000003</v>
      </c>
      <c r="D154" s="67">
        <v>280.22000000000003</v>
      </c>
      <c r="E154" s="67">
        <v>323048</v>
      </c>
      <c r="F154" s="67" t="s">
        <v>238</v>
      </c>
      <c r="G154" s="5">
        <f t="shared" si="0"/>
        <v>1.8628220683748475E-2</v>
      </c>
      <c r="I154" s="70">
        <v>2.0000000000000035E-2</v>
      </c>
      <c r="J154">
        <v>33</v>
      </c>
      <c r="K154" s="24"/>
      <c r="L154" s="2">
        <f t="shared" si="4"/>
        <v>1.7500000000000036E-2</v>
      </c>
      <c r="M154" s="2">
        <f t="shared" si="3"/>
        <v>12.632696483086278</v>
      </c>
      <c r="AD154" s="2" t="s">
        <v>544</v>
      </c>
    </row>
    <row r="155" spans="1:31" ht="15">
      <c r="A155" s="67">
        <v>281.45999999999998</v>
      </c>
      <c r="B155" s="67">
        <v>292.78500000000003</v>
      </c>
      <c r="C155" s="67">
        <v>280.77</v>
      </c>
      <c r="D155" s="67">
        <v>291.8</v>
      </c>
      <c r="E155" s="67">
        <v>361612</v>
      </c>
      <c r="F155" s="67" t="s">
        <v>237</v>
      </c>
      <c r="G155" s="5">
        <f t="shared" si="0"/>
        <v>-3.543522960932155E-2</v>
      </c>
      <c r="I155" s="70">
        <v>2.2500000000000034E-2</v>
      </c>
      <c r="J155">
        <v>28</v>
      </c>
      <c r="K155" s="24"/>
      <c r="L155" s="2">
        <f t="shared" si="4"/>
        <v>2.0000000000000035E-2</v>
      </c>
      <c r="M155" s="2">
        <f t="shared" si="3"/>
        <v>11.730932752199603</v>
      </c>
      <c r="AB155" s="2" t="s">
        <v>608</v>
      </c>
    </row>
    <row r="156" spans="1:31" ht="15">
      <c r="A156" s="67">
        <v>291.83999999999997</v>
      </c>
      <c r="B156" s="67">
        <v>294.27999999999997</v>
      </c>
      <c r="C156" s="67">
        <v>280.74</v>
      </c>
      <c r="D156" s="67">
        <v>280.74</v>
      </c>
      <c r="E156" s="67">
        <v>448981</v>
      </c>
      <c r="F156" s="67" t="s">
        <v>236</v>
      </c>
      <c r="G156" s="5">
        <f t="shared" si="0"/>
        <v>3.9538362898055013E-2</v>
      </c>
      <c r="I156" s="70">
        <v>2.5000000000000033E-2</v>
      </c>
      <c r="J156">
        <v>17</v>
      </c>
      <c r="K156" s="24"/>
      <c r="L156" s="2">
        <f t="shared" si="4"/>
        <v>2.2500000000000034E-2</v>
      </c>
      <c r="M156" s="2">
        <f t="shared" si="3"/>
        <v>10.78447394341967</v>
      </c>
      <c r="AB156" s="2" t="s">
        <v>1628</v>
      </c>
    </row>
    <row r="157" spans="1:31" ht="15">
      <c r="A157" s="67">
        <v>281.62</v>
      </c>
      <c r="B157" s="67">
        <v>288.48500000000001</v>
      </c>
      <c r="C157" s="67">
        <v>275.27</v>
      </c>
      <c r="D157" s="67">
        <v>288.18</v>
      </c>
      <c r="E157" s="67">
        <v>502240</v>
      </c>
      <c r="F157" s="67" t="s">
        <v>235</v>
      </c>
      <c r="G157" s="5">
        <f t="shared" si="0"/>
        <v>-2.2763550558678625E-2</v>
      </c>
      <c r="I157" s="70">
        <v>2.7500000000000031E-2</v>
      </c>
      <c r="J157">
        <v>15</v>
      </c>
      <c r="K157" s="24"/>
      <c r="L157" s="2">
        <f t="shared" si="4"/>
        <v>2.5000000000000033E-2</v>
      </c>
      <c r="M157" s="2">
        <f t="shared" si="3"/>
        <v>9.815113422208432</v>
      </c>
      <c r="AC157" s="2" t="s">
        <v>662</v>
      </c>
    </row>
    <row r="158" spans="1:31" ht="15">
      <c r="A158" s="67">
        <v>287.7</v>
      </c>
      <c r="B158" s="67">
        <v>294.58999999999997</v>
      </c>
      <c r="C158" s="67">
        <v>286.2</v>
      </c>
      <c r="D158" s="67">
        <v>291.27999999999997</v>
      </c>
      <c r="E158" s="67">
        <v>561488</v>
      </c>
      <c r="F158" s="67" t="s">
        <v>234</v>
      </c>
      <c r="G158" s="5">
        <f t="shared" si="0"/>
        <v>-1.2290579511123223E-2</v>
      </c>
      <c r="I158" s="70">
        <v>3.000000000000003E-2</v>
      </c>
      <c r="J158">
        <v>17</v>
      </c>
      <c r="K158" s="24"/>
      <c r="L158" s="2">
        <f t="shared" si="4"/>
        <v>2.7500000000000031E-2</v>
      </c>
      <c r="M158" s="2">
        <f t="shared" si="3"/>
        <v>8.8434477991250784</v>
      </c>
      <c r="AC158" s="2" t="s">
        <v>645</v>
      </c>
    </row>
    <row r="159" spans="1:31" ht="15">
      <c r="A159" s="67">
        <v>291.68</v>
      </c>
      <c r="B159" s="67">
        <v>304.11</v>
      </c>
      <c r="C159" s="67">
        <v>290.55</v>
      </c>
      <c r="D159" s="67">
        <v>303</v>
      </c>
      <c r="E159" s="67">
        <v>635329</v>
      </c>
      <c r="F159" s="67" t="s">
        <v>233</v>
      </c>
      <c r="G159" s="5">
        <f t="shared" si="0"/>
        <v>-3.7359735973597319E-2</v>
      </c>
      <c r="I159" s="70">
        <v>3.2500000000000029E-2</v>
      </c>
      <c r="J159">
        <v>12</v>
      </c>
      <c r="K159" s="24"/>
      <c r="L159" s="2">
        <f t="shared" si="4"/>
        <v>3.000000000000003E-2</v>
      </c>
      <c r="M159" s="2">
        <f t="shared" si="3"/>
        <v>7.8881988042839817</v>
      </c>
      <c r="AC159" s="2" t="s">
        <v>646</v>
      </c>
    </row>
    <row r="160" spans="1:31" ht="15">
      <c r="A160" s="67">
        <v>303.12</v>
      </c>
      <c r="B160" s="67">
        <v>309.08</v>
      </c>
      <c r="C160" s="67">
        <v>300</v>
      </c>
      <c r="D160" s="67">
        <v>303.22000000000003</v>
      </c>
      <c r="E160" s="67">
        <v>683701</v>
      </c>
      <c r="F160" s="67" t="s">
        <v>232</v>
      </c>
      <c r="G160" s="5">
        <f t="shared" si="0"/>
        <v>-3.2979354923823312E-4</v>
      </c>
      <c r="I160" s="70">
        <v>3.5000000000000031E-2</v>
      </c>
      <c r="J160">
        <v>12</v>
      </c>
      <c r="K160" s="24"/>
      <c r="L160" s="2">
        <f t="shared" si="4"/>
        <v>3.2500000000000029E-2</v>
      </c>
      <c r="M160" s="2">
        <f t="shared" si="3"/>
        <v>6.9656879539684651</v>
      </c>
      <c r="AC160" s="2" t="s">
        <v>647</v>
      </c>
    </row>
    <row r="161" spans="1:29" ht="15">
      <c r="A161" s="67">
        <v>303.76</v>
      </c>
      <c r="B161" s="67">
        <v>310</v>
      </c>
      <c r="C161" s="67">
        <v>290.11</v>
      </c>
      <c r="D161" s="67">
        <v>296.10000000000002</v>
      </c>
      <c r="E161" s="67">
        <v>1816341</v>
      </c>
      <c r="F161" s="67" t="s">
        <v>231</v>
      </c>
      <c r="G161" s="5">
        <f t="shared" si="0"/>
        <v>2.5869638635595882E-2</v>
      </c>
      <c r="I161" s="70">
        <v>3.7500000000000033E-2</v>
      </c>
      <c r="J161">
        <v>11</v>
      </c>
      <c r="K161" s="24"/>
      <c r="L161" s="2">
        <f t="shared" si="4"/>
        <v>3.5000000000000031E-2</v>
      </c>
      <c r="M161" s="2">
        <f t="shared" si="3"/>
        <v>6.0894787572207258</v>
      </c>
      <c r="AB161" s="2" t="s">
        <v>643</v>
      </c>
    </row>
    <row r="162" spans="1:29" ht="15">
      <c r="A162" s="67">
        <v>271.14</v>
      </c>
      <c r="B162" s="67">
        <v>273.55500000000001</v>
      </c>
      <c r="C162" s="67">
        <v>264.815</v>
      </c>
      <c r="D162" s="67">
        <v>266.5</v>
      </c>
      <c r="E162" s="67">
        <v>716997</v>
      </c>
      <c r="F162" s="67" t="s">
        <v>230</v>
      </c>
      <c r="G162" s="5">
        <f t="shared" si="0"/>
        <v>1.7410881801125599E-2</v>
      </c>
      <c r="I162" s="70">
        <v>4.0000000000000036E-2</v>
      </c>
      <c r="J162">
        <v>6</v>
      </c>
      <c r="K162" s="24"/>
      <c r="L162" s="2">
        <f t="shared" si="4"/>
        <v>3.7500000000000033E-2</v>
      </c>
      <c r="M162" s="2">
        <f t="shared" si="3"/>
        <v>5.2701886486886487</v>
      </c>
      <c r="AC162" s="2" t="s">
        <v>663</v>
      </c>
    </row>
    <row r="163" spans="1:29" ht="15">
      <c r="A163" s="67">
        <v>268.67</v>
      </c>
      <c r="B163" s="67">
        <v>274.75290000000001</v>
      </c>
      <c r="C163" s="67">
        <v>266.86</v>
      </c>
      <c r="D163" s="67">
        <v>272.85000000000002</v>
      </c>
      <c r="E163" s="67">
        <v>400891</v>
      </c>
      <c r="F163" s="67" t="s">
        <v>229</v>
      </c>
      <c r="G163" s="5">
        <f t="shared" si="0"/>
        <v>-1.5319772768920714E-2</v>
      </c>
      <c r="I163" s="70">
        <v>4.2500000000000038E-2</v>
      </c>
      <c r="J163">
        <v>8</v>
      </c>
      <c r="K163" s="24"/>
      <c r="L163" s="2">
        <f t="shared" si="4"/>
        <v>4.0000000000000036E-2</v>
      </c>
      <c r="M163" s="2">
        <f t="shared" si="3"/>
        <v>4.5154614567481204</v>
      </c>
      <c r="AC163" s="2" t="s">
        <v>642</v>
      </c>
    </row>
    <row r="164" spans="1:29" ht="15">
      <c r="A164" s="67">
        <v>272.89</v>
      </c>
      <c r="B164" s="67">
        <v>273.07</v>
      </c>
      <c r="C164" s="67">
        <v>267.36660000000001</v>
      </c>
      <c r="D164" s="67">
        <v>267.97000000000003</v>
      </c>
      <c r="E164" s="67">
        <v>301641</v>
      </c>
      <c r="F164" s="67" t="s">
        <v>228</v>
      </c>
      <c r="G164" s="5">
        <f t="shared" si="0"/>
        <v>1.8360264208679977E-2</v>
      </c>
      <c r="I164" s="70">
        <v>4.500000000000004E-2</v>
      </c>
      <c r="J164">
        <v>4</v>
      </c>
      <c r="K164" s="24"/>
      <c r="L164" s="2">
        <f t="shared" si="4"/>
        <v>4.2500000000000038E-2</v>
      </c>
      <c r="M164" s="2">
        <f t="shared" si="3"/>
        <v>3.8300818470335583</v>
      </c>
      <c r="AB164" s="2" t="s">
        <v>553</v>
      </c>
    </row>
    <row r="165" spans="1:29" ht="15">
      <c r="A165" s="67">
        <v>267.06</v>
      </c>
      <c r="B165" s="67">
        <v>267.64</v>
      </c>
      <c r="C165" s="67">
        <v>260.51</v>
      </c>
      <c r="D165" s="67">
        <v>264</v>
      </c>
      <c r="E165" s="67">
        <v>350865</v>
      </c>
      <c r="F165" s="67" t="s">
        <v>227</v>
      </c>
      <c r="G165" s="5">
        <f t="shared" si="0"/>
        <v>1.1590909090909207E-2</v>
      </c>
      <c r="I165" s="70">
        <v>4.7500000000000042E-2</v>
      </c>
      <c r="J165">
        <v>4</v>
      </c>
      <c r="K165" s="24"/>
      <c r="L165" s="2">
        <f t="shared" si="4"/>
        <v>4.500000000000004E-2</v>
      </c>
      <c r="M165" s="2">
        <f t="shared" si="3"/>
        <v>3.2162063626533604</v>
      </c>
      <c r="AC165" s="2" t="s">
        <v>1647</v>
      </c>
    </row>
    <row r="166" spans="1:29" ht="15">
      <c r="A166" s="67">
        <v>268.3</v>
      </c>
      <c r="B166" s="67">
        <v>270.91500000000002</v>
      </c>
      <c r="C166" s="67">
        <v>258.82</v>
      </c>
      <c r="D166" s="67">
        <v>259.14999999999998</v>
      </c>
      <c r="E166" s="67">
        <v>779003</v>
      </c>
      <c r="F166" s="67" t="s">
        <v>226</v>
      </c>
      <c r="G166" s="5">
        <f t="shared" si="0"/>
        <v>3.5307736831950765E-2</v>
      </c>
      <c r="I166" s="70">
        <v>5.0000000000000044E-2</v>
      </c>
      <c r="J166">
        <v>4</v>
      </c>
      <c r="K166" s="24"/>
      <c r="L166" s="2">
        <f t="shared" si="4"/>
        <v>4.7500000000000042E-2</v>
      </c>
      <c r="M166" s="2">
        <f t="shared" si="3"/>
        <v>2.6736816515361874</v>
      </c>
      <c r="AC166" s="2" t="s">
        <v>644</v>
      </c>
    </row>
    <row r="167" spans="1:29" ht="15">
      <c r="A167" s="67">
        <v>261.05</v>
      </c>
      <c r="B167" s="67">
        <v>262.315</v>
      </c>
      <c r="C167" s="67">
        <v>259.43</v>
      </c>
      <c r="D167" s="67">
        <v>260.31</v>
      </c>
      <c r="E167" s="67">
        <v>300754</v>
      </c>
      <c r="F167" s="67" t="s">
        <v>225</v>
      </c>
      <c r="G167" s="5">
        <f t="shared" si="0"/>
        <v>2.8427643962967153E-3</v>
      </c>
      <c r="I167" s="70">
        <v>5.2500000000000047E-2</v>
      </c>
      <c r="J167">
        <v>4</v>
      </c>
      <c r="K167" s="24"/>
      <c r="L167" s="2">
        <f t="shared" si="4"/>
        <v>5.0000000000000044E-2</v>
      </c>
      <c r="M167" s="2">
        <f t="shared" si="3"/>
        <v>2.2004191779406992</v>
      </c>
      <c r="AB167" s="2" t="s">
        <v>648</v>
      </c>
    </row>
    <row r="168" spans="1:29" ht="15">
      <c r="A168" s="67">
        <v>260.67</v>
      </c>
      <c r="B168" s="67">
        <v>263.11</v>
      </c>
      <c r="C168" s="67">
        <v>259.20999999999998</v>
      </c>
      <c r="D168" s="67">
        <v>261.08999999999997</v>
      </c>
      <c r="E168" s="67">
        <v>266249</v>
      </c>
      <c r="F168" s="67" t="s">
        <v>224</v>
      </c>
      <c r="G168" s="5">
        <f t="shared" si="0"/>
        <v>-1.6086406986095536E-3</v>
      </c>
      <c r="I168" s="70">
        <v>5.5000000000000049E-2</v>
      </c>
      <c r="J168">
        <v>6</v>
      </c>
      <c r="K168" s="24"/>
      <c r="L168" s="2">
        <f t="shared" si="4"/>
        <v>5.2500000000000047E-2</v>
      </c>
      <c r="M168" s="2">
        <f t="shared" si="3"/>
        <v>1.7927968648030317</v>
      </c>
      <c r="AC168" s="2" t="s">
        <v>649</v>
      </c>
    </row>
    <row r="169" spans="1:29" ht="15">
      <c r="A169" s="67">
        <v>261.5</v>
      </c>
      <c r="B169" s="67">
        <v>265.56</v>
      </c>
      <c r="C169" s="67">
        <v>259.79000000000002</v>
      </c>
      <c r="D169" s="67">
        <v>265.56</v>
      </c>
      <c r="E169" s="67">
        <v>342922</v>
      </c>
      <c r="F169" s="67" t="s">
        <v>223</v>
      </c>
      <c r="G169" s="5">
        <f t="shared" si="0"/>
        <v>-1.528844705527943E-2</v>
      </c>
      <c r="I169" s="70">
        <v>5.7500000000000051E-2</v>
      </c>
      <c r="J169">
        <v>2</v>
      </c>
      <c r="K169" s="24"/>
      <c r="L169" s="2">
        <f t="shared" si="4"/>
        <v>5.5000000000000049E-2</v>
      </c>
      <c r="M169" s="2">
        <f t="shared" si="3"/>
        <v>1.4460612333913916</v>
      </c>
      <c r="AB169" s="2" t="s">
        <v>543</v>
      </c>
    </row>
    <row r="170" spans="1:29" ht="15">
      <c r="A170" s="67">
        <v>265.94</v>
      </c>
      <c r="B170" s="67">
        <v>266.64999999999998</v>
      </c>
      <c r="C170" s="67">
        <v>263.05</v>
      </c>
      <c r="D170" s="67">
        <v>266.44</v>
      </c>
      <c r="E170" s="67">
        <v>367115</v>
      </c>
      <c r="F170" s="67" t="s">
        <v>222</v>
      </c>
      <c r="G170" s="5">
        <f t="shared" si="0"/>
        <v>-1.8765951058399288E-3</v>
      </c>
      <c r="I170" s="70">
        <v>6.0000000000000053E-2</v>
      </c>
      <c r="J170">
        <v>1</v>
      </c>
      <c r="K170" s="24"/>
      <c r="L170" s="2">
        <f t="shared" si="4"/>
        <v>5.7500000000000051E-2</v>
      </c>
      <c r="M170" s="2">
        <f t="shared" si="3"/>
        <v>1.1547081201353255</v>
      </c>
      <c r="AC170" s="2" t="s">
        <v>552</v>
      </c>
    </row>
    <row r="171" spans="1:29" ht="15">
      <c r="A171" s="67">
        <v>262.11</v>
      </c>
      <c r="B171" s="67">
        <v>266.48989999999998</v>
      </c>
      <c r="C171" s="67">
        <v>259.58</v>
      </c>
      <c r="D171" s="67">
        <v>264.64999999999998</v>
      </c>
      <c r="E171" s="67">
        <v>886098</v>
      </c>
      <c r="F171" s="67" t="s">
        <v>221</v>
      </c>
      <c r="G171" s="5">
        <f t="shared" si="0"/>
        <v>-9.5975817116945583E-3</v>
      </c>
      <c r="I171" s="70">
        <v>6.2500000000000056E-2</v>
      </c>
      <c r="J171">
        <v>1</v>
      </c>
      <c r="K171" s="24"/>
      <c r="L171" s="2">
        <f t="shared" si="4"/>
        <v>6.0000000000000053E-2</v>
      </c>
      <c r="M171" s="2">
        <f t="shared" si="3"/>
        <v>0.91282535155394096</v>
      </c>
      <c r="AB171" s="2" t="s">
        <v>1629</v>
      </c>
    </row>
    <row r="172" spans="1:29" ht="15">
      <c r="A172" s="67">
        <v>265</v>
      </c>
      <c r="B172" s="67">
        <v>267</v>
      </c>
      <c r="C172" s="67">
        <v>263.16000000000003</v>
      </c>
      <c r="D172" s="67">
        <v>264.89999999999998</v>
      </c>
      <c r="E172" s="67">
        <v>536800</v>
      </c>
      <c r="F172" s="67" t="s">
        <v>220</v>
      </c>
      <c r="G172" s="5">
        <f t="shared" si="0"/>
        <v>3.7750094375255117E-4</v>
      </c>
      <c r="I172" s="70">
        <v>6.5000000000000058E-2</v>
      </c>
      <c r="J172">
        <v>1</v>
      </c>
      <c r="K172" s="24"/>
      <c r="L172" s="2">
        <f t="shared" si="4"/>
        <v>6.2500000000000056E-2</v>
      </c>
      <c r="M172" s="2">
        <f t="shared" si="3"/>
        <v>0.71438627660229692</v>
      </c>
    </row>
    <row r="173" spans="1:29" ht="15">
      <c r="A173" s="67">
        <v>266.97000000000003</v>
      </c>
      <c r="B173" s="67">
        <v>271.53100000000001</v>
      </c>
      <c r="C173" s="67">
        <v>266.62</v>
      </c>
      <c r="D173" s="67">
        <v>270.07</v>
      </c>
      <c r="E173" s="67">
        <v>490013</v>
      </c>
      <c r="F173" s="67" t="s">
        <v>219</v>
      </c>
      <c r="G173" s="5">
        <f t="shared" si="0"/>
        <v>-1.1478505572629194E-2</v>
      </c>
      <c r="I173" s="70">
        <v>6.750000000000006E-2</v>
      </c>
      <c r="J173">
        <v>2</v>
      </c>
      <c r="K173" s="24"/>
      <c r="L173" s="2">
        <f t="shared" si="4"/>
        <v>6.5000000000000058E-2</v>
      </c>
      <c r="M173" s="2">
        <f t="shared" si="3"/>
        <v>0.55348830657618131</v>
      </c>
    </row>
    <row r="174" spans="1:29" ht="15">
      <c r="A174" s="67">
        <v>269</v>
      </c>
      <c r="B174" s="67">
        <v>272.5</v>
      </c>
      <c r="C174" s="67">
        <v>267.27999999999997</v>
      </c>
      <c r="D174" s="67">
        <v>270.20999999999998</v>
      </c>
      <c r="E174" s="67">
        <v>259519</v>
      </c>
      <c r="F174" s="67" t="s">
        <v>218</v>
      </c>
      <c r="G174" s="5">
        <f t="shared" si="0"/>
        <v>-4.4779985936863609E-3</v>
      </c>
      <c r="I174" s="70">
        <v>7.0000000000000062E-2</v>
      </c>
      <c r="J174">
        <v>0</v>
      </c>
      <c r="K174" s="24"/>
      <c r="L174" s="2">
        <f t="shared" si="4"/>
        <v>6.750000000000006E-2</v>
      </c>
      <c r="M174" s="2">
        <f t="shared" si="3"/>
        <v>0.42453522796025961</v>
      </c>
    </row>
    <row r="175" spans="1:29" ht="15">
      <c r="A175" s="67">
        <v>269.73</v>
      </c>
      <c r="B175" s="67">
        <v>271.57</v>
      </c>
      <c r="C175" s="67">
        <v>266.37</v>
      </c>
      <c r="D175" s="67">
        <v>271.57</v>
      </c>
      <c r="E175" s="67">
        <v>371690</v>
      </c>
      <c r="F175" s="67" t="s">
        <v>217</v>
      </c>
      <c r="G175" s="5">
        <f t="shared" si="0"/>
        <v>-6.7754170195528651E-3</v>
      </c>
      <c r="I175" s="70">
        <v>7.2500000000000064E-2</v>
      </c>
      <c r="J175">
        <v>0</v>
      </c>
      <c r="K175" s="24"/>
      <c r="L175" s="2">
        <f t="shared" si="4"/>
        <v>7.0000000000000062E-2</v>
      </c>
      <c r="M175" s="2">
        <f t="shared" si="3"/>
        <v>0.32236579519097253</v>
      </c>
    </row>
    <row r="176" spans="1:29" ht="15">
      <c r="A176" s="67">
        <v>270.82</v>
      </c>
      <c r="B176" s="67">
        <v>275.18</v>
      </c>
      <c r="C176" s="67">
        <v>269.51</v>
      </c>
      <c r="D176" s="67">
        <v>273.10000000000002</v>
      </c>
      <c r="E176" s="67">
        <v>317563</v>
      </c>
      <c r="F176" s="67" t="s">
        <v>216</v>
      </c>
      <c r="G176" s="5">
        <f t="shared" si="0"/>
        <v>-8.3485902599781392E-3</v>
      </c>
      <c r="I176" s="70">
        <v>7.5000000000000067E-2</v>
      </c>
      <c r="J176">
        <v>1</v>
      </c>
      <c r="K176" s="24"/>
      <c r="L176" s="2">
        <f t="shared" si="4"/>
        <v>7.2500000000000064E-2</v>
      </c>
      <c r="M176" s="2">
        <f t="shared" si="3"/>
        <v>0.24233386671084864</v>
      </c>
    </row>
    <row r="177" spans="1:15" ht="15.75" thickBot="1">
      <c r="A177" s="67">
        <v>272.73</v>
      </c>
      <c r="B177" s="67">
        <v>275</v>
      </c>
      <c r="C177" s="67">
        <v>270.54500000000002</v>
      </c>
      <c r="D177" s="67">
        <v>274.04000000000002</v>
      </c>
      <c r="E177" s="67">
        <v>258097</v>
      </c>
      <c r="F177" s="67" t="s">
        <v>215</v>
      </c>
      <c r="G177" s="5">
        <f t="shared" si="0"/>
        <v>-4.7803240402860547E-3</v>
      </c>
      <c r="I177" s="71" t="s">
        <v>1548</v>
      </c>
      <c r="J177" s="71">
        <v>8</v>
      </c>
      <c r="K177" s="24"/>
      <c r="L177" s="2">
        <f t="shared" si="4"/>
        <v>7.5000000000000067E-2</v>
      </c>
      <c r="M177" s="2">
        <f t="shared" si="3"/>
        <v>0.18034711793455815</v>
      </c>
    </row>
    <row r="178" spans="1:15">
      <c r="A178" s="67">
        <v>274.06</v>
      </c>
      <c r="B178" s="67">
        <v>275.49</v>
      </c>
      <c r="C178" s="67">
        <v>271.0136</v>
      </c>
      <c r="D178" s="67">
        <v>272.36</v>
      </c>
      <c r="E178" s="67">
        <v>409593</v>
      </c>
      <c r="F178" s="67" t="s">
        <v>214</v>
      </c>
      <c r="G178" s="5">
        <f t="shared" ref="G178:G241" si="5">A178/D178-1</f>
        <v>6.2417388750182212E-3</v>
      </c>
    </row>
    <row r="179" spans="1:15">
      <c r="A179" s="67">
        <v>273.77999999999997</v>
      </c>
      <c r="B179" s="67">
        <v>275.64999999999998</v>
      </c>
      <c r="C179" s="67">
        <v>270.04000000000002</v>
      </c>
      <c r="D179" s="67">
        <v>275.64999999999998</v>
      </c>
      <c r="E179" s="67">
        <v>639072</v>
      </c>
      <c r="F179" s="67" t="s">
        <v>213</v>
      </c>
      <c r="G179" s="5">
        <f t="shared" si="5"/>
        <v>-6.7839651732268802E-3</v>
      </c>
      <c r="I179" s="69"/>
      <c r="J179" s="24"/>
      <c r="K179" s="24"/>
      <c r="L179" s="24"/>
      <c r="M179" s="24"/>
      <c r="N179" s="24"/>
      <c r="O179" s="5"/>
    </row>
    <row r="180" spans="1:15">
      <c r="A180" s="67">
        <v>275.83999999999997</v>
      </c>
      <c r="B180" s="67">
        <v>277.89</v>
      </c>
      <c r="C180" s="67">
        <v>266.23</v>
      </c>
      <c r="D180" s="67">
        <v>267.43</v>
      </c>
      <c r="E180" s="67">
        <v>745591</v>
      </c>
      <c r="F180" s="67" t="s">
        <v>212</v>
      </c>
      <c r="G180" s="5">
        <f t="shared" si="5"/>
        <v>3.1447481583965819E-2</v>
      </c>
      <c r="I180" s="69"/>
      <c r="J180" s="24"/>
      <c r="K180" s="24"/>
      <c r="L180" s="24"/>
      <c r="M180" s="24"/>
      <c r="N180" s="24"/>
      <c r="O180" s="5"/>
    </row>
    <row r="181" spans="1:15">
      <c r="A181" s="67">
        <v>268.2</v>
      </c>
      <c r="B181" s="67">
        <v>270.69</v>
      </c>
      <c r="C181" s="67">
        <v>265.14</v>
      </c>
      <c r="D181" s="67">
        <v>270</v>
      </c>
      <c r="E181" s="67">
        <v>448904</v>
      </c>
      <c r="F181" s="67" t="s">
        <v>211</v>
      </c>
      <c r="G181" s="5">
        <f t="shared" si="5"/>
        <v>-6.6666666666667096E-3</v>
      </c>
      <c r="I181" s="24"/>
      <c r="J181" s="24"/>
      <c r="K181" s="24"/>
      <c r="L181" s="24"/>
      <c r="M181" s="24"/>
      <c r="N181" s="24"/>
      <c r="O181" s="5"/>
    </row>
    <row r="182" spans="1:15">
      <c r="A182" s="67">
        <v>263.69</v>
      </c>
      <c r="B182" s="67">
        <v>264.93</v>
      </c>
      <c r="C182" s="67">
        <v>259.31</v>
      </c>
      <c r="D182" s="67">
        <v>264.93</v>
      </c>
      <c r="E182" s="67">
        <v>433780</v>
      </c>
      <c r="F182" s="67" t="s">
        <v>210</v>
      </c>
      <c r="G182" s="5">
        <f t="shared" si="5"/>
        <v>-4.6804816366587954E-3</v>
      </c>
      <c r="I182" s="24"/>
      <c r="J182" s="24"/>
      <c r="K182" s="24"/>
      <c r="L182" s="24"/>
      <c r="M182" s="24"/>
      <c r="N182" s="24"/>
      <c r="O182" s="5"/>
    </row>
    <row r="183" spans="1:15">
      <c r="A183" s="67">
        <v>262.31</v>
      </c>
      <c r="B183" s="67">
        <v>263.77</v>
      </c>
      <c r="C183" s="67">
        <v>257.89</v>
      </c>
      <c r="D183" s="67">
        <v>261.17</v>
      </c>
      <c r="E183" s="67">
        <v>490394</v>
      </c>
      <c r="F183" s="67" t="s">
        <v>209</v>
      </c>
      <c r="G183" s="5">
        <f t="shared" si="5"/>
        <v>4.3649730060879577E-3</v>
      </c>
      <c r="I183" s="24"/>
      <c r="J183" s="24"/>
      <c r="K183" s="24"/>
      <c r="L183" s="24"/>
      <c r="M183" s="24"/>
      <c r="N183" s="24"/>
      <c r="O183" s="5"/>
    </row>
    <row r="184" spans="1:15">
      <c r="A184" s="67">
        <v>261.77</v>
      </c>
      <c r="B184" s="67">
        <v>262.74</v>
      </c>
      <c r="C184" s="67">
        <v>253.93</v>
      </c>
      <c r="D184" s="67">
        <v>254.64</v>
      </c>
      <c r="E184" s="67">
        <v>617648</v>
      </c>
      <c r="F184" s="67" t="s">
        <v>208</v>
      </c>
      <c r="G184" s="5">
        <f t="shared" si="5"/>
        <v>2.8000314169022822E-2</v>
      </c>
      <c r="I184" s="24"/>
      <c r="J184" s="24"/>
      <c r="K184" s="24"/>
      <c r="L184" s="24"/>
      <c r="M184" s="24"/>
      <c r="N184" s="24"/>
      <c r="O184" s="5"/>
    </row>
    <row r="185" spans="1:15">
      <c r="A185" s="67">
        <v>252.89</v>
      </c>
      <c r="B185" s="67">
        <v>254</v>
      </c>
      <c r="C185" s="67">
        <v>245.27</v>
      </c>
      <c r="D185" s="67">
        <v>248.32</v>
      </c>
      <c r="E185" s="67">
        <v>450393</v>
      </c>
      <c r="F185" s="67" t="s">
        <v>207</v>
      </c>
      <c r="G185" s="5">
        <f t="shared" si="5"/>
        <v>1.8403672680412431E-2</v>
      </c>
      <c r="I185" s="24"/>
      <c r="J185" s="24"/>
      <c r="K185" s="24"/>
      <c r="L185" s="24"/>
      <c r="M185" s="24"/>
      <c r="N185" s="24"/>
      <c r="O185" s="5"/>
    </row>
    <row r="186" spans="1:15">
      <c r="A186" s="67">
        <v>246.93</v>
      </c>
      <c r="B186" s="67">
        <v>248.54</v>
      </c>
      <c r="C186" s="67">
        <v>237.65</v>
      </c>
      <c r="D186" s="67">
        <v>238.63</v>
      </c>
      <c r="E186" s="67">
        <v>425411</v>
      </c>
      <c r="F186" s="67" t="s">
        <v>206</v>
      </c>
      <c r="G186" s="5">
        <f t="shared" si="5"/>
        <v>3.4781879897749723E-2</v>
      </c>
      <c r="I186" s="24"/>
      <c r="J186" s="24"/>
      <c r="K186" s="24"/>
      <c r="L186" s="24"/>
      <c r="M186" s="24"/>
      <c r="N186" s="24"/>
      <c r="O186" s="5"/>
    </row>
    <row r="187" spans="1:15">
      <c r="A187" s="67">
        <v>250.62</v>
      </c>
      <c r="B187" s="67">
        <v>255.625</v>
      </c>
      <c r="C187" s="67">
        <v>247.94</v>
      </c>
      <c r="D187" s="67">
        <v>254.45</v>
      </c>
      <c r="E187" s="67">
        <v>467204</v>
      </c>
      <c r="F187" s="67" t="s">
        <v>205</v>
      </c>
      <c r="G187" s="5">
        <f t="shared" si="5"/>
        <v>-1.5052073098840602E-2</v>
      </c>
      <c r="I187" s="24"/>
      <c r="J187" s="24"/>
      <c r="K187" s="24"/>
      <c r="L187" s="24"/>
      <c r="M187" s="24"/>
      <c r="N187" s="24"/>
      <c r="O187" s="5"/>
    </row>
    <row r="188" spans="1:15">
      <c r="A188" s="67">
        <v>257.81</v>
      </c>
      <c r="B188" s="67">
        <v>258.52</v>
      </c>
      <c r="C188" s="67">
        <v>248.70500000000001</v>
      </c>
      <c r="D188" s="67">
        <v>252.19</v>
      </c>
      <c r="E188" s="67">
        <v>445238</v>
      </c>
      <c r="F188" s="67" t="s">
        <v>204</v>
      </c>
      <c r="G188" s="5">
        <f t="shared" si="5"/>
        <v>2.2284785280938912E-2</v>
      </c>
      <c r="I188" s="24"/>
      <c r="J188" s="24"/>
      <c r="K188" s="24"/>
      <c r="L188" s="24"/>
      <c r="M188" s="24"/>
      <c r="N188" s="24"/>
      <c r="O188" s="5"/>
    </row>
    <row r="189" spans="1:15">
      <c r="A189" s="67">
        <v>252.23</v>
      </c>
      <c r="B189" s="67">
        <v>260.875</v>
      </c>
      <c r="C189" s="67">
        <v>238</v>
      </c>
      <c r="D189" s="67">
        <v>240.2</v>
      </c>
      <c r="E189" s="67">
        <v>1052684</v>
      </c>
      <c r="F189" s="67" t="s">
        <v>203</v>
      </c>
      <c r="G189" s="5">
        <f t="shared" si="5"/>
        <v>5.0083263946711032E-2</v>
      </c>
      <c r="I189" s="24"/>
      <c r="J189" s="24"/>
      <c r="K189" s="24"/>
      <c r="L189" s="24"/>
      <c r="M189" s="24"/>
      <c r="N189" s="24"/>
      <c r="O189" s="5"/>
    </row>
    <row r="190" spans="1:15">
      <c r="A190" s="67">
        <v>237.28</v>
      </c>
      <c r="B190" s="67">
        <v>252.9</v>
      </c>
      <c r="C190" s="67">
        <v>222.59</v>
      </c>
      <c r="D190" s="67">
        <v>243.35</v>
      </c>
      <c r="E190" s="67">
        <v>1023630</v>
      </c>
      <c r="F190" s="67" t="s">
        <v>202</v>
      </c>
      <c r="G190" s="5">
        <f t="shared" si="5"/>
        <v>-2.4943497020751937E-2</v>
      </c>
      <c r="I190" s="24"/>
      <c r="J190" s="24"/>
      <c r="K190" s="24"/>
      <c r="L190" s="24"/>
      <c r="M190" s="24"/>
      <c r="N190" s="24"/>
      <c r="O190" s="5"/>
    </row>
    <row r="191" spans="1:15">
      <c r="A191" s="67">
        <v>241.97</v>
      </c>
      <c r="B191" s="67">
        <v>243.375</v>
      </c>
      <c r="C191" s="67">
        <v>239.76</v>
      </c>
      <c r="D191" s="67">
        <v>241.28</v>
      </c>
      <c r="E191" s="67">
        <v>170597</v>
      </c>
      <c r="F191" s="67" t="s">
        <v>201</v>
      </c>
      <c r="G191" s="5">
        <f t="shared" si="5"/>
        <v>2.8597480106100637E-3</v>
      </c>
      <c r="I191" s="24"/>
      <c r="J191" s="24"/>
      <c r="K191" s="24"/>
      <c r="L191" s="24"/>
      <c r="M191" s="24"/>
      <c r="N191" s="24"/>
      <c r="O191" s="5"/>
    </row>
    <row r="192" spans="1:15">
      <c r="A192" s="67">
        <v>239.99</v>
      </c>
      <c r="B192" s="67">
        <v>243.15</v>
      </c>
      <c r="C192" s="67">
        <v>237.63499999999999</v>
      </c>
      <c r="D192" s="67">
        <v>238.84</v>
      </c>
      <c r="E192" s="67">
        <v>145808</v>
      </c>
      <c r="F192" s="67" t="s">
        <v>200</v>
      </c>
      <c r="G192" s="5">
        <f t="shared" si="5"/>
        <v>4.8149388712108721E-3</v>
      </c>
      <c r="I192" s="24"/>
      <c r="J192" s="24"/>
      <c r="K192" s="24"/>
      <c r="L192" s="24"/>
      <c r="M192" s="24"/>
      <c r="N192" s="24"/>
      <c r="O192" s="5"/>
    </row>
    <row r="193" spans="1:29">
      <c r="A193" s="67">
        <v>237.48</v>
      </c>
      <c r="B193" s="67">
        <v>241.89</v>
      </c>
      <c r="C193" s="67">
        <v>236.62</v>
      </c>
      <c r="D193" s="67">
        <v>241.04</v>
      </c>
      <c r="E193" s="67">
        <v>189833</v>
      </c>
      <c r="F193" s="67" t="s">
        <v>199</v>
      </c>
      <c r="G193" s="5">
        <f t="shared" si="5"/>
        <v>-1.4769332890806508E-2</v>
      </c>
      <c r="I193" s="24"/>
      <c r="J193" s="24"/>
      <c r="K193" s="24"/>
      <c r="L193" s="24"/>
      <c r="M193" s="24"/>
      <c r="N193" s="24"/>
      <c r="O193" s="5"/>
    </row>
    <row r="194" spans="1:29">
      <c r="A194" s="67">
        <v>238.18</v>
      </c>
      <c r="B194" s="67">
        <v>240.51</v>
      </c>
      <c r="C194" s="67">
        <v>234.55</v>
      </c>
      <c r="D194" s="67">
        <v>238.35</v>
      </c>
      <c r="E194" s="67">
        <v>196502</v>
      </c>
      <c r="F194" s="67" t="s">
        <v>198</v>
      </c>
      <c r="G194" s="5">
        <f t="shared" si="5"/>
        <v>-7.132368365847519E-4</v>
      </c>
      <c r="I194" s="24"/>
      <c r="J194" s="24"/>
      <c r="K194" s="24"/>
      <c r="L194" s="24"/>
      <c r="M194" s="24"/>
      <c r="N194" s="24"/>
      <c r="O194" s="5"/>
    </row>
    <row r="195" spans="1:29">
      <c r="A195" s="67">
        <v>239.85</v>
      </c>
      <c r="B195" s="67">
        <v>241.89</v>
      </c>
      <c r="C195" s="67">
        <v>236.93</v>
      </c>
      <c r="D195" s="67">
        <v>238.47</v>
      </c>
      <c r="E195" s="67">
        <v>294374</v>
      </c>
      <c r="F195" s="67" t="s">
        <v>197</v>
      </c>
      <c r="G195" s="5">
        <f t="shared" si="5"/>
        <v>5.7868914328846888E-3</v>
      </c>
      <c r="I195" s="24"/>
      <c r="J195" s="24"/>
      <c r="K195" s="24"/>
      <c r="L195" s="24"/>
      <c r="M195" s="24"/>
      <c r="N195" s="24"/>
      <c r="O195" s="5"/>
    </row>
    <row r="196" spans="1:29">
      <c r="A196" s="67">
        <v>240.54</v>
      </c>
      <c r="B196" s="67">
        <v>241.92</v>
      </c>
      <c r="C196" s="67">
        <v>238.54</v>
      </c>
      <c r="D196" s="67">
        <v>238.79</v>
      </c>
      <c r="E196" s="67">
        <v>180617</v>
      </c>
      <c r="F196" s="67" t="s">
        <v>196</v>
      </c>
      <c r="G196" s="5">
        <f t="shared" si="5"/>
        <v>7.3286151011349165E-3</v>
      </c>
      <c r="I196" s="24"/>
      <c r="J196" s="24"/>
      <c r="K196" s="24"/>
      <c r="L196" s="24"/>
      <c r="M196" s="24"/>
      <c r="N196" s="24"/>
      <c r="O196" s="5"/>
    </row>
    <row r="197" spans="1:29">
      <c r="A197" s="67">
        <v>240.36</v>
      </c>
      <c r="B197" s="67">
        <v>241.82</v>
      </c>
      <c r="C197" s="67">
        <v>239.59</v>
      </c>
      <c r="D197" s="67">
        <v>241.82</v>
      </c>
      <c r="E197" s="67">
        <v>88821</v>
      </c>
      <c r="F197" s="67" t="s">
        <v>195</v>
      </c>
      <c r="G197" s="5">
        <f t="shared" si="5"/>
        <v>-6.0375485898601644E-3</v>
      </c>
      <c r="I197" s="24"/>
      <c r="J197" s="24"/>
      <c r="K197" s="24"/>
      <c r="L197" s="24"/>
      <c r="M197" s="24"/>
      <c r="N197" s="24"/>
      <c r="O197" s="5"/>
    </row>
    <row r="198" spans="1:29">
      <c r="A198" s="67">
        <v>240.55</v>
      </c>
      <c r="B198" s="67">
        <v>245.74</v>
      </c>
      <c r="C198" s="67">
        <v>237.68010000000001</v>
      </c>
      <c r="D198" s="67">
        <v>243</v>
      </c>
      <c r="E198" s="67">
        <v>213495</v>
      </c>
      <c r="F198" s="67" t="s">
        <v>194</v>
      </c>
      <c r="G198" s="5">
        <f t="shared" si="5"/>
        <v>-1.0082304526748964E-2</v>
      </c>
      <c r="I198" s="24"/>
      <c r="J198" s="24"/>
      <c r="K198" s="24"/>
      <c r="L198" s="24"/>
      <c r="M198" s="24"/>
      <c r="N198" s="24"/>
      <c r="O198" s="5"/>
    </row>
    <row r="199" spans="1:29">
      <c r="A199" s="67">
        <v>242.54</v>
      </c>
      <c r="B199" s="67">
        <v>245.89</v>
      </c>
      <c r="C199" s="67">
        <v>241.23500000000001</v>
      </c>
      <c r="D199" s="67">
        <v>242</v>
      </c>
      <c r="E199" s="67">
        <v>948331</v>
      </c>
      <c r="F199" s="67" t="s">
        <v>193</v>
      </c>
      <c r="G199" s="5">
        <f t="shared" si="5"/>
        <v>2.2314049586775742E-3</v>
      </c>
      <c r="I199" s="24"/>
      <c r="J199" s="24"/>
      <c r="K199" s="24"/>
      <c r="L199" s="24"/>
      <c r="M199" s="24"/>
      <c r="N199" s="24"/>
      <c r="O199" s="5"/>
    </row>
    <row r="200" spans="1:29">
      <c r="A200" s="67">
        <v>243.52</v>
      </c>
      <c r="B200" s="67">
        <v>245.56</v>
      </c>
      <c r="C200" s="67">
        <v>235.75479999999999</v>
      </c>
      <c r="D200" s="67">
        <v>238.71</v>
      </c>
      <c r="E200" s="67">
        <v>439284</v>
      </c>
      <c r="F200" s="67" t="s">
        <v>192</v>
      </c>
      <c r="G200" s="5">
        <f t="shared" si="5"/>
        <v>2.0149972770307167E-2</v>
      </c>
      <c r="I200" s="24"/>
      <c r="J200" s="24"/>
      <c r="K200" s="24"/>
      <c r="L200" s="24"/>
      <c r="M200" s="24"/>
      <c r="N200" s="24"/>
      <c r="O200" s="5"/>
    </row>
    <row r="201" spans="1:29">
      <c r="A201" s="67">
        <v>238.9</v>
      </c>
      <c r="B201" s="67">
        <v>247.92500000000001</v>
      </c>
      <c r="C201" s="67">
        <v>238.7</v>
      </c>
      <c r="D201" s="67">
        <v>246.54</v>
      </c>
      <c r="E201" s="67">
        <v>472034</v>
      </c>
      <c r="F201" s="67" t="s">
        <v>191</v>
      </c>
      <c r="G201" s="5">
        <f t="shared" si="5"/>
        <v>-3.0988886184797559E-2</v>
      </c>
      <c r="I201" s="24"/>
      <c r="J201" s="24"/>
      <c r="K201" s="24"/>
      <c r="L201" s="24"/>
      <c r="M201" s="24"/>
      <c r="N201" s="24"/>
      <c r="O201" s="5"/>
    </row>
    <row r="202" spans="1:29">
      <c r="A202" s="67">
        <v>247.55</v>
      </c>
      <c r="B202" s="67">
        <v>251.28</v>
      </c>
      <c r="C202" s="67">
        <v>244.64</v>
      </c>
      <c r="D202" s="67">
        <v>250.08</v>
      </c>
      <c r="E202" s="67">
        <v>336442</v>
      </c>
      <c r="F202" s="67" t="s">
        <v>190</v>
      </c>
      <c r="G202" s="5">
        <f t="shared" si="5"/>
        <v>-1.0116762635956511E-2</v>
      </c>
      <c r="I202" s="24"/>
      <c r="J202" s="24"/>
      <c r="K202" s="24"/>
      <c r="L202" s="24"/>
      <c r="M202" s="24"/>
      <c r="N202" s="24"/>
      <c r="O202" s="5"/>
    </row>
    <row r="203" spans="1:29">
      <c r="A203" s="67">
        <v>247.24</v>
      </c>
      <c r="B203" s="67">
        <v>250.37</v>
      </c>
      <c r="C203" s="67">
        <v>243.7354</v>
      </c>
      <c r="D203" s="67">
        <v>245</v>
      </c>
      <c r="E203" s="67">
        <v>324263</v>
      </c>
      <c r="F203" s="67" t="s">
        <v>189</v>
      </c>
      <c r="G203" s="5">
        <f t="shared" si="5"/>
        <v>9.1428571428571193E-3</v>
      </c>
      <c r="I203" s="24"/>
      <c r="J203" s="24"/>
      <c r="K203" s="24"/>
      <c r="L203" s="24"/>
      <c r="M203" s="24"/>
      <c r="N203" s="24"/>
      <c r="O203" s="5"/>
    </row>
    <row r="204" spans="1:29">
      <c r="A204" s="67">
        <v>245.55</v>
      </c>
      <c r="B204" s="67">
        <v>251.74</v>
      </c>
      <c r="C204" s="67">
        <v>244.37</v>
      </c>
      <c r="D204" s="67">
        <v>251.59</v>
      </c>
      <c r="E204" s="67">
        <v>240273</v>
      </c>
      <c r="F204" s="67" t="s">
        <v>188</v>
      </c>
      <c r="G204" s="5">
        <f t="shared" si="5"/>
        <v>-2.4007313486227533E-2</v>
      </c>
      <c r="I204" s="24"/>
      <c r="J204" s="24"/>
      <c r="K204" s="24"/>
      <c r="L204" s="24"/>
      <c r="M204" s="24"/>
      <c r="N204" s="24"/>
      <c r="O204" s="5"/>
    </row>
    <row r="205" spans="1:29">
      <c r="A205" s="67">
        <v>252.26</v>
      </c>
      <c r="B205" s="67">
        <v>254.57499999999999</v>
      </c>
      <c r="C205" s="67">
        <v>243.36</v>
      </c>
      <c r="D205" s="67">
        <v>251.08</v>
      </c>
      <c r="E205" s="67">
        <v>409509</v>
      </c>
      <c r="F205" s="67" t="s">
        <v>187</v>
      </c>
      <c r="G205" s="5">
        <f t="shared" si="5"/>
        <v>4.6996973076309789E-3</v>
      </c>
      <c r="I205" s="24"/>
      <c r="J205" s="24"/>
      <c r="K205" s="24"/>
      <c r="L205" s="24"/>
      <c r="M205" s="24"/>
      <c r="N205" s="24"/>
      <c r="O205" s="5"/>
    </row>
    <row r="206" spans="1:29">
      <c r="A206" s="67">
        <v>253.66</v>
      </c>
      <c r="B206" s="67">
        <v>259.27</v>
      </c>
      <c r="C206" s="67">
        <v>247.55500000000001</v>
      </c>
      <c r="D206" s="67">
        <v>250</v>
      </c>
      <c r="E206" s="67">
        <v>679290</v>
      </c>
      <c r="F206" s="67" t="s">
        <v>186</v>
      </c>
      <c r="G206" s="5">
        <f t="shared" si="5"/>
        <v>1.4639999999999986E-2</v>
      </c>
      <c r="I206" s="24"/>
      <c r="J206" s="24"/>
      <c r="K206" s="24"/>
      <c r="L206" s="24"/>
      <c r="M206" s="24"/>
      <c r="N206" s="24"/>
      <c r="O206" s="5"/>
    </row>
    <row r="207" spans="1:29">
      <c r="A207" s="67">
        <v>242.27</v>
      </c>
      <c r="B207" s="67">
        <v>245.3</v>
      </c>
      <c r="C207" s="67">
        <v>240.47</v>
      </c>
      <c r="D207" s="67">
        <v>244.29</v>
      </c>
      <c r="E207" s="67">
        <v>239072</v>
      </c>
      <c r="F207" s="67" t="s">
        <v>185</v>
      </c>
      <c r="G207" s="5">
        <f t="shared" si="5"/>
        <v>-8.2688607802201552E-3</v>
      </c>
      <c r="I207" s="24"/>
      <c r="J207" s="24"/>
      <c r="K207" s="24"/>
      <c r="L207" s="24"/>
      <c r="M207" s="24"/>
      <c r="N207" s="24"/>
      <c r="O207" s="5"/>
      <c r="AB207" s="2" t="s">
        <v>673</v>
      </c>
    </row>
    <row r="208" spans="1:29">
      <c r="A208" s="67">
        <v>240.86</v>
      </c>
      <c r="B208" s="67">
        <v>241.97499999999999</v>
      </c>
      <c r="C208" s="67">
        <v>236.62</v>
      </c>
      <c r="D208" s="67">
        <v>237.6</v>
      </c>
      <c r="E208" s="67">
        <v>170697</v>
      </c>
      <c r="F208" s="67" t="s">
        <v>184</v>
      </c>
      <c r="G208" s="5">
        <f t="shared" si="5"/>
        <v>1.37205387205388E-2</v>
      </c>
      <c r="I208" s="24"/>
      <c r="J208" s="24"/>
      <c r="K208" s="24"/>
      <c r="L208" s="24"/>
      <c r="M208" s="24"/>
      <c r="N208" s="24"/>
      <c r="O208" s="5"/>
      <c r="AC208" s="2" t="s">
        <v>674</v>
      </c>
    </row>
    <row r="209" spans="1:31">
      <c r="A209" s="67">
        <v>237.23</v>
      </c>
      <c r="B209" s="67">
        <v>245.3</v>
      </c>
      <c r="C209" s="67">
        <v>236.60499999999999</v>
      </c>
      <c r="D209" s="67">
        <v>244.97</v>
      </c>
      <c r="E209" s="67">
        <v>203865</v>
      </c>
      <c r="F209" s="67" t="s">
        <v>183</v>
      </c>
      <c r="G209" s="5">
        <f t="shared" si="5"/>
        <v>-3.159570559660374E-2</v>
      </c>
      <c r="I209" s="24"/>
      <c r="J209" s="24"/>
      <c r="K209" s="24"/>
      <c r="L209" s="24"/>
      <c r="M209" s="24"/>
      <c r="N209" s="24"/>
      <c r="O209" s="5"/>
      <c r="AC209" s="2" t="s">
        <v>699</v>
      </c>
    </row>
    <row r="210" spans="1:31">
      <c r="A210" s="67">
        <v>242.7</v>
      </c>
      <c r="B210" s="67">
        <v>248.60499999999999</v>
      </c>
      <c r="C210" s="67">
        <v>242.3</v>
      </c>
      <c r="D210" s="67">
        <v>247.42</v>
      </c>
      <c r="E210" s="67">
        <v>194691</v>
      </c>
      <c r="F210" s="67" t="s">
        <v>182</v>
      </c>
      <c r="G210" s="5">
        <f t="shared" si="5"/>
        <v>-1.9076873332794397E-2</v>
      </c>
      <c r="I210" s="24"/>
      <c r="J210" s="24"/>
      <c r="K210" s="24"/>
      <c r="L210" s="24"/>
      <c r="M210" s="24"/>
      <c r="N210" s="24"/>
      <c r="O210" s="5"/>
      <c r="AD210" s="2" t="s">
        <v>675</v>
      </c>
    </row>
    <row r="211" spans="1:31" ht="15">
      <c r="A211" s="67">
        <v>249.08</v>
      </c>
      <c r="B211" s="67">
        <v>250.63</v>
      </c>
      <c r="C211" s="67">
        <v>244.1</v>
      </c>
      <c r="D211" s="67">
        <v>244.88</v>
      </c>
      <c r="E211" s="67">
        <v>233870</v>
      </c>
      <c r="F211" s="67" t="s">
        <v>181</v>
      </c>
      <c r="G211" s="5">
        <f t="shared" si="5"/>
        <v>1.7151257758902361E-2</v>
      </c>
      <c r="I211" s="24"/>
      <c r="J211" s="24"/>
      <c r="K211" s="24"/>
      <c r="L211" s="24"/>
      <c r="M211" s="24"/>
      <c r="N211" s="24"/>
      <c r="O211" s="5"/>
      <c r="AE211" s="1" t="s">
        <v>1640</v>
      </c>
    </row>
    <row r="212" spans="1:31">
      <c r="A212" s="67">
        <v>245.24</v>
      </c>
      <c r="B212" s="67">
        <v>246.77</v>
      </c>
      <c r="C212" s="67">
        <v>242.7</v>
      </c>
      <c r="D212" s="67">
        <v>244.11</v>
      </c>
      <c r="E212" s="67">
        <v>281939</v>
      </c>
      <c r="F212" s="67" t="s">
        <v>180</v>
      </c>
      <c r="G212" s="5">
        <f t="shared" si="5"/>
        <v>4.6290606693704106E-3</v>
      </c>
      <c r="I212" s="24"/>
      <c r="J212" s="24"/>
      <c r="K212" s="24"/>
      <c r="L212" s="24"/>
      <c r="M212" s="24"/>
      <c r="N212" s="24"/>
      <c r="O212" s="5"/>
      <c r="AB212" s="2" t="s">
        <v>1630</v>
      </c>
    </row>
    <row r="213" spans="1:31">
      <c r="A213" s="67">
        <v>244.84</v>
      </c>
      <c r="B213" s="67">
        <v>245.66</v>
      </c>
      <c r="C213" s="67">
        <v>241.91</v>
      </c>
      <c r="D213" s="67">
        <v>243.01</v>
      </c>
      <c r="E213" s="67">
        <v>224078</v>
      </c>
      <c r="F213" s="67" t="s">
        <v>179</v>
      </c>
      <c r="G213" s="5">
        <f t="shared" si="5"/>
        <v>7.5305542981771723E-3</v>
      </c>
      <c r="I213" s="24"/>
      <c r="J213" s="24"/>
      <c r="K213" s="24"/>
      <c r="L213" s="24"/>
      <c r="M213" s="24"/>
      <c r="N213" s="24"/>
      <c r="O213" s="5"/>
      <c r="AC213" s="2" t="s">
        <v>554</v>
      </c>
    </row>
    <row r="214" spans="1:31">
      <c r="A214" s="67">
        <v>244.12</v>
      </c>
      <c r="B214" s="67">
        <v>246.61</v>
      </c>
      <c r="C214" s="67">
        <v>242.3</v>
      </c>
      <c r="D214" s="67">
        <v>242.56</v>
      </c>
      <c r="E214" s="67">
        <v>114677</v>
      </c>
      <c r="F214" s="67" t="s">
        <v>178</v>
      </c>
      <c r="G214" s="5">
        <f t="shared" si="5"/>
        <v>6.4313984168864469E-3</v>
      </c>
      <c r="I214" s="24"/>
      <c r="J214" s="24"/>
      <c r="K214" s="24"/>
      <c r="L214" s="24"/>
      <c r="M214" s="24"/>
      <c r="N214" s="24"/>
      <c r="O214" s="5"/>
      <c r="AB214" s="2" t="s">
        <v>624</v>
      </c>
    </row>
    <row r="215" spans="1:31">
      <c r="A215" s="67">
        <v>244.15</v>
      </c>
      <c r="B215" s="67">
        <v>250.81</v>
      </c>
      <c r="C215" s="67">
        <v>240.3</v>
      </c>
      <c r="D215" s="67">
        <v>249.86</v>
      </c>
      <c r="E215" s="67">
        <v>271479</v>
      </c>
      <c r="F215" s="67" t="s">
        <v>177</v>
      </c>
      <c r="G215" s="5">
        <f t="shared" si="5"/>
        <v>-2.2852797566637384E-2</v>
      </c>
      <c r="I215" s="24"/>
      <c r="J215" s="24"/>
      <c r="K215" s="24"/>
      <c r="L215" s="24"/>
      <c r="M215" s="24"/>
      <c r="N215" s="24"/>
      <c r="O215" s="5"/>
      <c r="AC215" s="2" t="s">
        <v>676</v>
      </c>
    </row>
    <row r="216" spans="1:31">
      <c r="A216" s="67">
        <v>248.96</v>
      </c>
      <c r="B216" s="67">
        <v>250.94499999999999</v>
      </c>
      <c r="C216" s="67">
        <v>244.02</v>
      </c>
      <c r="D216" s="67">
        <v>245.68</v>
      </c>
      <c r="E216" s="67">
        <v>297557</v>
      </c>
      <c r="F216" s="67" t="s">
        <v>176</v>
      </c>
      <c r="G216" s="5">
        <f t="shared" si="5"/>
        <v>1.3350700097688017E-2</v>
      </c>
      <c r="I216" s="24"/>
      <c r="J216" s="24"/>
      <c r="K216" s="24"/>
      <c r="L216" s="24"/>
      <c r="M216" s="24"/>
      <c r="N216" s="24"/>
      <c r="O216" s="5"/>
      <c r="AC216" s="2" t="s">
        <v>677</v>
      </c>
    </row>
    <row r="217" spans="1:31">
      <c r="A217" s="67">
        <v>244.68</v>
      </c>
      <c r="B217" s="67">
        <v>249.86</v>
      </c>
      <c r="C217" s="67">
        <v>243.875</v>
      </c>
      <c r="D217" s="67">
        <v>247.29</v>
      </c>
      <c r="E217" s="67">
        <v>422387</v>
      </c>
      <c r="F217" s="67" t="s">
        <v>175</v>
      </c>
      <c r="G217" s="5">
        <f t="shared" si="5"/>
        <v>-1.0554409802256415E-2</v>
      </c>
      <c r="I217" s="24"/>
      <c r="J217" s="24"/>
      <c r="K217" s="24"/>
      <c r="L217" s="24"/>
      <c r="M217" s="24"/>
      <c r="N217" s="24"/>
      <c r="O217" s="5"/>
      <c r="AB217" s="2" t="s">
        <v>678</v>
      </c>
    </row>
    <row r="218" spans="1:31">
      <c r="A218" s="67">
        <v>244.84</v>
      </c>
      <c r="B218" s="67">
        <v>245.21</v>
      </c>
      <c r="C218" s="67">
        <v>237.92</v>
      </c>
      <c r="D218" s="67">
        <v>240</v>
      </c>
      <c r="E218" s="67">
        <v>251999</v>
      </c>
      <c r="F218" s="67" t="s">
        <v>174</v>
      </c>
      <c r="G218" s="5">
        <f t="shared" si="5"/>
        <v>2.0166666666666666E-2</v>
      </c>
      <c r="I218" s="24"/>
      <c r="J218" s="24"/>
      <c r="K218" s="24"/>
      <c r="L218" s="24"/>
      <c r="M218" s="24"/>
      <c r="N218" s="24"/>
      <c r="O218" s="5"/>
      <c r="AC218" s="2" t="s">
        <v>625</v>
      </c>
    </row>
    <row r="219" spans="1:31" ht="15">
      <c r="A219" s="67">
        <v>240.49</v>
      </c>
      <c r="B219" s="67">
        <v>241</v>
      </c>
      <c r="C219" s="67">
        <v>235.93</v>
      </c>
      <c r="D219" s="67">
        <v>237.29</v>
      </c>
      <c r="E219" s="67">
        <v>203330</v>
      </c>
      <c r="F219" s="67" t="s">
        <v>173</v>
      </c>
      <c r="G219" s="5">
        <f t="shared" si="5"/>
        <v>1.3485608327363119E-2</v>
      </c>
      <c r="I219" s="24"/>
      <c r="J219" s="24"/>
      <c r="K219" s="24"/>
      <c r="L219" s="24"/>
      <c r="M219" s="24"/>
      <c r="N219" s="24"/>
      <c r="O219" s="5"/>
      <c r="AC219" s="2" t="s">
        <v>628</v>
      </c>
    </row>
    <row r="220" spans="1:31">
      <c r="A220" s="67">
        <v>239.2</v>
      </c>
      <c r="B220" s="67">
        <v>242.95</v>
      </c>
      <c r="C220" s="67">
        <v>235.29</v>
      </c>
      <c r="D220" s="67">
        <v>235.29</v>
      </c>
      <c r="E220" s="67">
        <v>248896</v>
      </c>
      <c r="F220" s="67" t="s">
        <v>172</v>
      </c>
      <c r="G220" s="5">
        <f t="shared" si="5"/>
        <v>1.6617790811339184E-2</v>
      </c>
      <c r="I220" s="24"/>
      <c r="J220" s="24"/>
      <c r="K220" s="24"/>
      <c r="L220" s="24"/>
      <c r="M220" s="24"/>
      <c r="N220" s="24"/>
      <c r="O220" s="5"/>
      <c r="AD220" s="2" t="s">
        <v>627</v>
      </c>
    </row>
    <row r="221" spans="1:31">
      <c r="A221" s="67">
        <v>237.11</v>
      </c>
      <c r="B221" s="67">
        <v>239.35</v>
      </c>
      <c r="C221" s="67">
        <v>234.62</v>
      </c>
      <c r="D221" s="67">
        <v>237.16</v>
      </c>
      <c r="E221" s="67">
        <v>203426</v>
      </c>
      <c r="F221" s="67" t="s">
        <v>171</v>
      </c>
      <c r="G221" s="5">
        <f t="shared" si="5"/>
        <v>-2.1082813290596025E-4</v>
      </c>
      <c r="I221" s="24"/>
      <c r="J221" s="24"/>
      <c r="K221" s="24"/>
      <c r="L221" s="24"/>
      <c r="M221" s="24"/>
      <c r="N221" s="24"/>
      <c r="O221" s="5"/>
      <c r="AD221" s="2" t="s">
        <v>626</v>
      </c>
    </row>
    <row r="222" spans="1:31">
      <c r="A222" s="67">
        <v>240.48</v>
      </c>
      <c r="B222" s="67">
        <v>241.82</v>
      </c>
      <c r="C222" s="67">
        <v>235.30500000000001</v>
      </c>
      <c r="D222" s="67">
        <v>236.48</v>
      </c>
      <c r="E222" s="67">
        <v>643266</v>
      </c>
      <c r="F222" s="67" t="s">
        <v>170</v>
      </c>
      <c r="G222" s="5">
        <f t="shared" si="5"/>
        <v>1.6914749661705031E-2</v>
      </c>
      <c r="I222" s="24"/>
      <c r="J222" s="24"/>
      <c r="K222" s="24"/>
      <c r="L222" s="24"/>
      <c r="M222" s="24"/>
      <c r="N222" s="24"/>
      <c r="O222" s="5"/>
    </row>
    <row r="223" spans="1:31">
      <c r="A223" s="67">
        <v>237.84</v>
      </c>
      <c r="B223" s="67">
        <v>239.73</v>
      </c>
      <c r="C223" s="67">
        <v>231.27</v>
      </c>
      <c r="D223" s="67">
        <v>233.88</v>
      </c>
      <c r="E223" s="67">
        <v>382919</v>
      </c>
      <c r="F223" s="67" t="s">
        <v>169</v>
      </c>
      <c r="G223" s="5">
        <f t="shared" si="5"/>
        <v>1.6931759876859909E-2</v>
      </c>
      <c r="I223" s="24"/>
      <c r="J223" s="24"/>
      <c r="K223" s="24"/>
      <c r="L223" s="24"/>
      <c r="M223" s="24"/>
      <c r="N223" s="24"/>
      <c r="O223" s="5"/>
    </row>
    <row r="224" spans="1:31">
      <c r="A224" s="67">
        <v>233.51</v>
      </c>
      <c r="B224" s="67">
        <v>237.25</v>
      </c>
      <c r="C224" s="67">
        <v>232.505</v>
      </c>
      <c r="D224" s="67">
        <v>236</v>
      </c>
      <c r="E224" s="67">
        <v>195676</v>
      </c>
      <c r="F224" s="67" t="s">
        <v>168</v>
      </c>
      <c r="G224" s="5">
        <f t="shared" si="5"/>
        <v>-1.0550847457627133E-2</v>
      </c>
      <c r="I224" s="24"/>
      <c r="J224" s="24"/>
      <c r="K224" s="24"/>
      <c r="L224" s="24"/>
      <c r="M224" s="24"/>
      <c r="N224" s="24"/>
      <c r="O224" s="5"/>
    </row>
    <row r="225" spans="1:15">
      <c r="A225" s="67">
        <v>236.05</v>
      </c>
      <c r="B225" s="67">
        <v>238.29</v>
      </c>
      <c r="C225" s="67">
        <v>235.13</v>
      </c>
      <c r="D225" s="67">
        <v>237.77</v>
      </c>
      <c r="E225" s="67">
        <v>180913</v>
      </c>
      <c r="F225" s="67" t="s">
        <v>167</v>
      </c>
      <c r="G225" s="5">
        <f t="shared" si="5"/>
        <v>-7.233881482104576E-3</v>
      </c>
      <c r="I225" s="24"/>
      <c r="J225" s="24"/>
      <c r="K225" s="24"/>
      <c r="L225" s="24"/>
      <c r="M225" s="24"/>
      <c r="N225" s="24"/>
      <c r="O225" s="5"/>
    </row>
    <row r="226" spans="1:15">
      <c r="A226" s="67">
        <v>236.22</v>
      </c>
      <c r="B226" s="67">
        <v>242.65</v>
      </c>
      <c r="C226" s="67">
        <v>236.01</v>
      </c>
      <c r="D226" s="67">
        <v>240.28</v>
      </c>
      <c r="E226" s="67">
        <v>274564</v>
      </c>
      <c r="F226" s="67" t="s">
        <v>166</v>
      </c>
      <c r="G226" s="5">
        <f t="shared" si="5"/>
        <v>-1.6896953554186744E-2</v>
      </c>
      <c r="I226" s="24"/>
      <c r="J226" s="24"/>
      <c r="K226" s="24"/>
      <c r="L226" s="24"/>
      <c r="M226" s="24"/>
      <c r="N226" s="24"/>
      <c r="O226" s="5"/>
    </row>
    <row r="227" spans="1:15">
      <c r="A227" s="67">
        <v>242.07</v>
      </c>
      <c r="B227" s="67">
        <v>243.38499999999999</v>
      </c>
      <c r="C227" s="67">
        <v>236.71</v>
      </c>
      <c r="D227" s="67">
        <v>237.96</v>
      </c>
      <c r="E227" s="67">
        <v>446469</v>
      </c>
      <c r="F227" s="67" t="s">
        <v>165</v>
      </c>
      <c r="G227" s="5">
        <f t="shared" si="5"/>
        <v>1.7271810388300501E-2</v>
      </c>
      <c r="I227" s="24"/>
      <c r="J227" s="24"/>
      <c r="K227" s="24"/>
      <c r="L227" s="24"/>
      <c r="M227" s="24"/>
      <c r="N227" s="24"/>
      <c r="O227" s="5"/>
    </row>
    <row r="228" spans="1:15">
      <c r="A228" s="67">
        <v>236.45</v>
      </c>
      <c r="B228" s="67">
        <v>236.54</v>
      </c>
      <c r="C228" s="67">
        <v>231.93</v>
      </c>
      <c r="D228" s="67">
        <v>232.36</v>
      </c>
      <c r="E228" s="67">
        <v>318792</v>
      </c>
      <c r="F228" s="67" t="s">
        <v>164</v>
      </c>
      <c r="G228" s="5">
        <f t="shared" si="5"/>
        <v>1.7601996901359884E-2</v>
      </c>
      <c r="I228" s="24"/>
      <c r="J228" s="24"/>
      <c r="K228" s="24"/>
      <c r="L228" s="24"/>
      <c r="M228" s="24"/>
      <c r="N228" s="24"/>
      <c r="O228" s="5"/>
    </row>
    <row r="229" spans="1:15">
      <c r="A229" s="67">
        <v>233.07</v>
      </c>
      <c r="B229" s="67">
        <v>239.99</v>
      </c>
      <c r="C229" s="67">
        <v>232.92</v>
      </c>
      <c r="D229" s="67">
        <v>233.96</v>
      </c>
      <c r="E229" s="67">
        <v>381267</v>
      </c>
      <c r="F229" s="67" t="s">
        <v>163</v>
      </c>
      <c r="G229" s="5">
        <f t="shared" si="5"/>
        <v>-3.804069071636218E-3</v>
      </c>
      <c r="I229" s="24"/>
      <c r="J229" s="24"/>
      <c r="K229" s="24"/>
      <c r="L229" s="24"/>
      <c r="M229" s="24"/>
      <c r="N229" s="24"/>
      <c r="O229" s="5"/>
    </row>
    <row r="230" spans="1:15">
      <c r="A230" s="67">
        <v>233.7</v>
      </c>
      <c r="B230" s="67">
        <v>238.9</v>
      </c>
      <c r="C230" s="67">
        <v>228.9</v>
      </c>
      <c r="D230" s="67">
        <v>238.9</v>
      </c>
      <c r="E230" s="67">
        <v>463471</v>
      </c>
      <c r="F230" s="67" t="s">
        <v>162</v>
      </c>
      <c r="G230" s="5">
        <f t="shared" si="5"/>
        <v>-2.1766429468396908E-2</v>
      </c>
      <c r="I230" s="24"/>
      <c r="J230" s="24"/>
      <c r="K230" s="24"/>
      <c r="L230" s="24"/>
      <c r="M230" s="24"/>
      <c r="N230" s="24"/>
      <c r="O230" s="5"/>
    </row>
    <row r="231" spans="1:15">
      <c r="A231" s="67">
        <v>232.39</v>
      </c>
      <c r="B231" s="67">
        <v>235.47</v>
      </c>
      <c r="C231" s="67">
        <v>228.64500000000001</v>
      </c>
      <c r="D231" s="67">
        <v>229.01</v>
      </c>
      <c r="E231" s="67">
        <v>417594</v>
      </c>
      <c r="F231" s="67" t="s">
        <v>161</v>
      </c>
      <c r="G231" s="5">
        <f t="shared" si="5"/>
        <v>1.4759180821798168E-2</v>
      </c>
      <c r="I231" s="24"/>
      <c r="J231" s="24"/>
      <c r="K231" s="24"/>
      <c r="L231" s="24"/>
      <c r="M231" s="24"/>
      <c r="N231" s="24"/>
      <c r="O231" s="5"/>
    </row>
    <row r="232" spans="1:15">
      <c r="A232" s="67">
        <v>229.51</v>
      </c>
      <c r="B232" s="67">
        <v>237.46</v>
      </c>
      <c r="C232" s="67">
        <v>227.89</v>
      </c>
      <c r="D232" s="67">
        <v>233.84</v>
      </c>
      <c r="E232" s="67">
        <v>453739</v>
      </c>
      <c r="F232" s="67" t="s">
        <v>160</v>
      </c>
      <c r="G232" s="5">
        <f t="shared" si="5"/>
        <v>-1.851693465617521E-2</v>
      </c>
      <c r="I232" s="24"/>
      <c r="J232" s="24"/>
      <c r="K232" s="24"/>
      <c r="L232" s="24"/>
      <c r="M232" s="24"/>
      <c r="N232" s="24"/>
      <c r="O232" s="5"/>
    </row>
    <row r="233" spans="1:15">
      <c r="A233" s="67">
        <v>233.3</v>
      </c>
      <c r="B233" s="67">
        <v>236.56</v>
      </c>
      <c r="C233" s="67">
        <v>227.93</v>
      </c>
      <c r="D233" s="67">
        <v>231.08</v>
      </c>
      <c r="E233" s="67">
        <v>525994</v>
      </c>
      <c r="F233" s="67" t="s">
        <v>159</v>
      </c>
      <c r="G233" s="5">
        <f t="shared" si="5"/>
        <v>9.6070624891813061E-3</v>
      </c>
      <c r="I233" s="24"/>
      <c r="J233" s="24"/>
      <c r="K233" s="24"/>
      <c r="L233" s="24"/>
      <c r="M233" s="24"/>
      <c r="N233" s="24"/>
      <c r="O233" s="5"/>
    </row>
    <row r="234" spans="1:15">
      <c r="A234" s="67">
        <v>228.87</v>
      </c>
      <c r="B234" s="67">
        <v>230.75</v>
      </c>
      <c r="C234" s="67">
        <v>207.58</v>
      </c>
      <c r="D234" s="67">
        <v>207.58</v>
      </c>
      <c r="E234" s="67">
        <v>953178</v>
      </c>
      <c r="F234" s="67" t="s">
        <v>158</v>
      </c>
      <c r="G234" s="5">
        <f t="shared" si="5"/>
        <v>0.10256286732825903</v>
      </c>
      <c r="I234" s="24"/>
      <c r="J234" s="24"/>
      <c r="K234" s="24"/>
      <c r="L234" s="24"/>
      <c r="M234" s="24"/>
      <c r="N234" s="24"/>
      <c r="O234" s="5"/>
    </row>
    <row r="235" spans="1:15">
      <c r="A235" s="67">
        <v>211.29</v>
      </c>
      <c r="B235" s="67">
        <v>218.21</v>
      </c>
      <c r="C235" s="67">
        <v>208.18</v>
      </c>
      <c r="D235" s="67">
        <v>208.18</v>
      </c>
      <c r="E235" s="67">
        <v>734000</v>
      </c>
      <c r="F235" s="67" t="s">
        <v>157</v>
      </c>
      <c r="G235" s="5">
        <f t="shared" si="5"/>
        <v>1.4938995100393759E-2</v>
      </c>
      <c r="I235" s="24"/>
      <c r="J235" s="24"/>
      <c r="K235" s="24"/>
      <c r="L235" s="24"/>
      <c r="M235" s="24"/>
      <c r="N235" s="24"/>
      <c r="O235" s="5"/>
    </row>
    <row r="236" spans="1:15">
      <c r="A236" s="67">
        <v>209.63</v>
      </c>
      <c r="B236" s="67">
        <v>214.97</v>
      </c>
      <c r="C236" s="67">
        <v>206.51499999999999</v>
      </c>
      <c r="D236" s="67">
        <v>208.62</v>
      </c>
      <c r="E236" s="67">
        <v>585440</v>
      </c>
      <c r="F236" s="67" t="s">
        <v>156</v>
      </c>
      <c r="G236" s="5">
        <f t="shared" si="5"/>
        <v>4.8413383184737757E-3</v>
      </c>
      <c r="I236" s="24"/>
      <c r="J236" s="24"/>
      <c r="K236" s="24"/>
      <c r="L236" s="24"/>
      <c r="M236" s="24"/>
      <c r="N236" s="24"/>
      <c r="O236" s="5"/>
    </row>
    <row r="237" spans="1:15">
      <c r="A237" s="67">
        <v>208.74</v>
      </c>
      <c r="B237" s="67">
        <v>213.86</v>
      </c>
      <c r="C237" s="67">
        <v>205.8</v>
      </c>
      <c r="D237" s="67">
        <v>206.17</v>
      </c>
      <c r="E237" s="67">
        <v>536897</v>
      </c>
      <c r="F237" s="67" t="s">
        <v>155</v>
      </c>
      <c r="G237" s="5">
        <f t="shared" si="5"/>
        <v>1.2465441140806277E-2</v>
      </c>
      <c r="I237" s="24"/>
      <c r="J237" s="24"/>
      <c r="K237" s="24"/>
      <c r="L237" s="24"/>
      <c r="M237" s="24"/>
      <c r="N237" s="24"/>
      <c r="O237" s="5"/>
    </row>
    <row r="238" spans="1:15">
      <c r="A238" s="67">
        <v>204.71</v>
      </c>
      <c r="B238" s="67">
        <v>206.72370000000001</v>
      </c>
      <c r="C238" s="67">
        <v>203.72</v>
      </c>
      <c r="D238" s="67">
        <v>206</v>
      </c>
      <c r="E238" s="67">
        <v>244602</v>
      </c>
      <c r="F238" s="67" t="s">
        <v>154</v>
      </c>
      <c r="G238" s="5">
        <f t="shared" si="5"/>
        <v>-6.2621359223300477E-3</v>
      </c>
      <c r="I238" s="24"/>
      <c r="J238" s="24"/>
      <c r="K238" s="24"/>
      <c r="L238" s="24"/>
      <c r="M238" s="24"/>
      <c r="N238" s="24"/>
      <c r="O238" s="5"/>
    </row>
    <row r="239" spans="1:15">
      <c r="A239" s="67">
        <v>206.55</v>
      </c>
      <c r="B239" s="67">
        <v>208.22</v>
      </c>
      <c r="C239" s="67">
        <v>204.89</v>
      </c>
      <c r="D239" s="67">
        <v>204.89</v>
      </c>
      <c r="E239" s="67">
        <v>330421</v>
      </c>
      <c r="F239" s="67" t="s">
        <v>153</v>
      </c>
      <c r="G239" s="5">
        <f t="shared" si="5"/>
        <v>8.1019083410611703E-3</v>
      </c>
      <c r="I239" s="24"/>
      <c r="J239" s="24"/>
      <c r="K239" s="24"/>
      <c r="L239" s="24"/>
      <c r="M239" s="24"/>
      <c r="N239" s="24"/>
      <c r="O239" s="5"/>
    </row>
    <row r="240" spans="1:15">
      <c r="A240" s="67">
        <v>203.71</v>
      </c>
      <c r="B240" s="67">
        <v>205.36</v>
      </c>
      <c r="C240" s="67">
        <v>199.01</v>
      </c>
      <c r="D240" s="67">
        <v>205.36</v>
      </c>
      <c r="E240" s="67">
        <v>249777</v>
      </c>
      <c r="F240" s="67" t="s">
        <v>152</v>
      </c>
      <c r="G240" s="5">
        <f t="shared" si="5"/>
        <v>-8.0346708219711793E-3</v>
      </c>
      <c r="I240" s="24"/>
      <c r="J240" s="24"/>
      <c r="K240" s="24"/>
      <c r="L240" s="24"/>
      <c r="M240" s="24"/>
      <c r="N240" s="24"/>
      <c r="O240" s="5"/>
    </row>
    <row r="241" spans="1:15">
      <c r="A241" s="67">
        <v>205.62</v>
      </c>
      <c r="B241" s="67">
        <v>206.81</v>
      </c>
      <c r="C241" s="67">
        <v>202</v>
      </c>
      <c r="D241" s="67">
        <v>205.85</v>
      </c>
      <c r="E241" s="67">
        <v>228881</v>
      </c>
      <c r="F241" s="67" t="s">
        <v>151</v>
      </c>
      <c r="G241" s="5">
        <f t="shared" si="5"/>
        <v>-1.1173184357541333E-3</v>
      </c>
      <c r="I241" s="24"/>
      <c r="J241" s="24"/>
      <c r="K241" s="24"/>
      <c r="L241" s="24"/>
      <c r="M241" s="24"/>
      <c r="N241" s="24"/>
      <c r="O241" s="5"/>
    </row>
    <row r="242" spans="1:15">
      <c r="A242" s="67">
        <v>206.68</v>
      </c>
      <c r="B242" s="67">
        <v>209.91</v>
      </c>
      <c r="C242" s="67">
        <v>201.96</v>
      </c>
      <c r="D242" s="67">
        <v>208.35</v>
      </c>
      <c r="E242" s="67">
        <v>225223</v>
      </c>
      <c r="F242" s="67" t="s">
        <v>150</v>
      </c>
      <c r="G242" s="5">
        <f t="shared" ref="G242:G305" si="6">A242/D242-1</f>
        <v>-8.0153587712982199E-3</v>
      </c>
      <c r="I242" s="24"/>
      <c r="J242" s="24"/>
      <c r="K242" s="24"/>
      <c r="L242" s="24"/>
      <c r="M242" s="24"/>
      <c r="N242" s="24"/>
      <c r="O242" s="5"/>
    </row>
    <row r="243" spans="1:15">
      <c r="A243" s="67">
        <v>208.65</v>
      </c>
      <c r="B243" s="67">
        <v>209.69499999999999</v>
      </c>
      <c r="C243" s="67">
        <v>203.84</v>
      </c>
      <c r="D243" s="67">
        <v>204.29</v>
      </c>
      <c r="E243" s="67">
        <v>221677</v>
      </c>
      <c r="F243" s="67" t="s">
        <v>149</v>
      </c>
      <c r="G243" s="5">
        <f t="shared" si="6"/>
        <v>2.1342209603994355E-2</v>
      </c>
      <c r="I243" s="24"/>
      <c r="J243" s="24"/>
      <c r="K243" s="24"/>
      <c r="L243" s="24"/>
      <c r="M243" s="24"/>
      <c r="N243" s="24"/>
      <c r="O243" s="5"/>
    </row>
    <row r="244" spans="1:15">
      <c r="A244" s="67">
        <v>202.26</v>
      </c>
      <c r="B244" s="67">
        <v>206.28</v>
      </c>
      <c r="C244" s="67">
        <v>198.68</v>
      </c>
      <c r="D244" s="67">
        <v>205.43</v>
      </c>
      <c r="E244" s="67">
        <v>280298</v>
      </c>
      <c r="F244" s="67" t="s">
        <v>148</v>
      </c>
      <c r="G244" s="5">
        <f t="shared" si="6"/>
        <v>-1.5431047071995385E-2</v>
      </c>
      <c r="I244" s="24"/>
      <c r="J244" s="24"/>
      <c r="K244" s="24"/>
      <c r="L244" s="24"/>
      <c r="M244" s="24"/>
      <c r="N244" s="24"/>
      <c r="O244" s="5"/>
    </row>
    <row r="245" spans="1:15">
      <c r="A245" s="67">
        <v>205.43</v>
      </c>
      <c r="B245" s="67">
        <v>209.41</v>
      </c>
      <c r="C245" s="67">
        <v>203.79499999999999</v>
      </c>
      <c r="D245" s="67">
        <v>204.96</v>
      </c>
      <c r="E245" s="67">
        <v>272458</v>
      </c>
      <c r="F245" s="67" t="s">
        <v>147</v>
      </c>
      <c r="G245" s="5">
        <f t="shared" si="6"/>
        <v>2.2931303669009306E-3</v>
      </c>
      <c r="I245" s="24"/>
      <c r="J245" s="24"/>
      <c r="K245" s="24"/>
      <c r="L245" s="24"/>
      <c r="M245" s="24"/>
      <c r="N245" s="24"/>
      <c r="O245" s="5"/>
    </row>
    <row r="246" spans="1:15">
      <c r="A246" s="67">
        <v>206.62</v>
      </c>
      <c r="B246" s="67">
        <v>212.48</v>
      </c>
      <c r="C246" s="67">
        <v>204.87</v>
      </c>
      <c r="D246" s="67">
        <v>211.39</v>
      </c>
      <c r="E246" s="67">
        <v>361428</v>
      </c>
      <c r="F246" s="67" t="s">
        <v>146</v>
      </c>
      <c r="G246" s="5">
        <f t="shared" si="6"/>
        <v>-2.2564927385401279E-2</v>
      </c>
      <c r="I246" s="24"/>
      <c r="J246" s="24"/>
      <c r="K246" s="24"/>
      <c r="L246" s="24"/>
      <c r="M246" s="24"/>
      <c r="N246" s="24"/>
      <c r="O246" s="5"/>
    </row>
    <row r="247" spans="1:15">
      <c r="A247" s="67">
        <v>211.36</v>
      </c>
      <c r="B247" s="67">
        <v>217.44</v>
      </c>
      <c r="C247" s="67">
        <v>204.77</v>
      </c>
      <c r="D247" s="67">
        <v>205</v>
      </c>
      <c r="E247" s="67">
        <v>586871</v>
      </c>
      <c r="F247" s="67" t="s">
        <v>145</v>
      </c>
      <c r="G247" s="5">
        <f t="shared" si="6"/>
        <v>3.1024390243902467E-2</v>
      </c>
      <c r="I247" s="24"/>
      <c r="J247" s="24"/>
      <c r="K247" s="24"/>
      <c r="L247" s="24"/>
      <c r="M247" s="24"/>
      <c r="N247" s="24"/>
      <c r="O247" s="5"/>
    </row>
    <row r="248" spans="1:15">
      <c r="A248" s="67">
        <v>203.19</v>
      </c>
      <c r="B248" s="67">
        <v>203.86</v>
      </c>
      <c r="C248" s="67">
        <v>193.495</v>
      </c>
      <c r="D248" s="67">
        <v>193.7</v>
      </c>
      <c r="E248" s="67">
        <v>387667</v>
      </c>
      <c r="F248" s="67" t="s">
        <v>144</v>
      </c>
      <c r="G248" s="5">
        <f t="shared" si="6"/>
        <v>4.8993288590604145E-2</v>
      </c>
      <c r="I248" s="24"/>
      <c r="J248" s="24"/>
      <c r="K248" s="24"/>
      <c r="L248" s="24"/>
      <c r="M248" s="24"/>
      <c r="N248" s="24"/>
      <c r="O248" s="5"/>
    </row>
    <row r="249" spans="1:15">
      <c r="A249" s="67">
        <v>192.58</v>
      </c>
      <c r="B249" s="67">
        <v>197.22</v>
      </c>
      <c r="C249" s="67">
        <v>192.54</v>
      </c>
      <c r="D249" s="67">
        <v>197.22</v>
      </c>
      <c r="E249" s="67">
        <v>295550</v>
      </c>
      <c r="F249" s="67" t="s">
        <v>143</v>
      </c>
      <c r="G249" s="5">
        <f t="shared" si="6"/>
        <v>-2.352702565662701E-2</v>
      </c>
      <c r="I249" s="24"/>
      <c r="J249" s="24"/>
      <c r="K249" s="24"/>
      <c r="L249" s="24"/>
      <c r="M249" s="24"/>
      <c r="N249" s="24"/>
      <c r="O249" s="5"/>
    </row>
    <row r="250" spans="1:15">
      <c r="A250" s="67">
        <v>197.55</v>
      </c>
      <c r="B250" s="67">
        <v>197.82</v>
      </c>
      <c r="C250" s="67">
        <v>193.66</v>
      </c>
      <c r="D250" s="67">
        <v>194.75</v>
      </c>
      <c r="E250" s="67">
        <v>272446</v>
      </c>
      <c r="F250" s="67" t="s">
        <v>142</v>
      </c>
      <c r="G250" s="5">
        <f t="shared" si="6"/>
        <v>1.4377406931964209E-2</v>
      </c>
      <c r="I250" s="24"/>
      <c r="J250" s="24"/>
      <c r="K250" s="24"/>
      <c r="L250" s="24"/>
      <c r="M250" s="24"/>
      <c r="N250" s="24"/>
      <c r="O250" s="5"/>
    </row>
    <row r="251" spans="1:15">
      <c r="A251" s="67">
        <v>194.81</v>
      </c>
      <c r="B251" s="67">
        <v>196.41</v>
      </c>
      <c r="C251" s="67">
        <v>190.51</v>
      </c>
      <c r="D251" s="67">
        <v>191.96</v>
      </c>
      <c r="E251" s="67">
        <v>273502</v>
      </c>
      <c r="F251" s="67" t="s">
        <v>141</v>
      </c>
      <c r="G251" s="5">
        <f t="shared" si="6"/>
        <v>1.4846843092310769E-2</v>
      </c>
      <c r="I251" s="24"/>
      <c r="J251" s="24"/>
      <c r="K251" s="24"/>
      <c r="L251" s="24"/>
      <c r="M251" s="24"/>
      <c r="N251" s="24"/>
      <c r="O251" s="5"/>
    </row>
    <row r="252" spans="1:15">
      <c r="A252" s="67">
        <v>190.81</v>
      </c>
      <c r="B252" s="67">
        <v>194.64</v>
      </c>
      <c r="C252" s="67">
        <v>190.08</v>
      </c>
      <c r="D252" s="67">
        <v>194.64</v>
      </c>
      <c r="E252" s="67">
        <v>244036</v>
      </c>
      <c r="F252" s="67" t="s">
        <v>140</v>
      </c>
      <c r="G252" s="5">
        <f t="shared" si="6"/>
        <v>-1.9677353062063196E-2</v>
      </c>
      <c r="I252" s="24"/>
      <c r="J252" s="24"/>
      <c r="K252" s="24"/>
      <c r="L252" s="24"/>
      <c r="M252" s="24"/>
      <c r="N252" s="24"/>
      <c r="O252" s="5"/>
    </row>
    <row r="253" spans="1:15">
      <c r="A253" s="67">
        <v>194.73</v>
      </c>
      <c r="B253" s="67">
        <v>198.89</v>
      </c>
      <c r="C253" s="67">
        <v>192.26</v>
      </c>
      <c r="D253" s="67">
        <v>197.59</v>
      </c>
      <c r="E253" s="67">
        <v>243639</v>
      </c>
      <c r="F253" s="67" t="s">
        <v>139</v>
      </c>
      <c r="G253" s="5">
        <f t="shared" si="6"/>
        <v>-1.4474416721494077E-2</v>
      </c>
      <c r="I253" s="24"/>
      <c r="J253" s="24"/>
      <c r="K253" s="24"/>
      <c r="L253" s="24"/>
      <c r="M253" s="24"/>
      <c r="N253" s="24"/>
      <c r="O253" s="5"/>
    </row>
    <row r="254" spans="1:15">
      <c r="A254" s="67">
        <v>194.99</v>
      </c>
      <c r="B254" s="67">
        <v>197.09</v>
      </c>
      <c r="C254" s="67">
        <v>189.94</v>
      </c>
      <c r="D254" s="67">
        <v>192.18</v>
      </c>
      <c r="E254" s="67">
        <v>304184</v>
      </c>
      <c r="F254" s="67" t="s">
        <v>138</v>
      </c>
      <c r="G254" s="5">
        <f t="shared" si="6"/>
        <v>1.4621708814652967E-2</v>
      </c>
      <c r="I254" s="24"/>
      <c r="J254" s="24"/>
      <c r="K254" s="24"/>
      <c r="L254" s="24"/>
      <c r="M254" s="24"/>
      <c r="N254" s="24"/>
      <c r="O254" s="5"/>
    </row>
    <row r="255" spans="1:15">
      <c r="A255" s="67">
        <v>193.02</v>
      </c>
      <c r="B255" s="67">
        <v>194.01</v>
      </c>
      <c r="C255" s="67">
        <v>187.84</v>
      </c>
      <c r="D255" s="67">
        <v>190.83</v>
      </c>
      <c r="E255" s="67">
        <v>248342</v>
      </c>
      <c r="F255" s="67" t="s">
        <v>137</v>
      </c>
      <c r="G255" s="5">
        <f t="shared" si="6"/>
        <v>1.1476182990095785E-2</v>
      </c>
      <c r="I255" s="24"/>
      <c r="J255" s="24"/>
      <c r="K255" s="24"/>
      <c r="L255" s="24"/>
      <c r="M255" s="24"/>
      <c r="N255" s="24"/>
      <c r="O255" s="5"/>
    </row>
    <row r="256" spans="1:15">
      <c r="A256" s="67">
        <v>191.56</v>
      </c>
      <c r="B256" s="67">
        <v>194.55</v>
      </c>
      <c r="C256" s="67">
        <v>186.965</v>
      </c>
      <c r="D256" s="67">
        <v>193.93</v>
      </c>
      <c r="E256" s="67">
        <v>274310</v>
      </c>
      <c r="F256" s="67" t="s">
        <v>136</v>
      </c>
      <c r="G256" s="5">
        <f t="shared" si="6"/>
        <v>-1.22209044500593E-2</v>
      </c>
      <c r="I256" s="24"/>
      <c r="J256" s="24"/>
      <c r="K256" s="24"/>
      <c r="L256" s="24"/>
      <c r="M256" s="24"/>
      <c r="N256" s="24"/>
      <c r="O256" s="5"/>
    </row>
    <row r="257" spans="1:15">
      <c r="A257" s="67">
        <v>194.31</v>
      </c>
      <c r="B257" s="67">
        <v>194.44</v>
      </c>
      <c r="C257" s="67">
        <v>191.12</v>
      </c>
      <c r="D257" s="67">
        <v>191.12</v>
      </c>
      <c r="E257" s="67">
        <v>296876</v>
      </c>
      <c r="F257" s="67" t="s">
        <v>135</v>
      </c>
      <c r="G257" s="5">
        <f t="shared" si="6"/>
        <v>1.6691084135621592E-2</v>
      </c>
      <c r="I257" s="24"/>
      <c r="J257" s="24"/>
      <c r="K257" s="24"/>
      <c r="L257" s="24"/>
      <c r="M257" s="24"/>
      <c r="N257" s="24"/>
      <c r="O257" s="5"/>
    </row>
    <row r="258" spans="1:15">
      <c r="A258" s="67">
        <v>191.55</v>
      </c>
      <c r="B258" s="67">
        <v>195.02</v>
      </c>
      <c r="C258" s="67">
        <v>189.47</v>
      </c>
      <c r="D258" s="67">
        <v>193.27</v>
      </c>
      <c r="E258" s="67">
        <v>159095</v>
      </c>
      <c r="F258" s="67" t="s">
        <v>134</v>
      </c>
      <c r="G258" s="5">
        <f t="shared" si="6"/>
        <v>-8.8994670667977838E-3</v>
      </c>
      <c r="I258" s="24"/>
      <c r="J258" s="24"/>
      <c r="K258" s="24"/>
      <c r="L258" s="24"/>
      <c r="M258" s="24"/>
      <c r="N258" s="24"/>
      <c r="O258" s="5"/>
    </row>
    <row r="259" spans="1:15">
      <c r="A259" s="67">
        <v>191.63</v>
      </c>
      <c r="B259" s="67">
        <v>192.1</v>
      </c>
      <c r="C259" s="67">
        <v>186.09</v>
      </c>
      <c r="D259" s="67">
        <v>189.71</v>
      </c>
      <c r="E259" s="67">
        <v>282054</v>
      </c>
      <c r="F259" s="67" t="s">
        <v>133</v>
      </c>
      <c r="G259" s="5">
        <f t="shared" si="6"/>
        <v>1.0120710558220392E-2</v>
      </c>
      <c r="I259" s="24"/>
      <c r="J259" s="24"/>
      <c r="K259" s="24"/>
      <c r="L259" s="24"/>
      <c r="M259" s="24"/>
      <c r="N259" s="24"/>
      <c r="O259" s="5"/>
    </row>
    <row r="260" spans="1:15">
      <c r="A260" s="67">
        <v>186.89</v>
      </c>
      <c r="B260" s="67">
        <v>191.96</v>
      </c>
      <c r="C260" s="67">
        <v>185.13</v>
      </c>
      <c r="D260" s="67">
        <v>191.96</v>
      </c>
      <c r="E260" s="67">
        <v>380320</v>
      </c>
      <c r="F260" s="67" t="s">
        <v>132</v>
      </c>
      <c r="G260" s="5">
        <f t="shared" si="6"/>
        <v>-2.6411752448426862E-2</v>
      </c>
      <c r="I260" s="24"/>
      <c r="J260" s="24"/>
      <c r="K260" s="24"/>
      <c r="L260" s="24"/>
      <c r="M260" s="24"/>
      <c r="N260" s="24"/>
      <c r="O260" s="5"/>
    </row>
    <row r="261" spans="1:15">
      <c r="A261" s="67">
        <v>191.4</v>
      </c>
      <c r="B261" s="67">
        <v>195.95</v>
      </c>
      <c r="C261" s="67">
        <v>191.35</v>
      </c>
      <c r="D261" s="67">
        <v>195.86</v>
      </c>
      <c r="E261" s="67">
        <v>332508</v>
      </c>
      <c r="F261" s="67" t="s">
        <v>131</v>
      </c>
      <c r="G261" s="5">
        <f t="shared" si="6"/>
        <v>-2.2771367303175749E-2</v>
      </c>
      <c r="I261" s="24"/>
      <c r="J261" s="24"/>
      <c r="K261" s="24"/>
      <c r="L261" s="24"/>
      <c r="M261" s="24"/>
      <c r="N261" s="24"/>
      <c r="O261" s="5"/>
    </row>
    <row r="262" spans="1:15">
      <c r="A262" s="67">
        <v>194.9</v>
      </c>
      <c r="B262" s="67">
        <v>198.95750000000001</v>
      </c>
      <c r="C262" s="67">
        <v>194.655</v>
      </c>
      <c r="D262" s="67">
        <v>196.09</v>
      </c>
      <c r="E262" s="67">
        <v>276361</v>
      </c>
      <c r="F262" s="67" t="s">
        <v>130</v>
      </c>
      <c r="G262" s="5">
        <f t="shared" si="6"/>
        <v>-6.0686419501249089E-3</v>
      </c>
      <c r="I262" s="24"/>
      <c r="J262" s="24"/>
      <c r="K262" s="24"/>
      <c r="L262" s="24"/>
      <c r="M262" s="24"/>
      <c r="N262" s="24"/>
      <c r="O262" s="5"/>
    </row>
    <row r="263" spans="1:15">
      <c r="A263" s="67">
        <v>195</v>
      </c>
      <c r="B263" s="67">
        <v>200.77500000000001</v>
      </c>
      <c r="C263" s="67">
        <v>194.72499999999999</v>
      </c>
      <c r="D263" s="67">
        <v>200.22</v>
      </c>
      <c r="E263" s="67">
        <v>835823</v>
      </c>
      <c r="F263" s="67" t="s">
        <v>129</v>
      </c>
      <c r="G263" s="5">
        <f t="shared" si="6"/>
        <v>-2.6071321546299098E-2</v>
      </c>
      <c r="I263" s="24"/>
      <c r="J263" s="24"/>
      <c r="K263" s="24"/>
      <c r="L263" s="24"/>
      <c r="M263" s="24"/>
      <c r="N263" s="24"/>
      <c r="O263" s="5"/>
    </row>
    <row r="264" spans="1:15">
      <c r="A264" s="67">
        <v>200.82</v>
      </c>
      <c r="B264" s="67">
        <v>203.28</v>
      </c>
      <c r="C264" s="67">
        <v>198.09559999999999</v>
      </c>
      <c r="D264" s="67">
        <v>201</v>
      </c>
      <c r="E264" s="67">
        <v>370035</v>
      </c>
      <c r="F264" s="67" t="s">
        <v>128</v>
      </c>
      <c r="G264" s="5">
        <f t="shared" si="6"/>
        <v>-8.9552238805978845E-4</v>
      </c>
      <c r="I264" s="24"/>
      <c r="J264" s="24"/>
      <c r="K264" s="24"/>
      <c r="L264" s="24"/>
      <c r="M264" s="24"/>
      <c r="N264" s="24"/>
      <c r="O264" s="5"/>
    </row>
    <row r="265" spans="1:15">
      <c r="A265" s="67">
        <v>195.58</v>
      </c>
      <c r="B265" s="67">
        <v>199.66</v>
      </c>
      <c r="C265" s="67">
        <v>188.75</v>
      </c>
      <c r="D265" s="67">
        <v>189.71</v>
      </c>
      <c r="E265" s="67">
        <v>464298</v>
      </c>
      <c r="F265" s="67" t="s">
        <v>127</v>
      </c>
      <c r="G265" s="5">
        <f t="shared" si="6"/>
        <v>3.0941964050392734E-2</v>
      </c>
      <c r="I265" s="24"/>
      <c r="J265" s="24"/>
      <c r="K265" s="24"/>
      <c r="L265" s="24"/>
      <c r="M265" s="24"/>
      <c r="N265" s="24"/>
      <c r="O265" s="5"/>
    </row>
    <row r="266" spans="1:15">
      <c r="A266" s="67">
        <v>187.06</v>
      </c>
      <c r="B266" s="67">
        <v>192.92</v>
      </c>
      <c r="C266" s="67">
        <v>185.07</v>
      </c>
      <c r="D266" s="67">
        <v>188.18</v>
      </c>
      <c r="E266" s="67">
        <v>406336</v>
      </c>
      <c r="F266" s="67" t="s">
        <v>126</v>
      </c>
      <c r="G266" s="5">
        <f t="shared" si="6"/>
        <v>-5.9517483260708159E-3</v>
      </c>
      <c r="I266" s="24"/>
      <c r="J266" s="24"/>
      <c r="K266" s="24"/>
      <c r="L266" s="24"/>
      <c r="M266" s="24"/>
      <c r="N266" s="24"/>
      <c r="O266" s="5"/>
    </row>
    <row r="267" spans="1:15">
      <c r="A267" s="67">
        <v>187.65</v>
      </c>
      <c r="B267" s="67">
        <v>191.29</v>
      </c>
      <c r="C267" s="67">
        <v>184.8</v>
      </c>
      <c r="D267" s="67">
        <v>187.29</v>
      </c>
      <c r="E267" s="67">
        <v>497037</v>
      </c>
      <c r="F267" s="67" t="s">
        <v>125</v>
      </c>
      <c r="G267" s="5">
        <f t="shared" si="6"/>
        <v>1.922152811148603E-3</v>
      </c>
      <c r="I267" s="24"/>
      <c r="J267" s="24"/>
      <c r="K267" s="24"/>
      <c r="L267" s="24"/>
      <c r="M267" s="24"/>
      <c r="N267" s="24"/>
      <c r="O267" s="5"/>
    </row>
    <row r="268" spans="1:15">
      <c r="A268" s="67">
        <v>186.94</v>
      </c>
      <c r="B268" s="67">
        <v>200.01</v>
      </c>
      <c r="C268" s="67">
        <v>186.78</v>
      </c>
      <c r="D268" s="67">
        <v>199.31</v>
      </c>
      <c r="E268" s="67">
        <v>601133</v>
      </c>
      <c r="F268" s="67" t="s">
        <v>124</v>
      </c>
      <c r="G268" s="5">
        <f t="shared" si="6"/>
        <v>-6.2064121218202817E-2</v>
      </c>
      <c r="I268" s="24"/>
      <c r="J268" s="24"/>
      <c r="K268" s="24"/>
      <c r="L268" s="24"/>
      <c r="M268" s="24"/>
      <c r="N268" s="24"/>
      <c r="O268" s="5"/>
    </row>
    <row r="269" spans="1:15">
      <c r="A269" s="67">
        <v>200.01</v>
      </c>
      <c r="B269" s="67">
        <v>203.63</v>
      </c>
      <c r="C269" s="67">
        <v>198.06</v>
      </c>
      <c r="D269" s="67">
        <v>202.03</v>
      </c>
      <c r="E269" s="67">
        <v>257034</v>
      </c>
      <c r="F269" s="67" t="s">
        <v>123</v>
      </c>
      <c r="G269" s="5">
        <f t="shared" si="6"/>
        <v>-9.9985150720190985E-3</v>
      </c>
      <c r="I269" s="24"/>
      <c r="J269" s="24"/>
      <c r="K269" s="24"/>
      <c r="L269" s="24"/>
      <c r="M269" s="24"/>
      <c r="N269" s="24"/>
      <c r="O269" s="5"/>
    </row>
    <row r="270" spans="1:15">
      <c r="A270" s="67">
        <v>202.31</v>
      </c>
      <c r="B270" s="67">
        <v>205.23</v>
      </c>
      <c r="C270" s="67">
        <v>198.87</v>
      </c>
      <c r="D270" s="67">
        <v>201.88</v>
      </c>
      <c r="E270" s="67">
        <v>393491</v>
      </c>
      <c r="F270" s="67" t="s">
        <v>122</v>
      </c>
      <c r="G270" s="5">
        <f t="shared" si="6"/>
        <v>2.129978204874261E-3</v>
      </c>
      <c r="I270" s="24"/>
      <c r="J270" s="24"/>
      <c r="K270" s="24"/>
      <c r="L270" s="24"/>
      <c r="M270" s="24"/>
      <c r="N270" s="24"/>
      <c r="O270" s="5"/>
    </row>
    <row r="271" spans="1:15">
      <c r="A271" s="67">
        <v>204.12</v>
      </c>
      <c r="B271" s="67">
        <v>207.81</v>
      </c>
      <c r="C271" s="67">
        <v>194.78</v>
      </c>
      <c r="D271" s="67">
        <v>194.78</v>
      </c>
      <c r="E271" s="67">
        <v>445925</v>
      </c>
      <c r="F271" s="67" t="s">
        <v>121</v>
      </c>
      <c r="G271" s="5">
        <f t="shared" si="6"/>
        <v>4.7951535065201778E-2</v>
      </c>
      <c r="I271" s="24"/>
      <c r="J271" s="24"/>
      <c r="K271" s="24"/>
      <c r="L271" s="24"/>
      <c r="M271" s="24"/>
      <c r="N271" s="24"/>
      <c r="O271" s="5"/>
    </row>
    <row r="272" spans="1:15">
      <c r="A272" s="67">
        <v>195.08</v>
      </c>
      <c r="B272" s="67">
        <v>204.8</v>
      </c>
      <c r="C272" s="67">
        <v>194.86</v>
      </c>
      <c r="D272" s="67">
        <v>203.98</v>
      </c>
      <c r="E272" s="67">
        <v>550892</v>
      </c>
      <c r="F272" s="67" t="s">
        <v>120</v>
      </c>
      <c r="G272" s="5">
        <f t="shared" si="6"/>
        <v>-4.3631728600843078E-2</v>
      </c>
      <c r="I272" s="24"/>
      <c r="J272" s="24"/>
      <c r="K272" s="24"/>
      <c r="L272" s="24"/>
      <c r="M272" s="24"/>
      <c r="N272" s="24"/>
      <c r="O272" s="5"/>
    </row>
    <row r="273" spans="1:15">
      <c r="A273" s="67">
        <v>203.73</v>
      </c>
      <c r="B273" s="67">
        <v>205.99590000000001</v>
      </c>
      <c r="C273" s="67">
        <v>199.93</v>
      </c>
      <c r="D273" s="67">
        <v>204.46</v>
      </c>
      <c r="E273" s="67">
        <v>539207</v>
      </c>
      <c r="F273" s="67" t="s">
        <v>119</v>
      </c>
      <c r="G273" s="5">
        <f t="shared" si="6"/>
        <v>-3.5703805145261835E-3</v>
      </c>
      <c r="I273" s="24"/>
      <c r="J273" s="24"/>
      <c r="K273" s="24"/>
      <c r="L273" s="24"/>
      <c r="M273" s="24"/>
      <c r="N273" s="24"/>
      <c r="O273" s="5"/>
    </row>
    <row r="274" spans="1:15">
      <c r="A274" s="67">
        <v>204.04</v>
      </c>
      <c r="B274" s="67">
        <v>205.51</v>
      </c>
      <c r="C274" s="67">
        <v>199.99</v>
      </c>
      <c r="D274" s="67">
        <v>202.39</v>
      </c>
      <c r="E274" s="67">
        <v>306028</v>
      </c>
      <c r="F274" s="67" t="s">
        <v>118</v>
      </c>
      <c r="G274" s="5">
        <f t="shared" si="6"/>
        <v>8.1525767083354683E-3</v>
      </c>
      <c r="I274" s="24"/>
      <c r="J274" s="24"/>
      <c r="K274" s="24"/>
      <c r="L274" s="24"/>
      <c r="M274" s="24"/>
      <c r="N274" s="24"/>
      <c r="O274" s="5"/>
    </row>
    <row r="275" spans="1:15">
      <c r="A275" s="67">
        <v>202.55</v>
      </c>
      <c r="B275" s="67">
        <v>209.68</v>
      </c>
      <c r="C275" s="67">
        <v>202.17</v>
      </c>
      <c r="D275" s="67">
        <v>204.11</v>
      </c>
      <c r="E275" s="67">
        <v>340274</v>
      </c>
      <c r="F275" s="67" t="s">
        <v>117</v>
      </c>
      <c r="G275" s="5">
        <f t="shared" si="6"/>
        <v>-7.6429376316692332E-3</v>
      </c>
      <c r="I275" s="24"/>
      <c r="J275" s="24"/>
      <c r="K275" s="24"/>
      <c r="L275" s="24"/>
      <c r="M275" s="24"/>
      <c r="N275" s="24"/>
      <c r="O275" s="5"/>
    </row>
    <row r="276" spans="1:15">
      <c r="A276" s="67">
        <v>204.97</v>
      </c>
      <c r="B276" s="67">
        <v>209.245</v>
      </c>
      <c r="C276" s="67">
        <v>203.01</v>
      </c>
      <c r="D276" s="67">
        <v>203.01</v>
      </c>
      <c r="E276" s="67">
        <v>358909</v>
      </c>
      <c r="F276" s="67" t="s">
        <v>116</v>
      </c>
      <c r="G276" s="5">
        <f t="shared" si="6"/>
        <v>9.6546968129649358E-3</v>
      </c>
      <c r="I276" s="24"/>
      <c r="J276" s="24"/>
      <c r="K276" s="24"/>
      <c r="L276" s="24"/>
      <c r="M276" s="24"/>
      <c r="N276" s="24"/>
      <c r="O276" s="5"/>
    </row>
    <row r="277" spans="1:15">
      <c r="A277" s="67">
        <v>202.32</v>
      </c>
      <c r="B277" s="67">
        <v>203.83500000000001</v>
      </c>
      <c r="C277" s="67">
        <v>199.86</v>
      </c>
      <c r="D277" s="67">
        <v>202.35</v>
      </c>
      <c r="E277" s="67">
        <v>267470</v>
      </c>
      <c r="F277" s="67" t="s">
        <v>115</v>
      </c>
      <c r="G277" s="5">
        <f t="shared" si="6"/>
        <v>-1.482579688658614E-4</v>
      </c>
      <c r="I277" s="24"/>
      <c r="J277" s="24"/>
      <c r="K277" s="24"/>
      <c r="L277" s="24"/>
      <c r="M277" s="24"/>
      <c r="N277" s="24"/>
      <c r="O277" s="5"/>
    </row>
    <row r="278" spans="1:15">
      <c r="A278" s="67">
        <v>202.4</v>
      </c>
      <c r="B278" s="67">
        <v>204.93</v>
      </c>
      <c r="C278" s="67">
        <v>201.4</v>
      </c>
      <c r="D278" s="67">
        <v>202.24</v>
      </c>
      <c r="E278" s="67">
        <v>286392</v>
      </c>
      <c r="F278" s="67" t="s">
        <v>114</v>
      </c>
      <c r="G278" s="5">
        <f t="shared" si="6"/>
        <v>7.9113924050622231E-4</v>
      </c>
      <c r="I278" s="24"/>
      <c r="J278" s="24"/>
      <c r="K278" s="24"/>
      <c r="L278" s="24"/>
      <c r="M278" s="24"/>
      <c r="N278" s="24"/>
      <c r="O278" s="5"/>
    </row>
    <row r="279" spans="1:15">
      <c r="A279" s="67">
        <v>200.46</v>
      </c>
      <c r="B279" s="67">
        <v>204.35</v>
      </c>
      <c r="C279" s="67">
        <v>197.98</v>
      </c>
      <c r="D279" s="67">
        <v>203.36</v>
      </c>
      <c r="E279" s="67">
        <v>323259</v>
      </c>
      <c r="F279" s="67" t="s">
        <v>113</v>
      </c>
      <c r="G279" s="5">
        <f t="shared" si="6"/>
        <v>-1.4260424862313159E-2</v>
      </c>
      <c r="I279" s="24"/>
      <c r="J279" s="24"/>
      <c r="K279" s="24"/>
      <c r="L279" s="24"/>
      <c r="M279" s="24"/>
      <c r="N279" s="24"/>
      <c r="O279" s="5"/>
    </row>
    <row r="280" spans="1:15">
      <c r="A280" s="67">
        <v>203.16</v>
      </c>
      <c r="B280" s="67">
        <v>203.99</v>
      </c>
      <c r="C280" s="67">
        <v>199.39500000000001</v>
      </c>
      <c r="D280" s="67">
        <v>200.53</v>
      </c>
      <c r="E280" s="67">
        <v>334792</v>
      </c>
      <c r="F280" s="67" t="s">
        <v>112</v>
      </c>
      <c r="G280" s="5">
        <f t="shared" si="6"/>
        <v>1.3115244601805243E-2</v>
      </c>
      <c r="I280" s="24"/>
      <c r="J280" s="24"/>
      <c r="K280" s="24"/>
      <c r="L280" s="24"/>
      <c r="M280" s="24"/>
      <c r="N280" s="24"/>
      <c r="O280" s="5"/>
    </row>
    <row r="281" spans="1:15">
      <c r="A281" s="67">
        <v>202.07</v>
      </c>
      <c r="B281" s="67">
        <v>210.01499999999999</v>
      </c>
      <c r="C281" s="67">
        <v>201.98</v>
      </c>
      <c r="D281" s="67">
        <v>209.54</v>
      </c>
      <c r="E281" s="67">
        <v>420489</v>
      </c>
      <c r="F281" s="67" t="s">
        <v>111</v>
      </c>
      <c r="G281" s="5">
        <f t="shared" si="6"/>
        <v>-3.5649517991791502E-2</v>
      </c>
      <c r="I281" s="24"/>
      <c r="J281" s="24"/>
      <c r="K281" s="24"/>
      <c r="L281" s="24"/>
      <c r="M281" s="24"/>
      <c r="N281" s="24"/>
      <c r="O281" s="5"/>
    </row>
    <row r="282" spans="1:15">
      <c r="A282" s="67">
        <v>210.12</v>
      </c>
      <c r="B282" s="67">
        <v>211.185</v>
      </c>
      <c r="C282" s="67">
        <v>198.66</v>
      </c>
      <c r="D282" s="67">
        <v>199.24</v>
      </c>
      <c r="E282" s="67">
        <v>983455</v>
      </c>
      <c r="F282" s="67" t="s">
        <v>110</v>
      </c>
      <c r="G282" s="5">
        <f t="shared" si="6"/>
        <v>5.4607508532423132E-2</v>
      </c>
      <c r="I282" s="24"/>
      <c r="J282" s="24"/>
      <c r="K282" s="24"/>
      <c r="L282" s="24"/>
      <c r="M282" s="24"/>
      <c r="N282" s="24"/>
      <c r="O282" s="5"/>
    </row>
    <row r="283" spans="1:15">
      <c r="A283" s="67">
        <v>197.57</v>
      </c>
      <c r="B283" s="67">
        <v>200.16</v>
      </c>
      <c r="C283" s="67">
        <v>195.03</v>
      </c>
      <c r="D283" s="67">
        <v>196</v>
      </c>
      <c r="E283" s="67">
        <v>382720</v>
      </c>
      <c r="F283" s="67" t="s">
        <v>109</v>
      </c>
      <c r="G283" s="5">
        <f t="shared" si="6"/>
        <v>8.0102040816325548E-3</v>
      </c>
      <c r="I283" s="24"/>
      <c r="J283" s="24"/>
      <c r="K283" s="24"/>
      <c r="L283" s="24"/>
      <c r="M283" s="24"/>
      <c r="N283" s="24"/>
      <c r="O283" s="5"/>
    </row>
    <row r="284" spans="1:15">
      <c r="A284" s="67">
        <v>195.21</v>
      </c>
      <c r="B284" s="67">
        <v>195.94499999999999</v>
      </c>
      <c r="C284" s="67">
        <v>191.52</v>
      </c>
      <c r="D284" s="67">
        <v>193.19</v>
      </c>
      <c r="E284" s="67">
        <v>331885</v>
      </c>
      <c r="F284" s="67" t="s">
        <v>108</v>
      </c>
      <c r="G284" s="5">
        <f t="shared" si="6"/>
        <v>1.0456027744707441E-2</v>
      </c>
      <c r="I284" s="24"/>
      <c r="J284" s="24"/>
      <c r="K284" s="24"/>
      <c r="L284" s="24"/>
      <c r="M284" s="24"/>
      <c r="N284" s="24"/>
      <c r="O284" s="5"/>
    </row>
    <row r="285" spans="1:15">
      <c r="A285" s="67">
        <v>192.07</v>
      </c>
      <c r="B285" s="67">
        <v>192.77</v>
      </c>
      <c r="C285" s="67">
        <v>187.99</v>
      </c>
      <c r="D285" s="67">
        <v>190.67</v>
      </c>
      <c r="E285" s="67">
        <v>550211</v>
      </c>
      <c r="F285" s="67" t="s">
        <v>107</v>
      </c>
      <c r="G285" s="5">
        <f t="shared" si="6"/>
        <v>7.3425289767661273E-3</v>
      </c>
      <c r="I285" s="24"/>
      <c r="J285" s="24"/>
      <c r="K285" s="24"/>
      <c r="L285" s="24"/>
      <c r="M285" s="24"/>
      <c r="N285" s="24"/>
      <c r="O285" s="5"/>
    </row>
    <row r="286" spans="1:15">
      <c r="A286" s="67">
        <v>191.45</v>
      </c>
      <c r="B286" s="67">
        <v>194.44</v>
      </c>
      <c r="C286" s="67">
        <v>188.62</v>
      </c>
      <c r="D286" s="67">
        <v>190.23</v>
      </c>
      <c r="E286" s="67">
        <v>419716</v>
      </c>
      <c r="F286" s="67" t="s">
        <v>106</v>
      </c>
      <c r="G286" s="5">
        <f t="shared" si="6"/>
        <v>6.4132891762602728E-3</v>
      </c>
      <c r="I286" s="24"/>
      <c r="J286" s="24"/>
      <c r="K286" s="24"/>
      <c r="L286" s="24"/>
      <c r="M286" s="24"/>
      <c r="N286" s="24"/>
      <c r="O286" s="5"/>
    </row>
    <row r="287" spans="1:15">
      <c r="A287" s="67">
        <v>190.51</v>
      </c>
      <c r="B287" s="67">
        <v>191.16</v>
      </c>
      <c r="C287" s="67">
        <v>186.68</v>
      </c>
      <c r="D287" s="67">
        <v>188.88</v>
      </c>
      <c r="E287" s="67">
        <v>320096</v>
      </c>
      <c r="F287" s="67" t="s">
        <v>105</v>
      </c>
      <c r="G287" s="5">
        <f t="shared" si="6"/>
        <v>8.6298178737822528E-3</v>
      </c>
      <c r="I287" s="24"/>
      <c r="J287" s="24"/>
      <c r="K287" s="24"/>
      <c r="L287" s="24"/>
      <c r="M287" s="24"/>
      <c r="N287" s="24"/>
      <c r="O287" s="5"/>
    </row>
    <row r="288" spans="1:15">
      <c r="A288" s="67">
        <v>189.26</v>
      </c>
      <c r="B288" s="67">
        <v>192.05</v>
      </c>
      <c r="C288" s="67">
        <v>184.19</v>
      </c>
      <c r="D288" s="67">
        <v>184.29</v>
      </c>
      <c r="E288" s="67">
        <v>520750</v>
      </c>
      <c r="F288" s="67" t="s">
        <v>104</v>
      </c>
      <c r="G288" s="5">
        <f t="shared" si="6"/>
        <v>2.6968365076781131E-2</v>
      </c>
      <c r="I288" s="24"/>
      <c r="J288" s="24"/>
      <c r="K288" s="24"/>
      <c r="L288" s="24"/>
      <c r="M288" s="24"/>
      <c r="N288" s="24"/>
      <c r="O288" s="5"/>
    </row>
    <row r="289" spans="1:15">
      <c r="A289" s="67">
        <v>183.1</v>
      </c>
      <c r="B289" s="67">
        <v>187.845</v>
      </c>
      <c r="C289" s="67">
        <v>181.13</v>
      </c>
      <c r="D289" s="67">
        <v>186.75</v>
      </c>
      <c r="E289" s="67">
        <v>545044</v>
      </c>
      <c r="F289" s="67" t="s">
        <v>103</v>
      </c>
      <c r="G289" s="5">
        <f t="shared" si="6"/>
        <v>-1.9544846050870146E-2</v>
      </c>
      <c r="I289" s="24"/>
      <c r="J289" s="24"/>
      <c r="K289" s="24"/>
      <c r="L289" s="24"/>
      <c r="M289" s="24"/>
      <c r="N289" s="24"/>
      <c r="O289" s="5"/>
    </row>
    <row r="290" spans="1:15">
      <c r="A290" s="67">
        <v>186.94</v>
      </c>
      <c r="B290" s="67">
        <v>194.51</v>
      </c>
      <c r="C290" s="67">
        <v>174.23</v>
      </c>
      <c r="D290" s="67">
        <v>177.29</v>
      </c>
      <c r="E290" s="67">
        <v>1046475</v>
      </c>
      <c r="F290" s="67" t="s">
        <v>102</v>
      </c>
      <c r="G290" s="5">
        <f t="shared" si="6"/>
        <v>5.4430593942128791E-2</v>
      </c>
      <c r="I290" s="24"/>
      <c r="J290" s="24"/>
      <c r="K290" s="24"/>
      <c r="L290" s="24"/>
      <c r="M290" s="24"/>
      <c r="N290" s="24"/>
      <c r="O290" s="5"/>
    </row>
    <row r="291" spans="1:15">
      <c r="A291" s="67">
        <v>168.79</v>
      </c>
      <c r="B291" s="67">
        <v>172.42</v>
      </c>
      <c r="C291" s="67">
        <v>168.3</v>
      </c>
      <c r="D291" s="67">
        <v>169.45</v>
      </c>
      <c r="E291" s="67">
        <v>383916</v>
      </c>
      <c r="F291" s="67" t="s">
        <v>101</v>
      </c>
      <c r="G291" s="5">
        <f t="shared" si="6"/>
        <v>-3.8949542637946033E-3</v>
      </c>
      <c r="I291" s="24"/>
      <c r="J291" s="24"/>
      <c r="K291" s="24"/>
      <c r="L291" s="24"/>
      <c r="M291" s="24"/>
      <c r="N291" s="24"/>
      <c r="O291" s="5"/>
    </row>
    <row r="292" spans="1:15">
      <c r="A292" s="67">
        <v>170.03</v>
      </c>
      <c r="B292" s="67">
        <v>171.27</v>
      </c>
      <c r="C292" s="67">
        <v>166.64</v>
      </c>
      <c r="D292" s="67">
        <v>170.11</v>
      </c>
      <c r="E292" s="67">
        <v>294006</v>
      </c>
      <c r="F292" s="67" t="s">
        <v>100</v>
      </c>
      <c r="G292" s="5">
        <f t="shared" si="6"/>
        <v>-4.7028393392523071E-4</v>
      </c>
      <c r="I292" s="24"/>
      <c r="J292" s="24"/>
      <c r="K292" s="24"/>
      <c r="L292" s="24"/>
      <c r="M292" s="24"/>
      <c r="N292" s="24"/>
      <c r="O292" s="5"/>
    </row>
    <row r="293" spans="1:15">
      <c r="A293" s="67">
        <v>169.38</v>
      </c>
      <c r="B293" s="67">
        <v>170.13</v>
      </c>
      <c r="C293" s="67">
        <v>164.42</v>
      </c>
      <c r="D293" s="67">
        <v>164.42</v>
      </c>
      <c r="E293" s="67">
        <v>349259</v>
      </c>
      <c r="F293" s="67" t="s">
        <v>99</v>
      </c>
      <c r="G293" s="5">
        <f t="shared" si="6"/>
        <v>3.0166646393382957E-2</v>
      </c>
      <c r="I293" s="24"/>
      <c r="J293" s="24"/>
      <c r="K293" s="24"/>
      <c r="L293" s="24"/>
      <c r="M293" s="24"/>
      <c r="N293" s="24"/>
      <c r="O293" s="5"/>
    </row>
    <row r="294" spans="1:15">
      <c r="A294" s="67">
        <v>163.63999999999999</v>
      </c>
      <c r="B294" s="67">
        <v>172.16</v>
      </c>
      <c r="C294" s="67">
        <v>163.63</v>
      </c>
      <c r="D294" s="67">
        <v>171.57</v>
      </c>
      <c r="E294" s="67">
        <v>451656</v>
      </c>
      <c r="F294" s="67" t="s">
        <v>98</v>
      </c>
      <c r="G294" s="5">
        <f t="shared" si="6"/>
        <v>-4.6220201666958172E-2</v>
      </c>
      <c r="I294" s="24"/>
      <c r="J294" s="24"/>
      <c r="K294" s="24"/>
      <c r="L294" s="24"/>
      <c r="M294" s="24"/>
      <c r="N294" s="24"/>
      <c r="O294" s="5"/>
    </row>
    <row r="295" spans="1:15">
      <c r="A295" s="67">
        <v>171.44</v>
      </c>
      <c r="B295" s="67">
        <v>177.9932</v>
      </c>
      <c r="C295" s="67">
        <v>171.41</v>
      </c>
      <c r="D295" s="67">
        <v>177.46</v>
      </c>
      <c r="E295" s="67">
        <v>551861</v>
      </c>
      <c r="F295" s="67" t="s">
        <v>97</v>
      </c>
      <c r="G295" s="5">
        <f t="shared" si="6"/>
        <v>-3.3923137608475207E-2</v>
      </c>
      <c r="I295" s="24"/>
      <c r="J295" s="24"/>
      <c r="K295" s="24"/>
      <c r="L295" s="24"/>
      <c r="M295" s="24"/>
      <c r="N295" s="24"/>
      <c r="O295" s="5"/>
    </row>
    <row r="296" spans="1:15">
      <c r="A296" s="67">
        <v>177.56</v>
      </c>
      <c r="B296" s="67">
        <v>181.44</v>
      </c>
      <c r="C296" s="67">
        <v>169.84</v>
      </c>
      <c r="D296" s="67">
        <v>170.63</v>
      </c>
      <c r="E296" s="67">
        <v>617380</v>
      </c>
      <c r="F296" s="67" t="s">
        <v>96</v>
      </c>
      <c r="G296" s="5">
        <f t="shared" si="6"/>
        <v>4.0614194455840247E-2</v>
      </c>
      <c r="I296" s="24"/>
      <c r="J296" s="24"/>
      <c r="K296" s="24"/>
      <c r="L296" s="24"/>
      <c r="M296" s="24"/>
      <c r="N296" s="24"/>
      <c r="O296" s="5"/>
    </row>
    <row r="297" spans="1:15">
      <c r="A297" s="67">
        <v>175.51</v>
      </c>
      <c r="B297" s="67">
        <v>180.5</v>
      </c>
      <c r="C297" s="67">
        <v>167.76</v>
      </c>
      <c r="D297" s="67">
        <v>169.91</v>
      </c>
      <c r="E297" s="67">
        <v>850453</v>
      </c>
      <c r="F297" s="67" t="s">
        <v>95</v>
      </c>
      <c r="G297" s="5">
        <f t="shared" si="6"/>
        <v>3.2958625154493548E-2</v>
      </c>
      <c r="I297" s="24"/>
      <c r="J297" s="24"/>
      <c r="K297" s="24"/>
      <c r="L297" s="24"/>
      <c r="M297" s="24"/>
      <c r="N297" s="24"/>
      <c r="O297" s="5"/>
    </row>
    <row r="298" spans="1:15">
      <c r="A298" s="67">
        <v>171.25</v>
      </c>
      <c r="B298" s="67">
        <v>172.85</v>
      </c>
      <c r="C298" s="67">
        <v>160.18</v>
      </c>
      <c r="D298" s="67">
        <v>168.73</v>
      </c>
      <c r="E298" s="67">
        <v>726531</v>
      </c>
      <c r="F298" s="67" t="s">
        <v>94</v>
      </c>
      <c r="G298" s="5">
        <f t="shared" si="6"/>
        <v>1.493510341966453E-2</v>
      </c>
      <c r="I298" s="24"/>
      <c r="J298" s="24"/>
      <c r="K298" s="24"/>
      <c r="L298" s="24"/>
      <c r="M298" s="24"/>
      <c r="N298" s="24"/>
      <c r="O298" s="5"/>
    </row>
    <row r="299" spans="1:15">
      <c r="A299" s="67">
        <v>167.09</v>
      </c>
      <c r="B299" s="67">
        <v>176.745</v>
      </c>
      <c r="C299" s="67">
        <v>148</v>
      </c>
      <c r="D299" s="67">
        <v>151.97999999999999</v>
      </c>
      <c r="E299" s="67">
        <v>2326977</v>
      </c>
      <c r="F299" s="67" t="s">
        <v>93</v>
      </c>
      <c r="G299" s="5">
        <f t="shared" si="6"/>
        <v>9.942097644426906E-2</v>
      </c>
      <c r="I299" s="24"/>
      <c r="J299" s="24"/>
      <c r="K299" s="24"/>
      <c r="L299" s="24"/>
      <c r="M299" s="24"/>
      <c r="N299" s="24"/>
      <c r="O299" s="5"/>
    </row>
    <row r="300" spans="1:15">
      <c r="A300" s="67">
        <v>173.09</v>
      </c>
      <c r="B300" s="67">
        <v>180.8</v>
      </c>
      <c r="C300" s="67">
        <v>171.66</v>
      </c>
      <c r="D300" s="67">
        <v>178.52</v>
      </c>
      <c r="E300" s="67">
        <v>921460</v>
      </c>
      <c r="F300" s="67" t="s">
        <v>92</v>
      </c>
      <c r="G300" s="5">
        <f t="shared" si="6"/>
        <v>-3.0416760026887757E-2</v>
      </c>
      <c r="I300" s="24"/>
      <c r="J300" s="24"/>
      <c r="K300" s="24"/>
      <c r="L300" s="24"/>
      <c r="M300" s="24"/>
      <c r="N300" s="24"/>
      <c r="O300" s="5"/>
    </row>
    <row r="301" spans="1:15">
      <c r="A301" s="67">
        <v>178.38</v>
      </c>
      <c r="B301" s="67">
        <v>181.75</v>
      </c>
      <c r="C301" s="67">
        <v>174.05</v>
      </c>
      <c r="D301" s="67">
        <v>180.94</v>
      </c>
      <c r="E301" s="67">
        <v>673391</v>
      </c>
      <c r="F301" s="67" t="s">
        <v>91</v>
      </c>
      <c r="G301" s="5">
        <f t="shared" si="6"/>
        <v>-1.4148336465126587E-2</v>
      </c>
      <c r="I301" s="24"/>
      <c r="J301" s="24"/>
      <c r="K301" s="24"/>
      <c r="L301" s="24"/>
      <c r="M301" s="24"/>
      <c r="N301" s="24"/>
      <c r="O301" s="5"/>
    </row>
    <row r="302" spans="1:15">
      <c r="A302" s="67">
        <v>178.43</v>
      </c>
      <c r="B302" s="67">
        <v>191.52500000000001</v>
      </c>
      <c r="C302" s="67">
        <v>176.66</v>
      </c>
      <c r="D302" s="67">
        <v>190.16</v>
      </c>
      <c r="E302" s="67">
        <v>552683</v>
      </c>
      <c r="F302" s="67" t="s">
        <v>90</v>
      </c>
      <c r="G302" s="5">
        <f t="shared" si="6"/>
        <v>-6.1684896928901889E-2</v>
      </c>
      <c r="I302" s="24"/>
      <c r="J302" s="24"/>
      <c r="K302" s="24"/>
      <c r="L302" s="24"/>
      <c r="M302" s="24"/>
      <c r="N302" s="24"/>
      <c r="O302" s="5"/>
    </row>
    <row r="303" spans="1:15">
      <c r="A303" s="67">
        <v>190.1</v>
      </c>
      <c r="B303" s="67">
        <v>196.16</v>
      </c>
      <c r="C303" s="67">
        <v>189.98</v>
      </c>
      <c r="D303" s="67">
        <v>191.49</v>
      </c>
      <c r="E303" s="67">
        <v>409808</v>
      </c>
      <c r="F303" s="67" t="s">
        <v>89</v>
      </c>
      <c r="G303" s="5">
        <f t="shared" si="6"/>
        <v>-7.2588646926733391E-3</v>
      </c>
      <c r="I303" s="24"/>
      <c r="J303" s="24"/>
      <c r="K303" s="24"/>
      <c r="L303" s="24"/>
      <c r="M303" s="24"/>
      <c r="N303" s="24"/>
      <c r="O303" s="5"/>
    </row>
    <row r="304" spans="1:15">
      <c r="A304" s="67">
        <v>193.22</v>
      </c>
      <c r="B304" s="67">
        <v>194.3</v>
      </c>
      <c r="C304" s="67">
        <v>187.66</v>
      </c>
      <c r="D304" s="67">
        <v>187.66</v>
      </c>
      <c r="E304" s="67">
        <v>344929</v>
      </c>
      <c r="F304" s="67" t="s">
        <v>88</v>
      </c>
      <c r="G304" s="5">
        <f t="shared" si="6"/>
        <v>2.9628050730043709E-2</v>
      </c>
      <c r="I304" s="24"/>
      <c r="J304" s="24"/>
      <c r="K304" s="24"/>
      <c r="L304" s="24"/>
      <c r="M304" s="24"/>
      <c r="N304" s="24"/>
      <c r="O304" s="5"/>
    </row>
    <row r="305" spans="1:15">
      <c r="A305" s="67">
        <v>188.3</v>
      </c>
      <c r="B305" s="67">
        <v>192.2</v>
      </c>
      <c r="C305" s="67">
        <v>188.24</v>
      </c>
      <c r="D305" s="67">
        <v>192.2</v>
      </c>
      <c r="E305" s="67">
        <v>383099</v>
      </c>
      <c r="F305" s="67" t="s">
        <v>87</v>
      </c>
      <c r="G305" s="5">
        <f t="shared" si="6"/>
        <v>-2.0291363163371323E-2</v>
      </c>
      <c r="I305" s="24"/>
      <c r="J305" s="24"/>
      <c r="K305" s="24"/>
      <c r="L305" s="24"/>
      <c r="M305" s="24"/>
      <c r="N305" s="24"/>
      <c r="O305" s="5"/>
    </row>
    <row r="306" spans="1:15">
      <c r="A306" s="67">
        <v>192.25</v>
      </c>
      <c r="B306" s="67">
        <v>192.48</v>
      </c>
      <c r="C306" s="67">
        <v>184.95</v>
      </c>
      <c r="D306" s="67">
        <v>190.95</v>
      </c>
      <c r="E306" s="67">
        <v>207586</v>
      </c>
      <c r="F306" s="67" t="s">
        <v>86</v>
      </c>
      <c r="G306" s="5">
        <f t="shared" ref="G306:G369" si="7">A306/D306-1</f>
        <v>6.8080649384656411E-3</v>
      </c>
      <c r="I306" s="24"/>
      <c r="J306" s="24"/>
      <c r="K306" s="24"/>
      <c r="L306" s="24"/>
      <c r="M306" s="24"/>
      <c r="N306" s="24"/>
      <c r="O306" s="5"/>
    </row>
    <row r="307" spans="1:15">
      <c r="A307" s="67">
        <v>189.87</v>
      </c>
      <c r="B307" s="67">
        <v>192.13</v>
      </c>
      <c r="C307" s="67">
        <v>187.285</v>
      </c>
      <c r="D307" s="67">
        <v>192.13</v>
      </c>
      <c r="E307" s="67">
        <v>182531</v>
      </c>
      <c r="F307" s="67" t="s">
        <v>85</v>
      </c>
      <c r="G307" s="5">
        <f t="shared" si="7"/>
        <v>-1.1762868890855094E-2</v>
      </c>
      <c r="I307" s="24"/>
      <c r="J307" s="24"/>
      <c r="K307" s="24"/>
      <c r="L307" s="24"/>
      <c r="M307" s="24"/>
      <c r="N307" s="24"/>
      <c r="O307" s="5"/>
    </row>
    <row r="308" spans="1:15">
      <c r="A308" s="67">
        <v>190.81</v>
      </c>
      <c r="B308" s="67">
        <v>204.29</v>
      </c>
      <c r="C308" s="67">
        <v>188.65</v>
      </c>
      <c r="D308" s="67">
        <v>202.34</v>
      </c>
      <c r="E308" s="67">
        <v>382245</v>
      </c>
      <c r="F308" s="67" t="s">
        <v>84</v>
      </c>
      <c r="G308" s="5">
        <f t="shared" si="7"/>
        <v>-5.6983295443313264E-2</v>
      </c>
      <c r="I308" s="24"/>
      <c r="J308" s="24"/>
      <c r="K308" s="24"/>
      <c r="L308" s="24"/>
      <c r="M308" s="24"/>
      <c r="N308" s="24"/>
      <c r="O308" s="5"/>
    </row>
    <row r="309" spans="1:15">
      <c r="A309" s="67">
        <v>203.22</v>
      </c>
      <c r="B309" s="67">
        <v>207.25</v>
      </c>
      <c r="C309" s="67">
        <v>193.3</v>
      </c>
      <c r="D309" s="67">
        <v>194.73</v>
      </c>
      <c r="E309" s="67">
        <v>672376</v>
      </c>
      <c r="F309" s="67" t="s">
        <v>83</v>
      </c>
      <c r="G309" s="5">
        <f t="shared" si="7"/>
        <v>4.3598829148051133E-2</v>
      </c>
      <c r="I309" s="24"/>
      <c r="J309" s="24"/>
      <c r="K309" s="24"/>
      <c r="L309" s="24"/>
      <c r="M309" s="24"/>
      <c r="N309" s="24"/>
      <c r="O309" s="5"/>
    </row>
    <row r="310" spans="1:15">
      <c r="A310" s="67">
        <v>196.75</v>
      </c>
      <c r="B310" s="67">
        <v>198.37</v>
      </c>
      <c r="C310" s="67">
        <v>190.88</v>
      </c>
      <c r="D310" s="67">
        <v>191.6</v>
      </c>
      <c r="E310" s="67">
        <v>455098</v>
      </c>
      <c r="F310" s="67" t="s">
        <v>82</v>
      </c>
      <c r="G310" s="5">
        <f t="shared" si="7"/>
        <v>2.6878914405010557E-2</v>
      </c>
      <c r="I310" s="24"/>
      <c r="J310" s="24"/>
      <c r="K310" s="24"/>
      <c r="L310" s="24"/>
      <c r="M310" s="24"/>
      <c r="N310" s="24"/>
      <c r="O310" s="5"/>
    </row>
    <row r="311" spans="1:15">
      <c r="A311" s="67">
        <v>191.68</v>
      </c>
      <c r="B311" s="67">
        <v>193.58</v>
      </c>
      <c r="C311" s="67">
        <v>188.35249999999999</v>
      </c>
      <c r="D311" s="67">
        <v>190.83</v>
      </c>
      <c r="E311" s="67">
        <v>449346</v>
      </c>
      <c r="F311" s="67" t="s">
        <v>81</v>
      </c>
      <c r="G311" s="5">
        <f t="shared" si="7"/>
        <v>4.454226274694717E-3</v>
      </c>
      <c r="I311" s="24"/>
      <c r="J311" s="24"/>
      <c r="K311" s="24"/>
      <c r="L311" s="24"/>
      <c r="M311" s="24"/>
      <c r="N311" s="24"/>
      <c r="O311" s="5"/>
    </row>
    <row r="312" spans="1:15">
      <c r="A312" s="67">
        <v>190.83</v>
      </c>
      <c r="B312" s="67">
        <v>194.58</v>
      </c>
      <c r="C312" s="67">
        <v>187.44</v>
      </c>
      <c r="D312" s="67">
        <v>187.44</v>
      </c>
      <c r="E312" s="67">
        <v>389981</v>
      </c>
      <c r="F312" s="67" t="s">
        <v>80</v>
      </c>
      <c r="G312" s="5">
        <f t="shared" si="7"/>
        <v>1.8085787451984636E-2</v>
      </c>
      <c r="I312" s="24"/>
      <c r="J312" s="24"/>
      <c r="K312" s="24"/>
      <c r="L312" s="24"/>
      <c r="M312" s="24"/>
      <c r="N312" s="24"/>
      <c r="O312" s="5"/>
    </row>
    <row r="313" spans="1:15">
      <c r="A313" s="67">
        <v>186.29</v>
      </c>
      <c r="B313" s="67">
        <v>186.68</v>
      </c>
      <c r="C313" s="67">
        <v>179.75</v>
      </c>
      <c r="D313" s="67">
        <v>181.02</v>
      </c>
      <c r="E313" s="67">
        <v>341402</v>
      </c>
      <c r="F313" s="67" t="s">
        <v>79</v>
      </c>
      <c r="G313" s="5">
        <f t="shared" si="7"/>
        <v>2.9112805214893234E-2</v>
      </c>
      <c r="I313" s="24"/>
      <c r="J313" s="24"/>
      <c r="K313" s="24"/>
      <c r="L313" s="24"/>
      <c r="M313" s="24"/>
      <c r="N313" s="24"/>
      <c r="O313" s="5"/>
    </row>
    <row r="314" spans="1:15">
      <c r="A314" s="67">
        <v>179.46</v>
      </c>
      <c r="B314" s="67">
        <v>179.69</v>
      </c>
      <c r="C314" s="67">
        <v>177.27</v>
      </c>
      <c r="D314" s="67">
        <v>178.83</v>
      </c>
      <c r="E314" s="67">
        <v>315721</v>
      </c>
      <c r="F314" s="67" t="s">
        <v>78</v>
      </c>
      <c r="G314" s="5">
        <f t="shared" si="7"/>
        <v>3.5228988424760299E-3</v>
      </c>
      <c r="I314" s="24"/>
      <c r="J314" s="24"/>
      <c r="K314" s="24"/>
      <c r="L314" s="24"/>
      <c r="M314" s="24"/>
      <c r="N314" s="24"/>
      <c r="O314" s="5"/>
    </row>
    <row r="315" spans="1:15">
      <c r="A315" s="67">
        <v>177.99</v>
      </c>
      <c r="B315" s="67">
        <v>180.07499999999999</v>
      </c>
      <c r="C315" s="67">
        <v>174.5</v>
      </c>
      <c r="D315" s="67">
        <v>179.37</v>
      </c>
      <c r="E315" s="67">
        <v>276994</v>
      </c>
      <c r="F315" s="67" t="s">
        <v>77</v>
      </c>
      <c r="G315" s="5">
        <f t="shared" si="7"/>
        <v>-7.6935942465294893E-3</v>
      </c>
      <c r="I315" s="24"/>
      <c r="J315" s="24"/>
      <c r="K315" s="24"/>
      <c r="L315" s="24"/>
      <c r="M315" s="24"/>
      <c r="N315" s="24"/>
      <c r="O315" s="5"/>
    </row>
    <row r="316" spans="1:15">
      <c r="A316" s="67">
        <v>179.27</v>
      </c>
      <c r="B316" s="67">
        <v>183.32</v>
      </c>
      <c r="C316" s="67">
        <v>179.19</v>
      </c>
      <c r="D316" s="67">
        <v>181.14</v>
      </c>
      <c r="E316" s="67">
        <v>323643</v>
      </c>
      <c r="F316" s="67" t="s">
        <v>76</v>
      </c>
      <c r="G316" s="5">
        <f t="shared" si="7"/>
        <v>-1.0323506679915995E-2</v>
      </c>
      <c r="I316" s="24"/>
      <c r="J316" s="24"/>
      <c r="K316" s="24"/>
      <c r="L316" s="24"/>
      <c r="M316" s="24"/>
      <c r="N316" s="24"/>
      <c r="O316" s="5"/>
    </row>
    <row r="317" spans="1:15">
      <c r="A317" s="67">
        <v>181.09</v>
      </c>
      <c r="B317" s="67">
        <v>181.31</v>
      </c>
      <c r="C317" s="67">
        <v>176.79</v>
      </c>
      <c r="D317" s="67">
        <v>178.19</v>
      </c>
      <c r="E317" s="67">
        <v>183884</v>
      </c>
      <c r="F317" s="67" t="s">
        <v>75</v>
      </c>
      <c r="G317" s="5">
        <f t="shared" si="7"/>
        <v>1.6274762893540684E-2</v>
      </c>
      <c r="I317" s="24"/>
      <c r="J317" s="24"/>
      <c r="K317" s="24"/>
      <c r="L317" s="24"/>
      <c r="M317" s="24"/>
      <c r="N317" s="24"/>
      <c r="O317" s="5"/>
    </row>
    <row r="318" spans="1:15">
      <c r="A318" s="67">
        <v>177.42</v>
      </c>
      <c r="B318" s="67">
        <v>178.21</v>
      </c>
      <c r="C318" s="67">
        <v>175.1</v>
      </c>
      <c r="D318" s="67">
        <v>176.32</v>
      </c>
      <c r="E318" s="67">
        <v>130530</v>
      </c>
      <c r="F318" s="67" t="s">
        <v>74</v>
      </c>
      <c r="G318" s="5">
        <f t="shared" si="7"/>
        <v>6.2386569872958653E-3</v>
      </c>
      <c r="I318" s="24"/>
      <c r="J318" s="24"/>
      <c r="K318" s="24"/>
      <c r="L318" s="24"/>
      <c r="M318" s="24"/>
      <c r="N318" s="24"/>
      <c r="O318" s="5"/>
    </row>
    <row r="319" spans="1:15">
      <c r="A319" s="67">
        <v>175.99</v>
      </c>
      <c r="B319" s="67">
        <v>179.51</v>
      </c>
      <c r="C319" s="67">
        <v>174.5</v>
      </c>
      <c r="D319" s="67">
        <v>177.97</v>
      </c>
      <c r="E319" s="67">
        <v>185703</v>
      </c>
      <c r="F319" s="67" t="s">
        <v>73</v>
      </c>
      <c r="G319" s="5">
        <f t="shared" si="7"/>
        <v>-1.1125470584929964E-2</v>
      </c>
      <c r="I319" s="24"/>
      <c r="J319" s="24"/>
      <c r="K319" s="24"/>
      <c r="L319" s="24"/>
      <c r="M319" s="24"/>
      <c r="N319" s="24"/>
      <c r="O319" s="5"/>
    </row>
    <row r="320" spans="1:15">
      <c r="A320" s="67">
        <v>177.09</v>
      </c>
      <c r="B320" s="67">
        <v>181.25</v>
      </c>
      <c r="C320" s="67">
        <v>174.69</v>
      </c>
      <c r="D320" s="67">
        <v>179.99</v>
      </c>
      <c r="E320" s="67">
        <v>349594</v>
      </c>
      <c r="F320" s="67" t="s">
        <v>72</v>
      </c>
      <c r="G320" s="5">
        <f t="shared" si="7"/>
        <v>-1.6112006222567921E-2</v>
      </c>
      <c r="I320" s="24"/>
      <c r="J320" s="24"/>
      <c r="K320" s="24"/>
      <c r="L320" s="24"/>
      <c r="M320" s="24"/>
      <c r="N320" s="24"/>
      <c r="O320" s="5"/>
    </row>
    <row r="321" spans="1:15">
      <c r="A321" s="67">
        <v>179.97</v>
      </c>
      <c r="B321" s="67">
        <v>181.28989999999999</v>
      </c>
      <c r="C321" s="67">
        <v>173.815</v>
      </c>
      <c r="D321" s="67">
        <v>176.16</v>
      </c>
      <c r="E321" s="67">
        <v>750545</v>
      </c>
      <c r="F321" s="67" t="s">
        <v>71</v>
      </c>
      <c r="G321" s="5">
        <f t="shared" si="7"/>
        <v>2.1628065395095319E-2</v>
      </c>
      <c r="I321" s="24"/>
      <c r="J321" s="24"/>
      <c r="K321" s="24"/>
      <c r="L321" s="24"/>
      <c r="M321" s="24"/>
      <c r="N321" s="24"/>
      <c r="O321" s="5"/>
    </row>
    <row r="322" spans="1:15">
      <c r="A322" s="67">
        <v>174.9</v>
      </c>
      <c r="B322" s="67">
        <v>175.08</v>
      </c>
      <c r="C322" s="67">
        <v>171.77</v>
      </c>
      <c r="D322" s="67">
        <v>174.25</v>
      </c>
      <c r="E322" s="67">
        <v>339167</v>
      </c>
      <c r="F322" s="67" t="s">
        <v>70</v>
      </c>
      <c r="G322" s="5">
        <f t="shared" si="7"/>
        <v>3.7302725968435535E-3</v>
      </c>
      <c r="I322" s="24"/>
      <c r="J322" s="24"/>
      <c r="K322" s="24"/>
      <c r="L322" s="24"/>
      <c r="M322" s="24"/>
      <c r="N322" s="24"/>
      <c r="O322" s="5"/>
    </row>
    <row r="323" spans="1:15">
      <c r="A323" s="67">
        <v>174.82</v>
      </c>
      <c r="B323" s="67">
        <v>175.25</v>
      </c>
      <c r="C323" s="67">
        <v>171.11</v>
      </c>
      <c r="D323" s="67">
        <v>171.77</v>
      </c>
      <c r="E323" s="67">
        <v>194761</v>
      </c>
      <c r="F323" s="67" t="s">
        <v>69</v>
      </c>
      <c r="G323" s="5">
        <f t="shared" si="7"/>
        <v>1.7756302031786575E-2</v>
      </c>
      <c r="I323" s="24"/>
      <c r="J323" s="24"/>
      <c r="K323" s="24"/>
      <c r="L323" s="24"/>
      <c r="M323" s="24"/>
      <c r="N323" s="24"/>
      <c r="O323" s="5"/>
    </row>
    <row r="324" spans="1:15">
      <c r="A324" s="67">
        <v>172.27</v>
      </c>
      <c r="B324" s="67">
        <v>175.55500000000001</v>
      </c>
      <c r="C324" s="67">
        <v>172.15</v>
      </c>
      <c r="D324" s="67">
        <v>174.62</v>
      </c>
      <c r="E324" s="67">
        <v>320248</v>
      </c>
      <c r="F324" s="67" t="s">
        <v>68</v>
      </c>
      <c r="G324" s="5">
        <f t="shared" si="7"/>
        <v>-1.3457794067117113E-2</v>
      </c>
      <c r="I324" s="24"/>
      <c r="J324" s="24"/>
      <c r="K324" s="24"/>
      <c r="L324" s="24"/>
      <c r="M324" s="24"/>
      <c r="N324" s="24"/>
      <c r="O324" s="5"/>
    </row>
    <row r="325" spans="1:15">
      <c r="A325" s="67">
        <v>174.4</v>
      </c>
      <c r="B325" s="67">
        <v>178.68</v>
      </c>
      <c r="C325" s="67">
        <v>174.04</v>
      </c>
      <c r="D325" s="67">
        <v>178</v>
      </c>
      <c r="E325" s="67">
        <v>358709</v>
      </c>
      <c r="F325" s="67" t="s">
        <v>67</v>
      </c>
      <c r="G325" s="5">
        <f t="shared" si="7"/>
        <v>-2.0224719101123556E-2</v>
      </c>
      <c r="I325" s="24"/>
      <c r="J325" s="24"/>
      <c r="K325" s="24"/>
      <c r="L325" s="24"/>
      <c r="M325" s="24"/>
      <c r="N325" s="24"/>
      <c r="O325" s="5"/>
    </row>
    <row r="326" spans="1:15">
      <c r="A326" s="67">
        <v>178.56</v>
      </c>
      <c r="B326" s="67">
        <v>180.48</v>
      </c>
      <c r="C326" s="67">
        <v>175.96</v>
      </c>
      <c r="D326" s="67">
        <v>176.75</v>
      </c>
      <c r="E326" s="67">
        <v>516399</v>
      </c>
      <c r="F326" s="67" t="s">
        <v>66</v>
      </c>
      <c r="G326" s="5">
        <f t="shared" si="7"/>
        <v>1.0240452616690154E-2</v>
      </c>
      <c r="I326" s="24"/>
      <c r="J326" s="24"/>
      <c r="K326" s="24"/>
      <c r="L326" s="24"/>
      <c r="M326" s="24"/>
      <c r="N326" s="24"/>
      <c r="O326" s="5"/>
    </row>
    <row r="327" spans="1:15">
      <c r="A327" s="67">
        <v>175.45</v>
      </c>
      <c r="B327" s="67">
        <v>176.67</v>
      </c>
      <c r="C327" s="67">
        <v>170.59</v>
      </c>
      <c r="D327" s="67">
        <v>176.02</v>
      </c>
      <c r="E327" s="67">
        <v>561509</v>
      </c>
      <c r="F327" s="67" t="s">
        <v>65</v>
      </c>
      <c r="G327" s="5">
        <f t="shared" si="7"/>
        <v>-3.238268378593423E-3</v>
      </c>
      <c r="I327" s="24"/>
      <c r="J327" s="24"/>
      <c r="K327" s="24"/>
      <c r="L327" s="24"/>
      <c r="M327" s="24"/>
      <c r="N327" s="24"/>
      <c r="O327" s="5"/>
    </row>
    <row r="328" spans="1:15">
      <c r="A328" s="67">
        <v>176.03</v>
      </c>
      <c r="B328" s="67">
        <v>186.74</v>
      </c>
      <c r="C328" s="67">
        <v>175.03</v>
      </c>
      <c r="D328" s="67">
        <v>185.93</v>
      </c>
      <c r="E328" s="67">
        <v>469421</v>
      </c>
      <c r="F328" s="67" t="s">
        <v>64</v>
      </c>
      <c r="G328" s="5">
        <f t="shared" si="7"/>
        <v>-5.3245845210563192E-2</v>
      </c>
      <c r="I328" s="24"/>
      <c r="J328" s="24"/>
      <c r="K328" s="24"/>
      <c r="L328" s="24"/>
      <c r="M328" s="24"/>
      <c r="N328" s="24"/>
      <c r="O328" s="5"/>
    </row>
    <row r="329" spans="1:15">
      <c r="A329" s="67">
        <v>187.32</v>
      </c>
      <c r="B329" s="67">
        <v>187.96</v>
      </c>
      <c r="C329" s="67">
        <v>182.67</v>
      </c>
      <c r="D329" s="67">
        <v>184.72</v>
      </c>
      <c r="E329" s="67">
        <v>265474</v>
      </c>
      <c r="F329" s="67" t="s">
        <v>63</v>
      </c>
      <c r="G329" s="5">
        <f t="shared" si="7"/>
        <v>1.4075357297531399E-2</v>
      </c>
      <c r="I329" s="24"/>
      <c r="J329" s="24"/>
      <c r="K329" s="24"/>
      <c r="L329" s="24"/>
      <c r="M329" s="24"/>
      <c r="N329" s="24"/>
      <c r="O329" s="5"/>
    </row>
    <row r="330" spans="1:15">
      <c r="A330" s="67">
        <v>187.78</v>
      </c>
      <c r="B330" s="67">
        <v>188.47</v>
      </c>
      <c r="C330" s="67">
        <v>185.095</v>
      </c>
      <c r="D330" s="67">
        <v>187.47</v>
      </c>
      <c r="E330" s="67">
        <v>203456</v>
      </c>
      <c r="F330" s="67" t="s">
        <v>62</v>
      </c>
      <c r="G330" s="5">
        <f t="shared" si="7"/>
        <v>1.6535979089988828E-3</v>
      </c>
      <c r="I330" s="24"/>
      <c r="J330" s="24"/>
      <c r="K330" s="24"/>
      <c r="L330" s="24"/>
      <c r="M330" s="24"/>
      <c r="N330" s="24"/>
      <c r="O330" s="5"/>
    </row>
    <row r="331" spans="1:15">
      <c r="A331" s="67">
        <v>188</v>
      </c>
      <c r="B331" s="67">
        <v>192.02500000000001</v>
      </c>
      <c r="C331" s="67">
        <v>186.61</v>
      </c>
      <c r="D331" s="67">
        <v>191.39</v>
      </c>
      <c r="E331" s="67">
        <v>268585</v>
      </c>
      <c r="F331" s="67" t="s">
        <v>61</v>
      </c>
      <c r="G331" s="5">
        <f t="shared" si="7"/>
        <v>-1.7712524165316768E-2</v>
      </c>
      <c r="I331" s="24"/>
      <c r="J331" s="24"/>
      <c r="K331" s="24"/>
      <c r="L331" s="24"/>
      <c r="M331" s="24"/>
      <c r="N331" s="24"/>
      <c r="O331" s="5"/>
    </row>
    <row r="332" spans="1:15">
      <c r="A332" s="67">
        <v>191.77</v>
      </c>
      <c r="B332" s="67">
        <v>198.48</v>
      </c>
      <c r="C332" s="67">
        <v>189.15</v>
      </c>
      <c r="D332" s="67">
        <v>193.54</v>
      </c>
      <c r="E332" s="67">
        <v>367221</v>
      </c>
      <c r="F332" s="67" t="s">
        <v>60</v>
      </c>
      <c r="G332" s="5">
        <f t="shared" si="7"/>
        <v>-9.1453963005062588E-3</v>
      </c>
      <c r="I332" s="24"/>
      <c r="J332" s="24"/>
      <c r="K332" s="24"/>
      <c r="L332" s="24"/>
      <c r="M332" s="24"/>
      <c r="N332" s="24"/>
      <c r="O332" s="5"/>
    </row>
    <row r="333" spans="1:15">
      <c r="A333" s="67">
        <v>189.94</v>
      </c>
      <c r="B333" s="67">
        <v>191.05</v>
      </c>
      <c r="C333" s="67">
        <v>185.02</v>
      </c>
      <c r="D333" s="67">
        <v>187.72</v>
      </c>
      <c r="E333" s="67">
        <v>295989</v>
      </c>
      <c r="F333" s="67" t="s">
        <v>59</v>
      </c>
      <c r="G333" s="5">
        <f t="shared" si="7"/>
        <v>1.1826124014489681E-2</v>
      </c>
      <c r="I333" s="24"/>
      <c r="J333" s="24"/>
      <c r="K333" s="24"/>
      <c r="L333" s="24"/>
      <c r="M333" s="24"/>
      <c r="N333" s="24"/>
      <c r="O333" s="5"/>
    </row>
    <row r="334" spans="1:15">
      <c r="A334" s="67">
        <v>188.06</v>
      </c>
      <c r="B334" s="67">
        <v>192.315</v>
      </c>
      <c r="C334" s="67">
        <v>184.1</v>
      </c>
      <c r="D334" s="67">
        <v>187.33</v>
      </c>
      <c r="E334" s="67">
        <v>515041</v>
      </c>
      <c r="F334" s="67" t="s">
        <v>58</v>
      </c>
      <c r="G334" s="5">
        <f t="shared" si="7"/>
        <v>3.8968664922862661E-3</v>
      </c>
      <c r="I334" s="24"/>
      <c r="J334" s="24"/>
      <c r="K334" s="24"/>
      <c r="L334" s="24"/>
      <c r="M334" s="24"/>
      <c r="N334" s="24"/>
      <c r="O334" s="5"/>
    </row>
    <row r="335" spans="1:15">
      <c r="A335" s="67">
        <v>188.95</v>
      </c>
      <c r="B335" s="67">
        <v>194.97</v>
      </c>
      <c r="C335" s="67">
        <v>187.06</v>
      </c>
      <c r="D335" s="67">
        <v>194.97</v>
      </c>
      <c r="E335" s="67">
        <v>584448</v>
      </c>
      <c r="F335" s="67" t="s">
        <v>57</v>
      </c>
      <c r="G335" s="5">
        <f t="shared" si="7"/>
        <v>-3.0876545109504105E-2</v>
      </c>
      <c r="I335" s="24"/>
      <c r="J335" s="24"/>
      <c r="K335" s="24"/>
      <c r="L335" s="24"/>
      <c r="M335" s="24"/>
      <c r="N335" s="24"/>
      <c r="O335" s="5"/>
    </row>
    <row r="336" spans="1:15">
      <c r="A336" s="67">
        <v>196.41</v>
      </c>
      <c r="B336" s="67">
        <v>198.61</v>
      </c>
      <c r="C336" s="67">
        <v>191.59</v>
      </c>
      <c r="D336" s="67">
        <v>192.47</v>
      </c>
      <c r="E336" s="67">
        <v>547231</v>
      </c>
      <c r="F336" s="67" t="s">
        <v>56</v>
      </c>
      <c r="G336" s="5">
        <f t="shared" si="7"/>
        <v>2.0470722710032696E-2</v>
      </c>
      <c r="I336" s="24"/>
      <c r="J336" s="24"/>
      <c r="K336" s="24"/>
      <c r="L336" s="24"/>
      <c r="M336" s="24"/>
      <c r="N336" s="24"/>
      <c r="O336" s="5"/>
    </row>
    <row r="337" spans="1:15">
      <c r="A337" s="67">
        <v>193.29</v>
      </c>
      <c r="B337" s="67">
        <v>195.39619999999999</v>
      </c>
      <c r="C337" s="67">
        <v>191.46</v>
      </c>
      <c r="D337" s="67">
        <v>191.46</v>
      </c>
      <c r="E337" s="67">
        <v>279781</v>
      </c>
      <c r="F337" s="67" t="s">
        <v>55</v>
      </c>
      <c r="G337" s="5">
        <f t="shared" si="7"/>
        <v>9.5581322469444618E-3</v>
      </c>
      <c r="I337" s="24"/>
      <c r="J337" s="24"/>
      <c r="K337" s="24"/>
      <c r="L337" s="24"/>
      <c r="M337" s="24"/>
      <c r="N337" s="24"/>
      <c r="O337" s="5"/>
    </row>
    <row r="338" spans="1:15">
      <c r="A338" s="67">
        <v>190.86</v>
      </c>
      <c r="B338" s="67">
        <v>193.38</v>
      </c>
      <c r="C338" s="67">
        <v>188</v>
      </c>
      <c r="D338" s="67">
        <v>188</v>
      </c>
      <c r="E338" s="67">
        <v>305841</v>
      </c>
      <c r="F338" s="67" t="s">
        <v>54</v>
      </c>
      <c r="G338" s="5">
        <f t="shared" si="7"/>
        <v>1.5212765957446805E-2</v>
      </c>
      <c r="I338" s="24"/>
      <c r="J338" s="24"/>
      <c r="K338" s="24"/>
      <c r="L338" s="24"/>
      <c r="M338" s="24"/>
      <c r="N338" s="24"/>
      <c r="O338" s="5"/>
    </row>
    <row r="339" spans="1:15">
      <c r="A339" s="67">
        <v>188.04</v>
      </c>
      <c r="B339" s="67">
        <v>192.47</v>
      </c>
      <c r="C339" s="67">
        <v>186.83</v>
      </c>
      <c r="D339" s="67">
        <v>190.38</v>
      </c>
      <c r="E339" s="67">
        <v>285215</v>
      </c>
      <c r="F339" s="67" t="s">
        <v>53</v>
      </c>
      <c r="G339" s="5">
        <f t="shared" si="7"/>
        <v>-1.2291207059565101E-2</v>
      </c>
      <c r="I339" s="24"/>
      <c r="J339" s="24"/>
      <c r="K339" s="24"/>
      <c r="L339" s="24"/>
      <c r="M339" s="24"/>
      <c r="N339" s="24"/>
      <c r="O339" s="5"/>
    </row>
    <row r="340" spans="1:15">
      <c r="A340" s="67">
        <v>189.47</v>
      </c>
      <c r="B340" s="67">
        <v>191.17</v>
      </c>
      <c r="C340" s="67">
        <v>187</v>
      </c>
      <c r="D340" s="67">
        <v>188.55</v>
      </c>
      <c r="E340" s="67">
        <v>435845</v>
      </c>
      <c r="F340" s="67" t="s">
        <v>52</v>
      </c>
      <c r="G340" s="5">
        <f t="shared" si="7"/>
        <v>4.8793423495092636E-3</v>
      </c>
      <c r="I340" s="24"/>
      <c r="J340" s="24"/>
      <c r="K340" s="24"/>
      <c r="L340" s="24"/>
      <c r="M340" s="24"/>
      <c r="N340" s="24"/>
      <c r="O340" s="5"/>
    </row>
    <row r="341" spans="1:15">
      <c r="A341" s="67">
        <v>188.01</v>
      </c>
      <c r="B341" s="67">
        <v>192.07</v>
      </c>
      <c r="C341" s="67">
        <v>185.12</v>
      </c>
      <c r="D341" s="67">
        <v>190.18</v>
      </c>
      <c r="E341" s="67">
        <v>512191</v>
      </c>
      <c r="F341" s="67" t="s">
        <v>51</v>
      </c>
      <c r="G341" s="5">
        <f t="shared" si="7"/>
        <v>-1.1410242927752723E-2</v>
      </c>
      <c r="I341" s="24"/>
      <c r="J341" s="24"/>
      <c r="K341" s="24"/>
      <c r="L341" s="24"/>
      <c r="M341" s="24"/>
      <c r="N341" s="24"/>
      <c r="O341" s="5"/>
    </row>
    <row r="342" spans="1:15">
      <c r="A342" s="67">
        <v>191.34</v>
      </c>
      <c r="B342" s="67">
        <v>193.18</v>
      </c>
      <c r="C342" s="67">
        <v>189.52500000000001</v>
      </c>
      <c r="D342" s="67">
        <v>190.51</v>
      </c>
      <c r="E342" s="67">
        <v>211101</v>
      </c>
      <c r="F342" s="67" t="s">
        <v>50</v>
      </c>
      <c r="G342" s="5">
        <f t="shared" si="7"/>
        <v>4.356726681014278E-3</v>
      </c>
      <c r="I342" s="24"/>
      <c r="J342" s="24"/>
      <c r="K342" s="24"/>
      <c r="L342" s="24"/>
      <c r="M342" s="24"/>
      <c r="N342" s="24"/>
      <c r="O342" s="5"/>
    </row>
    <row r="343" spans="1:15">
      <c r="A343" s="67">
        <v>192.81</v>
      </c>
      <c r="B343" s="67">
        <v>194.12</v>
      </c>
      <c r="C343" s="67">
        <v>191.155</v>
      </c>
      <c r="D343" s="67">
        <v>193.65</v>
      </c>
      <c r="E343" s="67">
        <v>230879</v>
      </c>
      <c r="F343" s="67" t="s">
        <v>49</v>
      </c>
      <c r="G343" s="5">
        <f t="shared" si="7"/>
        <v>-4.3377226955848558E-3</v>
      </c>
      <c r="I343" s="24"/>
      <c r="J343" s="24"/>
      <c r="K343" s="24"/>
      <c r="L343" s="24"/>
      <c r="M343" s="24"/>
      <c r="N343" s="24"/>
      <c r="O343" s="5"/>
    </row>
    <row r="344" spans="1:15">
      <c r="A344" s="67">
        <v>193.66</v>
      </c>
      <c r="B344" s="67">
        <v>196.25</v>
      </c>
      <c r="C344" s="67">
        <v>190.96</v>
      </c>
      <c r="D344" s="67">
        <v>190.96</v>
      </c>
      <c r="E344" s="67">
        <v>193348</v>
      </c>
      <c r="F344" s="67" t="s">
        <v>48</v>
      </c>
      <c r="G344" s="5">
        <f t="shared" si="7"/>
        <v>1.4139086719731742E-2</v>
      </c>
      <c r="I344" s="24"/>
      <c r="J344" s="24"/>
      <c r="K344" s="24"/>
      <c r="L344" s="24"/>
      <c r="M344" s="24"/>
      <c r="N344" s="24"/>
      <c r="O344" s="5"/>
    </row>
    <row r="345" spans="1:15">
      <c r="A345" s="67">
        <v>190.69</v>
      </c>
      <c r="B345" s="67">
        <v>199.68690000000001</v>
      </c>
      <c r="C345" s="67">
        <v>190.58</v>
      </c>
      <c r="D345" s="67">
        <v>198.5</v>
      </c>
      <c r="E345" s="67">
        <v>247586</v>
      </c>
      <c r="F345" s="67" t="s">
        <v>47</v>
      </c>
      <c r="G345" s="5">
        <f t="shared" si="7"/>
        <v>-3.9345088161209074E-2</v>
      </c>
      <c r="I345" s="24"/>
      <c r="J345" s="24"/>
      <c r="K345" s="24"/>
      <c r="L345" s="24"/>
      <c r="M345" s="24"/>
      <c r="N345" s="24"/>
      <c r="O345" s="5"/>
    </row>
    <row r="346" spans="1:15">
      <c r="A346" s="67">
        <v>198.97</v>
      </c>
      <c r="B346" s="67">
        <v>201.37</v>
      </c>
      <c r="C346" s="67">
        <v>198.82</v>
      </c>
      <c r="D346" s="67">
        <v>199.97</v>
      </c>
      <c r="E346" s="67">
        <v>170699</v>
      </c>
      <c r="F346" s="67" t="s">
        <v>46</v>
      </c>
      <c r="G346" s="5">
        <f t="shared" si="7"/>
        <v>-5.000750112516883E-3</v>
      </c>
      <c r="I346" s="24"/>
      <c r="J346" s="24"/>
      <c r="K346" s="24"/>
      <c r="L346" s="24"/>
      <c r="M346" s="24"/>
      <c r="N346" s="24"/>
      <c r="O346" s="5"/>
    </row>
    <row r="347" spans="1:15">
      <c r="A347" s="67">
        <v>200.23</v>
      </c>
      <c r="B347" s="67">
        <v>201.15</v>
      </c>
      <c r="C347" s="67">
        <v>198.47</v>
      </c>
      <c r="D347" s="67">
        <v>200.68</v>
      </c>
      <c r="E347" s="67">
        <v>166696</v>
      </c>
      <c r="F347" s="67" t="s">
        <v>45</v>
      </c>
      <c r="G347" s="5">
        <f t="shared" si="7"/>
        <v>-2.2423759218657136E-3</v>
      </c>
      <c r="I347" s="24"/>
      <c r="J347" s="24"/>
      <c r="K347" s="24"/>
      <c r="L347" s="24"/>
      <c r="M347" s="24"/>
      <c r="N347" s="24"/>
      <c r="O347" s="5"/>
    </row>
    <row r="348" spans="1:15">
      <c r="A348" s="67">
        <v>201.44</v>
      </c>
      <c r="B348" s="67">
        <v>204.12</v>
      </c>
      <c r="C348" s="67">
        <v>199.6</v>
      </c>
      <c r="D348" s="67">
        <v>203.54</v>
      </c>
      <c r="E348" s="67">
        <v>166823</v>
      </c>
      <c r="F348" s="67" t="s">
        <v>44</v>
      </c>
      <c r="G348" s="5">
        <f t="shared" si="7"/>
        <v>-1.0317382332710956E-2</v>
      </c>
      <c r="I348" s="24"/>
      <c r="J348" s="24"/>
      <c r="K348" s="24"/>
      <c r="L348" s="24"/>
      <c r="M348" s="24"/>
      <c r="N348" s="24"/>
      <c r="O348" s="5"/>
    </row>
    <row r="349" spans="1:15">
      <c r="A349" s="67">
        <v>203.53</v>
      </c>
      <c r="B349" s="67">
        <v>204.09</v>
      </c>
      <c r="C349" s="67">
        <v>200.69</v>
      </c>
      <c r="D349" s="67">
        <v>201.5</v>
      </c>
      <c r="E349" s="67">
        <v>220680</v>
      </c>
      <c r="F349" s="67" t="s">
        <v>43</v>
      </c>
      <c r="G349" s="5">
        <f t="shared" si="7"/>
        <v>1.0074441687344837E-2</v>
      </c>
      <c r="I349" s="24"/>
      <c r="J349" s="24"/>
      <c r="K349" s="24"/>
      <c r="L349" s="24"/>
      <c r="M349" s="24"/>
      <c r="N349" s="24"/>
      <c r="O349" s="5"/>
    </row>
    <row r="350" spans="1:15">
      <c r="A350" s="67">
        <v>201.53</v>
      </c>
      <c r="B350" s="67">
        <v>204.81</v>
      </c>
      <c r="C350" s="67">
        <v>200.96</v>
      </c>
      <c r="D350" s="67">
        <v>204.4</v>
      </c>
      <c r="E350" s="67">
        <v>273269</v>
      </c>
      <c r="F350" s="67" t="s">
        <v>42</v>
      </c>
      <c r="G350" s="5">
        <f t="shared" si="7"/>
        <v>-1.4041095890411026E-2</v>
      </c>
      <c r="I350" s="24"/>
      <c r="J350" s="24"/>
      <c r="K350" s="24"/>
      <c r="L350" s="24"/>
      <c r="M350" s="24"/>
      <c r="N350" s="24"/>
      <c r="O350" s="5"/>
    </row>
    <row r="351" spans="1:15">
      <c r="A351" s="67">
        <v>204.7</v>
      </c>
      <c r="B351" s="67">
        <v>211.07</v>
      </c>
      <c r="C351" s="67">
        <v>203.95</v>
      </c>
      <c r="D351" s="67">
        <v>211.07</v>
      </c>
      <c r="E351" s="67">
        <v>295161</v>
      </c>
      <c r="F351" s="67" t="s">
        <v>41</v>
      </c>
      <c r="G351" s="5">
        <f t="shared" si="7"/>
        <v>-3.0179561282986711E-2</v>
      </c>
      <c r="I351" s="24"/>
      <c r="J351" s="24"/>
      <c r="K351" s="24"/>
      <c r="L351" s="24"/>
      <c r="M351" s="24"/>
      <c r="N351" s="24"/>
      <c r="O351" s="5"/>
    </row>
    <row r="352" spans="1:15">
      <c r="A352" s="67">
        <v>208.73</v>
      </c>
      <c r="B352" s="67">
        <v>211.85</v>
      </c>
      <c r="C352" s="67">
        <v>206.2012</v>
      </c>
      <c r="D352" s="67">
        <v>206.28</v>
      </c>
      <c r="E352" s="67">
        <v>188996</v>
      </c>
      <c r="F352" s="67" t="s">
        <v>40</v>
      </c>
      <c r="G352" s="5">
        <f t="shared" si="7"/>
        <v>1.1877060306379583E-2</v>
      </c>
      <c r="I352" s="24"/>
      <c r="J352" s="24"/>
      <c r="K352" s="24"/>
      <c r="L352" s="24"/>
      <c r="M352" s="24"/>
      <c r="N352" s="24"/>
      <c r="O352" s="5"/>
    </row>
    <row r="353" spans="1:15">
      <c r="A353" s="67">
        <v>204.77</v>
      </c>
      <c r="B353" s="67">
        <v>214.97</v>
      </c>
      <c r="C353" s="67">
        <v>204.36500000000001</v>
      </c>
      <c r="D353" s="67">
        <v>213.1</v>
      </c>
      <c r="E353" s="67">
        <v>218417</v>
      </c>
      <c r="F353" s="67" t="s">
        <v>39</v>
      </c>
      <c r="G353" s="5">
        <f t="shared" si="7"/>
        <v>-3.9089629282027194E-2</v>
      </c>
      <c r="I353" s="24"/>
      <c r="J353" s="24"/>
      <c r="K353" s="24"/>
      <c r="L353" s="24"/>
      <c r="M353" s="24"/>
      <c r="N353" s="24"/>
      <c r="O353" s="5"/>
    </row>
    <row r="354" spans="1:15">
      <c r="A354" s="67">
        <v>212.28</v>
      </c>
      <c r="B354" s="67">
        <v>213.035</v>
      </c>
      <c r="C354" s="67">
        <v>206.57</v>
      </c>
      <c r="D354" s="67">
        <v>209.83</v>
      </c>
      <c r="E354" s="67">
        <v>335546</v>
      </c>
      <c r="F354" s="67" t="s">
        <v>38</v>
      </c>
      <c r="G354" s="5">
        <f t="shared" si="7"/>
        <v>1.167611876280783E-2</v>
      </c>
      <c r="I354" s="24"/>
      <c r="J354" s="24"/>
      <c r="K354" s="24"/>
      <c r="L354" s="24"/>
      <c r="M354" s="24"/>
      <c r="N354" s="24"/>
      <c r="O354" s="5"/>
    </row>
    <row r="355" spans="1:15">
      <c r="A355" s="67">
        <v>209.4</v>
      </c>
      <c r="B355" s="67">
        <v>210.77</v>
      </c>
      <c r="C355" s="67">
        <v>202.76</v>
      </c>
      <c r="D355" s="67">
        <v>204.02</v>
      </c>
      <c r="E355" s="67">
        <v>380712</v>
      </c>
      <c r="F355" s="67" t="s">
        <v>37</v>
      </c>
      <c r="G355" s="5">
        <f t="shared" si="7"/>
        <v>2.6369963729046209E-2</v>
      </c>
      <c r="I355" s="24"/>
      <c r="J355" s="24"/>
      <c r="K355" s="24"/>
      <c r="L355" s="24"/>
      <c r="M355" s="24"/>
      <c r="N355" s="24"/>
      <c r="O355" s="5"/>
    </row>
    <row r="356" spans="1:15">
      <c r="A356" s="67">
        <v>203.09</v>
      </c>
      <c r="B356" s="67">
        <v>220.4075</v>
      </c>
      <c r="C356" s="67">
        <v>199.54</v>
      </c>
      <c r="D356" s="67">
        <v>205.91</v>
      </c>
      <c r="E356" s="67">
        <v>918833</v>
      </c>
      <c r="F356" s="67" t="s">
        <v>36</v>
      </c>
      <c r="G356" s="5">
        <f t="shared" si="7"/>
        <v>-1.3695303773493261E-2</v>
      </c>
      <c r="I356" s="24"/>
      <c r="J356" s="24"/>
      <c r="K356" s="24"/>
      <c r="L356" s="24"/>
      <c r="M356" s="24"/>
      <c r="N356" s="24"/>
      <c r="O356" s="5"/>
    </row>
    <row r="357" spans="1:15">
      <c r="A357" s="67">
        <v>210</v>
      </c>
      <c r="B357" s="67">
        <v>214.94</v>
      </c>
      <c r="C357" s="67">
        <v>209.48519999999999</v>
      </c>
      <c r="D357" s="67">
        <v>212.89</v>
      </c>
      <c r="E357" s="67">
        <v>565627</v>
      </c>
      <c r="F357" s="67" t="s">
        <v>35</v>
      </c>
      <c r="G357" s="5">
        <f t="shared" si="7"/>
        <v>-1.3575085725022196E-2</v>
      </c>
      <c r="I357" s="24"/>
      <c r="J357" s="24"/>
      <c r="K357" s="24"/>
      <c r="L357" s="24"/>
      <c r="M357" s="24"/>
      <c r="N357" s="24"/>
      <c r="O357" s="5"/>
    </row>
    <row r="358" spans="1:15">
      <c r="A358" s="67">
        <v>211.62</v>
      </c>
      <c r="B358" s="67">
        <v>211.92</v>
      </c>
      <c r="C358" s="67">
        <v>208.27</v>
      </c>
      <c r="D358" s="67">
        <v>209.79</v>
      </c>
      <c r="E358" s="67">
        <v>327016</v>
      </c>
      <c r="F358" s="67" t="s">
        <v>34</v>
      </c>
      <c r="G358" s="5">
        <f t="shared" si="7"/>
        <v>8.723008723008796E-3</v>
      </c>
      <c r="I358" s="24"/>
      <c r="J358" s="24"/>
      <c r="K358" s="24"/>
      <c r="L358" s="24"/>
      <c r="M358" s="24"/>
      <c r="N358" s="24"/>
      <c r="O358" s="5"/>
    </row>
    <row r="359" spans="1:15">
      <c r="A359" s="67">
        <v>208.55</v>
      </c>
      <c r="B359" s="67">
        <v>209.67</v>
      </c>
      <c r="C359" s="67">
        <v>206.58</v>
      </c>
      <c r="D359" s="67">
        <v>208.81</v>
      </c>
      <c r="E359" s="67">
        <v>311088</v>
      </c>
      <c r="F359" s="67" t="s">
        <v>33</v>
      </c>
      <c r="G359" s="5">
        <f t="shared" si="7"/>
        <v>-1.2451510942962374E-3</v>
      </c>
      <c r="I359" s="24"/>
      <c r="J359" s="24"/>
      <c r="K359" s="24"/>
      <c r="L359" s="24"/>
      <c r="M359" s="24"/>
      <c r="N359" s="24"/>
      <c r="O359" s="5"/>
    </row>
    <row r="360" spans="1:15">
      <c r="A360" s="67">
        <v>206.06</v>
      </c>
      <c r="B360" s="67">
        <v>208.14</v>
      </c>
      <c r="C360" s="67">
        <v>202.81</v>
      </c>
      <c r="D360" s="67">
        <v>207.08</v>
      </c>
      <c r="E360" s="67">
        <v>368376</v>
      </c>
      <c r="F360" s="67" t="s">
        <v>32</v>
      </c>
      <c r="G360" s="5">
        <f t="shared" si="7"/>
        <v>-4.9256326057562916E-3</v>
      </c>
      <c r="I360" s="24"/>
      <c r="J360" s="24"/>
      <c r="K360" s="24"/>
      <c r="L360" s="24"/>
      <c r="M360" s="24"/>
      <c r="N360" s="24"/>
      <c r="O360" s="5"/>
    </row>
    <row r="361" spans="1:15">
      <c r="A361" s="67">
        <v>205.29</v>
      </c>
      <c r="B361" s="67">
        <v>208.7799</v>
      </c>
      <c r="C361" s="67">
        <v>196.48</v>
      </c>
      <c r="D361" s="67">
        <v>196.69</v>
      </c>
      <c r="E361" s="67">
        <v>544684</v>
      </c>
      <c r="F361" s="67" t="s">
        <v>31</v>
      </c>
      <c r="G361" s="5">
        <f t="shared" si="7"/>
        <v>4.3723626010473415E-2</v>
      </c>
      <c r="I361" s="24"/>
      <c r="J361" s="24"/>
      <c r="K361" s="24"/>
      <c r="L361" s="24"/>
      <c r="M361" s="24"/>
      <c r="N361" s="24"/>
      <c r="O361" s="5"/>
    </row>
    <row r="362" spans="1:15">
      <c r="A362" s="67">
        <v>196.47</v>
      </c>
      <c r="B362" s="67">
        <v>203.2604</v>
      </c>
      <c r="C362" s="67">
        <v>196.23</v>
      </c>
      <c r="D362" s="67">
        <v>201.11</v>
      </c>
      <c r="E362" s="67">
        <v>302761</v>
      </c>
      <c r="F362" s="67" t="s">
        <v>30</v>
      </c>
      <c r="G362" s="5">
        <f t="shared" si="7"/>
        <v>-2.3071950673760666E-2</v>
      </c>
      <c r="I362" s="24"/>
      <c r="J362" s="24"/>
      <c r="K362" s="24"/>
      <c r="L362" s="24"/>
      <c r="M362" s="24"/>
      <c r="N362" s="24"/>
      <c r="O362" s="5"/>
    </row>
    <row r="363" spans="1:15">
      <c r="A363" s="67">
        <v>202.04</v>
      </c>
      <c r="B363" s="67">
        <v>207.66849999999999</v>
      </c>
      <c r="C363" s="67">
        <v>199.32</v>
      </c>
      <c r="D363" s="67">
        <v>205.83</v>
      </c>
      <c r="E363" s="67">
        <v>361558</v>
      </c>
      <c r="F363" s="67" t="s">
        <v>29</v>
      </c>
      <c r="G363" s="5">
        <f t="shared" si="7"/>
        <v>-1.8413253655929718E-2</v>
      </c>
      <c r="I363" s="24"/>
      <c r="J363" s="24"/>
      <c r="K363" s="24"/>
      <c r="L363" s="24"/>
      <c r="M363" s="24"/>
      <c r="N363" s="24"/>
      <c r="O363" s="5"/>
    </row>
    <row r="364" spans="1:15">
      <c r="A364" s="67">
        <v>204.41</v>
      </c>
      <c r="B364" s="67">
        <v>207.17</v>
      </c>
      <c r="C364" s="67">
        <v>203.1</v>
      </c>
      <c r="D364" s="67">
        <v>206.4</v>
      </c>
      <c r="E364" s="67">
        <v>290642</v>
      </c>
      <c r="F364" s="67" t="s">
        <v>28</v>
      </c>
      <c r="G364" s="5">
        <f t="shared" si="7"/>
        <v>-9.6414728682171491E-3</v>
      </c>
      <c r="I364" s="24"/>
      <c r="J364" s="24"/>
      <c r="K364" s="24"/>
      <c r="L364" s="24"/>
      <c r="M364" s="24"/>
      <c r="N364" s="24"/>
      <c r="O364" s="5"/>
    </row>
    <row r="365" spans="1:15">
      <c r="A365" s="67">
        <v>205.5</v>
      </c>
      <c r="B365" s="67">
        <v>206.66</v>
      </c>
      <c r="C365" s="67">
        <v>201.01</v>
      </c>
      <c r="D365" s="67">
        <v>204.22</v>
      </c>
      <c r="E365" s="67">
        <v>261670</v>
      </c>
      <c r="F365" s="67" t="s">
        <v>27</v>
      </c>
      <c r="G365" s="5">
        <f t="shared" si="7"/>
        <v>6.2677504651846849E-3</v>
      </c>
      <c r="I365" s="24"/>
      <c r="J365" s="24"/>
      <c r="K365" s="24"/>
      <c r="L365" s="24"/>
      <c r="M365" s="24"/>
      <c r="N365" s="24"/>
      <c r="O365" s="5"/>
    </row>
    <row r="366" spans="1:15">
      <c r="A366" s="67">
        <v>206.15</v>
      </c>
      <c r="B366" s="67">
        <v>209.005</v>
      </c>
      <c r="C366" s="67">
        <v>204.12</v>
      </c>
      <c r="D366" s="67">
        <v>207.31</v>
      </c>
      <c r="E366" s="67">
        <v>336365</v>
      </c>
      <c r="F366" s="67" t="s">
        <v>26</v>
      </c>
      <c r="G366" s="5">
        <f t="shared" si="7"/>
        <v>-5.5954850224301245E-3</v>
      </c>
      <c r="I366" s="24"/>
      <c r="J366" s="24"/>
      <c r="K366" s="24"/>
      <c r="L366" s="24"/>
      <c r="M366" s="24"/>
      <c r="N366" s="24"/>
      <c r="O366" s="5"/>
    </row>
    <row r="367" spans="1:15">
      <c r="A367" s="67">
        <v>205.7</v>
      </c>
      <c r="B367" s="67">
        <v>207.21</v>
      </c>
      <c r="C367" s="67">
        <v>203.095</v>
      </c>
      <c r="D367" s="67">
        <v>203.9</v>
      </c>
      <c r="E367" s="67">
        <v>391951</v>
      </c>
      <c r="F367" s="67" t="s">
        <v>25</v>
      </c>
      <c r="G367" s="5">
        <f t="shared" si="7"/>
        <v>8.8278567925452744E-3</v>
      </c>
      <c r="I367" s="24"/>
      <c r="J367" s="24"/>
      <c r="K367" s="24"/>
      <c r="L367" s="24"/>
      <c r="M367" s="24"/>
      <c r="N367" s="24"/>
      <c r="O367" s="5"/>
    </row>
    <row r="368" spans="1:15">
      <c r="A368" s="67">
        <v>203</v>
      </c>
      <c r="B368" s="67">
        <v>206.36</v>
      </c>
      <c r="C368" s="67">
        <v>200.8</v>
      </c>
      <c r="D368" s="67">
        <v>204.04</v>
      </c>
      <c r="E368" s="67">
        <v>348377</v>
      </c>
      <c r="F368" s="67" t="s">
        <v>24</v>
      </c>
      <c r="G368" s="5">
        <f t="shared" si="7"/>
        <v>-5.0970397961184188E-3</v>
      </c>
      <c r="I368" s="24"/>
      <c r="J368" s="24"/>
      <c r="K368" s="24"/>
      <c r="L368" s="24"/>
      <c r="M368" s="24"/>
      <c r="N368" s="24"/>
      <c r="O368" s="5"/>
    </row>
    <row r="369" spans="1:15">
      <c r="A369" s="67">
        <v>202.72</v>
      </c>
      <c r="B369" s="67">
        <v>204.10990000000001</v>
      </c>
      <c r="C369" s="67">
        <v>199.38</v>
      </c>
      <c r="D369" s="67">
        <v>202.7</v>
      </c>
      <c r="E369" s="67">
        <v>338662</v>
      </c>
      <c r="F369" s="67" t="s">
        <v>23</v>
      </c>
      <c r="G369" s="5">
        <f t="shared" si="7"/>
        <v>9.8667982239897256E-5</v>
      </c>
      <c r="I369" s="24"/>
      <c r="J369" s="24"/>
      <c r="K369" s="24"/>
      <c r="L369" s="24"/>
      <c r="M369" s="24"/>
      <c r="N369" s="24"/>
      <c r="O369" s="5"/>
    </row>
    <row r="370" spans="1:15">
      <c r="A370" s="67">
        <v>201.84</v>
      </c>
      <c r="B370" s="67">
        <v>208.595</v>
      </c>
      <c r="C370" s="67">
        <v>200.96</v>
      </c>
      <c r="D370" s="67">
        <v>208.15</v>
      </c>
      <c r="E370" s="67">
        <v>330454</v>
      </c>
      <c r="F370" s="67" t="s">
        <v>22</v>
      </c>
      <c r="G370" s="5">
        <f t="shared" ref="G370:G433" si="8">A370/D370-1</f>
        <v>-3.031467691568579E-2</v>
      </c>
      <c r="I370" s="24"/>
      <c r="J370" s="24"/>
      <c r="K370" s="24"/>
      <c r="L370" s="24"/>
      <c r="M370" s="24"/>
      <c r="N370" s="24"/>
      <c r="O370" s="5"/>
    </row>
    <row r="371" spans="1:15">
      <c r="A371" s="67">
        <v>208.68</v>
      </c>
      <c r="B371" s="67">
        <v>211.4</v>
      </c>
      <c r="C371" s="67">
        <v>208.4</v>
      </c>
      <c r="D371" s="67">
        <v>209.48</v>
      </c>
      <c r="E371" s="67">
        <v>346505</v>
      </c>
      <c r="F371" s="67" t="s">
        <v>21</v>
      </c>
      <c r="G371" s="5">
        <f t="shared" si="8"/>
        <v>-3.8189803322512539E-3</v>
      </c>
      <c r="I371" s="24"/>
      <c r="J371" s="24"/>
      <c r="K371" s="24"/>
      <c r="L371" s="24"/>
      <c r="M371" s="24"/>
      <c r="N371" s="24"/>
      <c r="O371" s="5"/>
    </row>
    <row r="372" spans="1:15">
      <c r="A372" s="67">
        <v>210.05</v>
      </c>
      <c r="B372" s="67">
        <v>212.77</v>
      </c>
      <c r="C372" s="67">
        <v>207.04</v>
      </c>
      <c r="D372" s="67">
        <v>209.29</v>
      </c>
      <c r="E372" s="67">
        <v>232495</v>
      </c>
      <c r="F372" s="67" t="s">
        <v>20</v>
      </c>
      <c r="G372" s="5">
        <f t="shared" si="8"/>
        <v>3.6313249558030947E-3</v>
      </c>
      <c r="I372" s="24"/>
      <c r="J372" s="24"/>
      <c r="K372" s="24"/>
      <c r="L372" s="24"/>
      <c r="M372" s="24"/>
      <c r="N372" s="24"/>
      <c r="O372" s="5"/>
    </row>
    <row r="373" spans="1:15">
      <c r="A373" s="67">
        <v>210.19</v>
      </c>
      <c r="B373" s="67">
        <v>221.13</v>
      </c>
      <c r="C373" s="67">
        <v>210.16</v>
      </c>
      <c r="D373" s="67">
        <v>219.24</v>
      </c>
      <c r="E373" s="67">
        <v>208831</v>
      </c>
      <c r="F373" s="67" t="s">
        <v>19</v>
      </c>
      <c r="G373" s="5">
        <f t="shared" si="8"/>
        <v>-4.1278963692756854E-2</v>
      </c>
      <c r="I373" s="24"/>
      <c r="J373" s="24"/>
      <c r="K373" s="24"/>
      <c r="L373" s="24"/>
      <c r="M373" s="24"/>
      <c r="N373" s="24"/>
      <c r="O373" s="5"/>
    </row>
    <row r="374" spans="1:15">
      <c r="A374" s="67">
        <v>217.45</v>
      </c>
      <c r="B374" s="67">
        <v>222.30500000000001</v>
      </c>
      <c r="C374" s="67">
        <v>216.78</v>
      </c>
      <c r="D374" s="67">
        <v>220.09</v>
      </c>
      <c r="E374" s="67">
        <v>171287</v>
      </c>
      <c r="F374" s="67" t="s">
        <v>18</v>
      </c>
      <c r="G374" s="5">
        <f t="shared" si="8"/>
        <v>-1.1995092916534222E-2</v>
      </c>
      <c r="I374" s="24"/>
      <c r="J374" s="24"/>
      <c r="K374" s="24"/>
      <c r="L374" s="24"/>
      <c r="M374" s="24"/>
      <c r="N374" s="24"/>
      <c r="O374" s="5"/>
    </row>
    <row r="375" spans="1:15">
      <c r="A375" s="67">
        <v>222.46</v>
      </c>
      <c r="B375" s="67">
        <v>224.3</v>
      </c>
      <c r="C375" s="67">
        <v>219.26499999999999</v>
      </c>
      <c r="D375" s="67">
        <v>223.55</v>
      </c>
      <c r="E375" s="67">
        <v>206905</v>
      </c>
      <c r="F375" s="67" t="s">
        <v>17</v>
      </c>
      <c r="G375" s="5">
        <f t="shared" si="8"/>
        <v>-4.87586669648854E-3</v>
      </c>
      <c r="I375" s="24"/>
      <c r="J375" s="24"/>
      <c r="K375" s="24"/>
      <c r="L375" s="24"/>
      <c r="M375" s="24"/>
      <c r="N375" s="24"/>
      <c r="O375" s="5"/>
    </row>
    <row r="376" spans="1:15">
      <c r="A376" s="67">
        <v>221.1</v>
      </c>
      <c r="B376" s="67">
        <v>221.85</v>
      </c>
      <c r="C376" s="67">
        <v>216.34</v>
      </c>
      <c r="D376" s="67">
        <v>218.91</v>
      </c>
      <c r="E376" s="67">
        <v>192515</v>
      </c>
      <c r="F376" s="67" t="s">
        <v>16</v>
      </c>
      <c r="G376" s="5">
        <f t="shared" si="8"/>
        <v>1.0004111278607564E-2</v>
      </c>
      <c r="I376" s="24"/>
      <c r="J376" s="24"/>
      <c r="K376" s="24"/>
      <c r="L376" s="24"/>
      <c r="M376" s="24"/>
      <c r="N376" s="24"/>
      <c r="O376" s="5"/>
    </row>
    <row r="377" spans="1:15">
      <c r="A377" s="67">
        <v>222.91</v>
      </c>
      <c r="B377" s="67">
        <v>223.8</v>
      </c>
      <c r="C377" s="67">
        <v>220.58</v>
      </c>
      <c r="D377" s="67">
        <v>221.99</v>
      </c>
      <c r="E377" s="67">
        <v>234655</v>
      </c>
      <c r="F377" s="67" t="s">
        <v>15</v>
      </c>
      <c r="G377" s="5">
        <f t="shared" si="8"/>
        <v>4.1443308257127498E-3</v>
      </c>
      <c r="I377" s="24"/>
      <c r="J377" s="24"/>
      <c r="K377" s="24"/>
      <c r="L377" s="24"/>
      <c r="M377" s="24"/>
      <c r="N377" s="24"/>
      <c r="O377" s="5"/>
    </row>
    <row r="378" spans="1:15">
      <c r="A378" s="67">
        <v>220.07</v>
      </c>
      <c r="B378" s="67">
        <v>224</v>
      </c>
      <c r="C378" s="67">
        <v>217.6</v>
      </c>
      <c r="D378" s="67">
        <v>223.66</v>
      </c>
      <c r="E378" s="67">
        <v>303372</v>
      </c>
      <c r="F378" s="67" t="s">
        <v>14</v>
      </c>
      <c r="G378" s="5">
        <f t="shared" si="8"/>
        <v>-1.6051149065545944E-2</v>
      </c>
      <c r="I378" s="24"/>
      <c r="J378" s="24"/>
      <c r="K378" s="24"/>
      <c r="L378" s="24"/>
      <c r="M378" s="24"/>
      <c r="N378" s="24"/>
      <c r="O378" s="5"/>
    </row>
    <row r="379" spans="1:15">
      <c r="A379" s="67">
        <v>223.95</v>
      </c>
      <c r="B379" s="67">
        <v>226.27</v>
      </c>
      <c r="C379" s="67">
        <v>214.84</v>
      </c>
      <c r="D379" s="67">
        <v>216.27</v>
      </c>
      <c r="E379" s="67">
        <v>489384</v>
      </c>
      <c r="F379" s="67" t="s">
        <v>13</v>
      </c>
      <c r="G379" s="5">
        <f t="shared" si="8"/>
        <v>3.5511166597308907E-2</v>
      </c>
      <c r="I379" s="24"/>
      <c r="J379" s="24"/>
      <c r="K379" s="24"/>
      <c r="L379" s="24"/>
      <c r="M379" s="24"/>
      <c r="N379" s="24"/>
      <c r="O379" s="5"/>
    </row>
    <row r="380" spans="1:15">
      <c r="A380" s="67">
        <v>215.46</v>
      </c>
      <c r="B380" s="67">
        <v>218.6</v>
      </c>
      <c r="C380" s="67">
        <v>214.72</v>
      </c>
      <c r="D380" s="67">
        <v>216.04</v>
      </c>
      <c r="E380" s="67">
        <v>333139</v>
      </c>
      <c r="F380" s="67" t="s">
        <v>12</v>
      </c>
      <c r="G380" s="5">
        <f t="shared" si="8"/>
        <v>-2.6846880207368473E-3</v>
      </c>
      <c r="I380" s="24"/>
      <c r="J380" s="24"/>
      <c r="K380" s="24"/>
      <c r="L380" s="24"/>
      <c r="M380" s="24"/>
      <c r="N380" s="24"/>
      <c r="O380" s="5"/>
    </row>
    <row r="381" spans="1:15">
      <c r="A381" s="67">
        <v>215</v>
      </c>
      <c r="B381" s="67">
        <v>215.34</v>
      </c>
      <c r="C381" s="67">
        <v>209.45</v>
      </c>
      <c r="D381" s="67">
        <v>209.83</v>
      </c>
      <c r="E381" s="67">
        <v>279310</v>
      </c>
      <c r="F381" s="67" t="s">
        <v>11</v>
      </c>
      <c r="G381" s="5">
        <f t="shared" si="8"/>
        <v>2.4638993470905035E-2</v>
      </c>
      <c r="I381" s="24"/>
      <c r="J381" s="24"/>
      <c r="K381" s="24"/>
      <c r="L381" s="24"/>
      <c r="M381" s="24"/>
      <c r="N381" s="24"/>
      <c r="O381" s="5"/>
    </row>
    <row r="382" spans="1:15">
      <c r="A382" s="67">
        <v>211.5</v>
      </c>
      <c r="B382" s="67">
        <v>215.26</v>
      </c>
      <c r="C382" s="67">
        <v>209.99</v>
      </c>
      <c r="D382" s="67">
        <v>214.99</v>
      </c>
      <c r="E382" s="67">
        <v>296945</v>
      </c>
      <c r="F382" s="67" t="s">
        <v>10</v>
      </c>
      <c r="G382" s="5">
        <f t="shared" si="8"/>
        <v>-1.62333131773571E-2</v>
      </c>
    </row>
    <row r="383" spans="1:15">
      <c r="A383" s="67">
        <v>217.39</v>
      </c>
      <c r="B383" s="67">
        <v>224.19499999999999</v>
      </c>
      <c r="C383" s="67">
        <v>215.33500000000001</v>
      </c>
      <c r="D383" s="67">
        <v>223.18</v>
      </c>
      <c r="E383" s="67">
        <v>305822</v>
      </c>
      <c r="F383" s="67" t="s">
        <v>9</v>
      </c>
      <c r="G383" s="5">
        <f t="shared" si="8"/>
        <v>-2.5943184873196579E-2</v>
      </c>
    </row>
    <row r="384" spans="1:15">
      <c r="A384" s="67">
        <v>223.18</v>
      </c>
      <c r="B384" s="67">
        <v>228.43</v>
      </c>
      <c r="C384" s="67">
        <v>222.71</v>
      </c>
      <c r="D384" s="67">
        <v>226.07</v>
      </c>
      <c r="E384" s="67">
        <v>387504</v>
      </c>
      <c r="F384" s="67" t="s">
        <v>814</v>
      </c>
      <c r="G384" s="5">
        <f t="shared" si="8"/>
        <v>-1.2783651081523351E-2</v>
      </c>
    </row>
    <row r="385" spans="1:7">
      <c r="A385" s="67">
        <v>226.38</v>
      </c>
      <c r="B385" s="67">
        <v>227.125</v>
      </c>
      <c r="C385" s="67">
        <v>222.42</v>
      </c>
      <c r="D385" s="67">
        <v>222.97</v>
      </c>
      <c r="E385" s="67">
        <v>464660</v>
      </c>
      <c r="F385" s="67" t="s">
        <v>815</v>
      </c>
      <c r="G385" s="5">
        <f t="shared" si="8"/>
        <v>1.5293537247163203E-2</v>
      </c>
    </row>
    <row r="386" spans="1:7">
      <c r="A386" s="67">
        <v>220.87</v>
      </c>
      <c r="B386" s="67">
        <v>225.25</v>
      </c>
      <c r="C386" s="67">
        <v>218.45500000000001</v>
      </c>
      <c r="D386" s="67">
        <v>225.25</v>
      </c>
      <c r="E386" s="67">
        <v>928942</v>
      </c>
      <c r="F386" s="67" t="s">
        <v>816</v>
      </c>
      <c r="G386" s="5">
        <f t="shared" si="8"/>
        <v>-1.944506104328525E-2</v>
      </c>
    </row>
    <row r="387" spans="1:7">
      <c r="A387" s="67">
        <v>220.09</v>
      </c>
      <c r="B387" s="67">
        <v>227.58</v>
      </c>
      <c r="C387" s="67">
        <v>217.36500000000001</v>
      </c>
      <c r="D387" s="67">
        <v>225.73</v>
      </c>
      <c r="E387" s="67">
        <v>503666</v>
      </c>
      <c r="F387" s="67" t="s">
        <v>817</v>
      </c>
      <c r="G387" s="5">
        <f t="shared" si="8"/>
        <v>-2.4985602268196461E-2</v>
      </c>
    </row>
    <row r="388" spans="1:7">
      <c r="A388" s="67">
        <v>224.74</v>
      </c>
      <c r="B388" s="67">
        <v>227.47</v>
      </c>
      <c r="C388" s="67">
        <v>220.74</v>
      </c>
      <c r="D388" s="67">
        <v>227.47</v>
      </c>
      <c r="E388" s="67">
        <v>327984</v>
      </c>
      <c r="F388" s="67" t="s">
        <v>818</v>
      </c>
      <c r="G388" s="5">
        <f t="shared" si="8"/>
        <v>-1.2001582626280372E-2</v>
      </c>
    </row>
    <row r="389" spans="1:7">
      <c r="A389" s="67">
        <v>227.56</v>
      </c>
      <c r="B389" s="67">
        <v>238.55869999999999</v>
      </c>
      <c r="C389" s="67">
        <v>227.09</v>
      </c>
      <c r="D389" s="67">
        <v>237.15</v>
      </c>
      <c r="E389" s="67">
        <v>306781</v>
      </c>
      <c r="F389" s="67" t="s">
        <v>819</v>
      </c>
      <c r="G389" s="5">
        <f t="shared" si="8"/>
        <v>-4.0438541007800977E-2</v>
      </c>
    </row>
    <row r="390" spans="1:7">
      <c r="A390" s="67">
        <v>236.38</v>
      </c>
      <c r="B390" s="67">
        <v>238.54</v>
      </c>
      <c r="C390" s="67">
        <v>232.11500000000001</v>
      </c>
      <c r="D390" s="67">
        <v>237.83</v>
      </c>
      <c r="E390" s="67">
        <v>339845</v>
      </c>
      <c r="F390" s="67" t="s">
        <v>820</v>
      </c>
      <c r="G390" s="5">
        <f t="shared" si="8"/>
        <v>-6.0967918260943499E-3</v>
      </c>
    </row>
    <row r="391" spans="1:7">
      <c r="A391" s="67">
        <v>238.96</v>
      </c>
      <c r="B391" s="67">
        <v>240.4</v>
      </c>
      <c r="C391" s="67">
        <v>233.755</v>
      </c>
      <c r="D391" s="67">
        <v>234.92</v>
      </c>
      <c r="E391" s="67">
        <v>384084</v>
      </c>
      <c r="F391" s="67" t="s">
        <v>821</v>
      </c>
      <c r="G391" s="5">
        <f t="shared" si="8"/>
        <v>1.7197343776604868E-2</v>
      </c>
    </row>
    <row r="392" spans="1:7">
      <c r="A392" s="67">
        <v>234.36</v>
      </c>
      <c r="B392" s="67">
        <v>235.56</v>
      </c>
      <c r="C392" s="67">
        <v>222.6</v>
      </c>
      <c r="D392" s="67">
        <v>225.14</v>
      </c>
      <c r="E392" s="67">
        <v>360789</v>
      </c>
      <c r="F392" s="67" t="s">
        <v>822</v>
      </c>
      <c r="G392" s="5">
        <f t="shared" si="8"/>
        <v>4.0952296348938599E-2</v>
      </c>
    </row>
    <row r="393" spans="1:7">
      <c r="A393" s="67">
        <v>222.15</v>
      </c>
      <c r="B393" s="67">
        <v>231.55</v>
      </c>
      <c r="C393" s="67">
        <v>220.82</v>
      </c>
      <c r="D393" s="67">
        <v>227.61</v>
      </c>
      <c r="E393" s="67">
        <v>790428</v>
      </c>
      <c r="F393" s="67" t="s">
        <v>823</v>
      </c>
      <c r="G393" s="5">
        <f t="shared" si="8"/>
        <v>-2.3988401212600485E-2</v>
      </c>
    </row>
    <row r="394" spans="1:7">
      <c r="A394" s="67">
        <v>229.54</v>
      </c>
      <c r="B394" s="67">
        <v>234.05500000000001</v>
      </c>
      <c r="C394" s="67">
        <v>228.48500000000001</v>
      </c>
      <c r="D394" s="67">
        <v>233.78</v>
      </c>
      <c r="E394" s="67">
        <v>238514</v>
      </c>
      <c r="F394" s="67" t="s">
        <v>824</v>
      </c>
      <c r="G394" s="5">
        <f t="shared" si="8"/>
        <v>-1.8136709727093914E-2</v>
      </c>
    </row>
    <row r="395" spans="1:7">
      <c r="A395" s="67">
        <v>233.42</v>
      </c>
      <c r="B395" s="67">
        <v>242.04</v>
      </c>
      <c r="C395" s="67">
        <v>232.85499999999999</v>
      </c>
      <c r="D395" s="67">
        <v>239.26</v>
      </c>
      <c r="E395" s="67">
        <v>348910</v>
      </c>
      <c r="F395" s="67" t="s">
        <v>825</v>
      </c>
      <c r="G395" s="5">
        <f t="shared" si="8"/>
        <v>-2.4408593162250303E-2</v>
      </c>
    </row>
    <row r="396" spans="1:7">
      <c r="A396" s="67">
        <v>239.26</v>
      </c>
      <c r="B396" s="67">
        <v>242.81</v>
      </c>
      <c r="C396" s="67">
        <v>237.76</v>
      </c>
      <c r="D396" s="67">
        <v>241.02</v>
      </c>
      <c r="E396" s="67">
        <v>322035</v>
      </c>
      <c r="F396" s="67" t="s">
        <v>826</v>
      </c>
      <c r="G396" s="5">
        <f t="shared" si="8"/>
        <v>-7.3022985644345395E-3</v>
      </c>
    </row>
    <row r="397" spans="1:7">
      <c r="A397" s="67">
        <v>241.62</v>
      </c>
      <c r="B397" s="67">
        <v>246.48</v>
      </c>
      <c r="C397" s="67">
        <v>241.17</v>
      </c>
      <c r="D397" s="67">
        <v>243.2</v>
      </c>
      <c r="E397" s="67">
        <v>199700</v>
      </c>
      <c r="F397" s="67" t="s">
        <v>827</v>
      </c>
      <c r="G397" s="5">
        <f t="shared" si="8"/>
        <v>-6.4967105263157299E-3</v>
      </c>
    </row>
    <row r="398" spans="1:7">
      <c r="A398" s="67">
        <v>244.54</v>
      </c>
      <c r="B398" s="67">
        <v>258.39</v>
      </c>
      <c r="C398" s="67">
        <v>244.54</v>
      </c>
      <c r="D398" s="67">
        <v>253.85</v>
      </c>
      <c r="E398" s="67">
        <v>267872</v>
      </c>
      <c r="F398" s="67" t="s">
        <v>828</v>
      </c>
      <c r="G398" s="5">
        <f t="shared" si="8"/>
        <v>-3.6675201890880471E-2</v>
      </c>
    </row>
    <row r="399" spans="1:7">
      <c r="A399" s="67">
        <v>252.9</v>
      </c>
      <c r="B399" s="67">
        <v>259.88</v>
      </c>
      <c r="C399" s="67">
        <v>251.65</v>
      </c>
      <c r="D399" s="67">
        <v>251.65</v>
      </c>
      <c r="E399" s="67">
        <v>218376</v>
      </c>
      <c r="F399" s="67" t="s">
        <v>829</v>
      </c>
      <c r="G399" s="5">
        <f t="shared" si="8"/>
        <v>4.9672163719451934E-3</v>
      </c>
    </row>
    <row r="400" spans="1:7">
      <c r="A400" s="67">
        <v>249.45</v>
      </c>
      <c r="B400" s="67">
        <v>261.44</v>
      </c>
      <c r="C400" s="67">
        <v>249.32</v>
      </c>
      <c r="D400" s="67">
        <v>258.95999999999998</v>
      </c>
      <c r="E400" s="67">
        <v>351744</v>
      </c>
      <c r="F400" s="67" t="s">
        <v>830</v>
      </c>
      <c r="G400" s="5">
        <f t="shared" si="8"/>
        <v>-3.6723818350324344E-2</v>
      </c>
    </row>
    <row r="401" spans="1:7">
      <c r="A401" s="67">
        <v>256.49</v>
      </c>
      <c r="B401" s="67">
        <v>257.01</v>
      </c>
      <c r="C401" s="67">
        <v>246.61</v>
      </c>
      <c r="D401" s="67">
        <v>249.15</v>
      </c>
      <c r="E401" s="67">
        <v>335118</v>
      </c>
      <c r="F401" s="67" t="s">
        <v>831</v>
      </c>
      <c r="G401" s="5">
        <f t="shared" si="8"/>
        <v>2.9460164559502289E-2</v>
      </c>
    </row>
    <row r="402" spans="1:7">
      <c r="A402" s="67">
        <v>249.51</v>
      </c>
      <c r="B402" s="67">
        <v>252.27</v>
      </c>
      <c r="C402" s="67">
        <v>236.67</v>
      </c>
      <c r="D402" s="67">
        <v>236.67</v>
      </c>
      <c r="E402" s="67">
        <v>389894</v>
      </c>
      <c r="F402" s="67" t="s">
        <v>832</v>
      </c>
      <c r="G402" s="5">
        <f t="shared" si="8"/>
        <v>5.425275700342258E-2</v>
      </c>
    </row>
    <row r="403" spans="1:7">
      <c r="A403" s="67">
        <v>236.67</v>
      </c>
      <c r="B403" s="67">
        <v>239.68</v>
      </c>
      <c r="C403" s="67">
        <v>232.53</v>
      </c>
      <c r="D403" s="67">
        <v>234.72</v>
      </c>
      <c r="E403" s="67">
        <v>279120</v>
      </c>
      <c r="F403" s="67" t="s">
        <v>833</v>
      </c>
      <c r="G403" s="5">
        <f t="shared" si="8"/>
        <v>8.3077709611452111E-3</v>
      </c>
    </row>
    <row r="404" spans="1:7">
      <c r="A404" s="67">
        <v>234.92</v>
      </c>
      <c r="B404" s="67">
        <v>235.56</v>
      </c>
      <c r="C404" s="67">
        <v>225.69</v>
      </c>
      <c r="D404" s="67">
        <v>231.3</v>
      </c>
      <c r="E404" s="67">
        <v>575628</v>
      </c>
      <c r="F404" s="67" t="s">
        <v>834</v>
      </c>
      <c r="G404" s="5">
        <f t="shared" si="8"/>
        <v>1.5650670125378241E-2</v>
      </c>
    </row>
    <row r="405" spans="1:7">
      <c r="A405" s="67">
        <v>230.74</v>
      </c>
      <c r="B405" s="67">
        <v>232.83</v>
      </c>
      <c r="C405" s="67">
        <v>226.17</v>
      </c>
      <c r="D405" s="67">
        <v>232.21</v>
      </c>
      <c r="E405" s="67">
        <v>447655</v>
      </c>
      <c r="F405" s="67" t="s">
        <v>835</v>
      </c>
      <c r="G405" s="5">
        <f t="shared" si="8"/>
        <v>-6.3304767236552761E-3</v>
      </c>
    </row>
    <row r="406" spans="1:7">
      <c r="A406" s="67">
        <v>232.32</v>
      </c>
      <c r="B406" s="67">
        <v>234.92</v>
      </c>
      <c r="C406" s="67">
        <v>224.02500000000001</v>
      </c>
      <c r="D406" s="67">
        <v>231.5</v>
      </c>
      <c r="E406" s="67">
        <v>688023</v>
      </c>
      <c r="F406" s="67" t="s">
        <v>836</v>
      </c>
      <c r="G406" s="5">
        <f t="shared" si="8"/>
        <v>3.5421166306695007E-3</v>
      </c>
    </row>
    <row r="407" spans="1:7">
      <c r="A407" s="67">
        <v>231.26</v>
      </c>
      <c r="B407" s="67">
        <v>241.82</v>
      </c>
      <c r="C407" s="67">
        <v>229.27</v>
      </c>
      <c r="D407" s="67">
        <v>237.7</v>
      </c>
      <c r="E407" s="67">
        <v>570332</v>
      </c>
      <c r="F407" s="67" t="s">
        <v>837</v>
      </c>
      <c r="G407" s="5">
        <f t="shared" si="8"/>
        <v>-2.70929743374001E-2</v>
      </c>
    </row>
    <row r="408" spans="1:7">
      <c r="A408" s="67">
        <v>238.37</v>
      </c>
      <c r="B408" s="67">
        <v>250.745</v>
      </c>
      <c r="C408" s="67">
        <v>234.51</v>
      </c>
      <c r="D408" s="67">
        <v>239.24</v>
      </c>
      <c r="E408" s="67">
        <v>1318447</v>
      </c>
      <c r="F408" s="67" t="s">
        <v>838</v>
      </c>
      <c r="G408" s="5">
        <f t="shared" si="8"/>
        <v>-3.6365156328372894E-3</v>
      </c>
    </row>
    <row r="409" spans="1:7">
      <c r="A409" s="67">
        <v>262.68</v>
      </c>
      <c r="B409" s="67">
        <v>263.66000000000003</v>
      </c>
      <c r="C409" s="67">
        <v>256.56</v>
      </c>
      <c r="D409" s="67">
        <v>256.94</v>
      </c>
      <c r="E409" s="67">
        <v>475582</v>
      </c>
      <c r="F409" s="67" t="s">
        <v>839</v>
      </c>
      <c r="G409" s="5">
        <f t="shared" si="8"/>
        <v>2.2339845878415199E-2</v>
      </c>
    </row>
    <row r="410" spans="1:7">
      <c r="A410" s="67">
        <v>258.3</v>
      </c>
      <c r="B410" s="67">
        <v>267.33</v>
      </c>
      <c r="C410" s="67">
        <v>254.91</v>
      </c>
      <c r="D410" s="67">
        <v>266.08999999999997</v>
      </c>
      <c r="E410" s="67">
        <v>485610</v>
      </c>
      <c r="F410" s="67" t="s">
        <v>840</v>
      </c>
      <c r="G410" s="5">
        <f t="shared" si="8"/>
        <v>-2.9275808936825798E-2</v>
      </c>
    </row>
    <row r="411" spans="1:7">
      <c r="A411" s="67">
        <v>268.61</v>
      </c>
      <c r="B411" s="67">
        <v>268.8</v>
      </c>
      <c r="C411" s="67">
        <v>263.57499999999999</v>
      </c>
      <c r="D411" s="67">
        <v>266.95</v>
      </c>
      <c r="E411" s="67">
        <v>246965</v>
      </c>
      <c r="F411" s="67" t="s">
        <v>841</v>
      </c>
      <c r="G411" s="5">
        <f t="shared" si="8"/>
        <v>6.2183929574828323E-3</v>
      </c>
    </row>
    <row r="412" spans="1:7">
      <c r="A412" s="67">
        <v>270.56</v>
      </c>
      <c r="B412" s="67">
        <v>277.33999999999997</v>
      </c>
      <c r="C412" s="67">
        <v>269.25009999999997</v>
      </c>
      <c r="D412" s="67">
        <v>270.77</v>
      </c>
      <c r="E412" s="67">
        <v>225551</v>
      </c>
      <c r="F412" s="67" t="s">
        <v>842</v>
      </c>
      <c r="G412" s="5">
        <f t="shared" si="8"/>
        <v>-7.7556597850569897E-4</v>
      </c>
    </row>
    <row r="413" spans="1:7">
      <c r="A413" s="67">
        <v>273.14999999999998</v>
      </c>
      <c r="B413" s="67">
        <v>274.98</v>
      </c>
      <c r="C413" s="67">
        <v>270.14999999999998</v>
      </c>
      <c r="D413" s="67">
        <v>270.24</v>
      </c>
      <c r="E413" s="67">
        <v>237699</v>
      </c>
      <c r="F413" s="67" t="s">
        <v>843</v>
      </c>
      <c r="G413" s="5">
        <f t="shared" si="8"/>
        <v>1.0768206039076356E-2</v>
      </c>
    </row>
    <row r="414" spans="1:7">
      <c r="A414" s="67">
        <v>268.31</v>
      </c>
      <c r="B414" s="67">
        <v>268.56</v>
      </c>
      <c r="C414" s="67">
        <v>261.77499999999998</v>
      </c>
      <c r="D414" s="67">
        <v>267.38</v>
      </c>
      <c r="E414" s="67">
        <v>178353</v>
      </c>
      <c r="F414" s="67" t="s">
        <v>844</v>
      </c>
      <c r="G414" s="5">
        <f t="shared" si="8"/>
        <v>3.4781958261649315E-3</v>
      </c>
    </row>
    <row r="415" spans="1:7">
      <c r="A415" s="67">
        <v>264.75</v>
      </c>
      <c r="B415" s="67">
        <v>270.57</v>
      </c>
      <c r="C415" s="67">
        <v>261.41000000000003</v>
      </c>
      <c r="D415" s="67">
        <v>262.43</v>
      </c>
      <c r="E415" s="67">
        <v>192327</v>
      </c>
      <c r="F415" s="67" t="s">
        <v>845</v>
      </c>
      <c r="G415" s="5">
        <f t="shared" si="8"/>
        <v>8.8404526921463944E-3</v>
      </c>
    </row>
    <row r="416" spans="1:7">
      <c r="A416" s="67">
        <v>270.01</v>
      </c>
      <c r="B416" s="67">
        <v>272.92</v>
      </c>
      <c r="C416" s="67">
        <v>267.7</v>
      </c>
      <c r="D416" s="67">
        <v>272.29000000000002</v>
      </c>
      <c r="E416" s="67">
        <v>153008</v>
      </c>
      <c r="F416" s="67" t="s">
        <v>846</v>
      </c>
      <c r="G416" s="5">
        <f t="shared" si="8"/>
        <v>-8.3734253920453305E-3</v>
      </c>
    </row>
    <row r="417" spans="1:7">
      <c r="A417" s="67">
        <v>273.04000000000002</v>
      </c>
      <c r="B417" s="67">
        <v>273.27999999999997</v>
      </c>
      <c r="C417" s="67">
        <v>267.41000000000003</v>
      </c>
      <c r="D417" s="67">
        <v>272.87</v>
      </c>
      <c r="E417" s="67">
        <v>231298</v>
      </c>
      <c r="F417" s="67" t="s">
        <v>847</v>
      </c>
      <c r="G417" s="5">
        <f t="shared" si="8"/>
        <v>6.2300729285014178E-4</v>
      </c>
    </row>
    <row r="418" spans="1:7">
      <c r="A418" s="67">
        <v>272.33999999999997</v>
      </c>
      <c r="B418" s="67">
        <v>272.52999999999997</v>
      </c>
      <c r="C418" s="67">
        <v>262.45</v>
      </c>
      <c r="D418" s="67">
        <v>262.61</v>
      </c>
      <c r="E418" s="67">
        <v>333172</v>
      </c>
      <c r="F418" s="67" t="s">
        <v>848</v>
      </c>
      <c r="G418" s="5">
        <f t="shared" si="8"/>
        <v>3.7051140474467781E-2</v>
      </c>
    </row>
    <row r="419" spans="1:7">
      <c r="A419" s="67">
        <v>265.06</v>
      </c>
      <c r="B419" s="67">
        <v>265.86500000000001</v>
      </c>
      <c r="C419" s="67">
        <v>257.95999999999998</v>
      </c>
      <c r="D419" s="67">
        <v>259.49</v>
      </c>
      <c r="E419" s="67">
        <v>224729</v>
      </c>
      <c r="F419" s="67" t="s">
        <v>849</v>
      </c>
      <c r="G419" s="5">
        <f t="shared" si="8"/>
        <v>2.1465181702570391E-2</v>
      </c>
    </row>
    <row r="420" spans="1:7">
      <c r="A420" s="67">
        <v>258.60000000000002</v>
      </c>
      <c r="B420" s="67">
        <v>260.01499999999999</v>
      </c>
      <c r="C420" s="67">
        <v>254.21</v>
      </c>
      <c r="D420" s="67">
        <v>255.98</v>
      </c>
      <c r="E420" s="67">
        <v>280587</v>
      </c>
      <c r="F420" s="67" t="s">
        <v>850</v>
      </c>
      <c r="G420" s="5">
        <f t="shared" si="8"/>
        <v>1.0235174623017596E-2</v>
      </c>
    </row>
    <row r="421" spans="1:7">
      <c r="A421" s="67">
        <v>255.03</v>
      </c>
      <c r="B421" s="67">
        <v>255.37</v>
      </c>
      <c r="C421" s="67">
        <v>249.25</v>
      </c>
      <c r="D421" s="67">
        <v>250.88</v>
      </c>
      <c r="E421" s="67">
        <v>144506</v>
      </c>
      <c r="F421" s="67" t="s">
        <v>851</v>
      </c>
      <c r="G421" s="5">
        <f t="shared" si="8"/>
        <v>1.6541772959183687E-2</v>
      </c>
    </row>
    <row r="422" spans="1:7">
      <c r="A422" s="67">
        <v>252.01</v>
      </c>
      <c r="B422" s="67">
        <v>253.84</v>
      </c>
      <c r="C422" s="67">
        <v>250.92</v>
      </c>
      <c r="D422" s="67">
        <v>253.72</v>
      </c>
      <c r="E422" s="67">
        <v>130189</v>
      </c>
      <c r="F422" s="67" t="s">
        <v>852</v>
      </c>
      <c r="G422" s="5">
        <f t="shared" si="8"/>
        <v>-6.739713069525477E-3</v>
      </c>
    </row>
    <row r="423" spans="1:7">
      <c r="A423" s="67">
        <v>254.36</v>
      </c>
      <c r="B423" s="67">
        <v>254.55</v>
      </c>
      <c r="C423" s="67">
        <v>247.80500000000001</v>
      </c>
      <c r="D423" s="67">
        <v>253</v>
      </c>
      <c r="E423" s="67">
        <v>258452</v>
      </c>
      <c r="F423" s="67" t="s">
        <v>853</v>
      </c>
      <c r="G423" s="5">
        <f t="shared" si="8"/>
        <v>5.3754940711463473E-3</v>
      </c>
    </row>
    <row r="424" spans="1:7">
      <c r="A424" s="67">
        <v>252.19</v>
      </c>
      <c r="B424" s="67">
        <v>258.435</v>
      </c>
      <c r="C424" s="67">
        <v>251.51</v>
      </c>
      <c r="D424" s="67">
        <v>251.96</v>
      </c>
      <c r="E424" s="67">
        <v>272845</v>
      </c>
      <c r="F424" s="67" t="s">
        <v>854</v>
      </c>
      <c r="G424" s="5">
        <f t="shared" si="8"/>
        <v>9.1284330846153061E-4</v>
      </c>
    </row>
    <row r="425" spans="1:7">
      <c r="A425" s="67">
        <v>250.06</v>
      </c>
      <c r="B425" s="67">
        <v>254.93</v>
      </c>
      <c r="C425" s="67">
        <v>248.83</v>
      </c>
      <c r="D425" s="67">
        <v>254.93</v>
      </c>
      <c r="E425" s="67">
        <v>122952</v>
      </c>
      <c r="F425" s="67" t="s">
        <v>855</v>
      </c>
      <c r="G425" s="5">
        <f t="shared" si="8"/>
        <v>-1.9103283254226722E-2</v>
      </c>
    </row>
    <row r="426" spans="1:7">
      <c r="A426" s="67">
        <v>255.72</v>
      </c>
      <c r="B426" s="67">
        <v>255.88</v>
      </c>
      <c r="C426" s="67">
        <v>250.05</v>
      </c>
      <c r="D426" s="67">
        <v>251.09</v>
      </c>
      <c r="E426" s="67">
        <v>183202</v>
      </c>
      <c r="F426" s="67" t="s">
        <v>856</v>
      </c>
      <c r="G426" s="5">
        <f t="shared" si="8"/>
        <v>1.8439603329483356E-2</v>
      </c>
    </row>
    <row r="427" spans="1:7">
      <c r="A427" s="67">
        <v>252.37</v>
      </c>
      <c r="B427" s="67">
        <v>253.05</v>
      </c>
      <c r="C427" s="67">
        <v>247.9</v>
      </c>
      <c r="D427" s="67">
        <v>251.52</v>
      </c>
      <c r="E427" s="67">
        <v>250879</v>
      </c>
      <c r="F427" s="67" t="s">
        <v>857</v>
      </c>
      <c r="G427" s="5">
        <f t="shared" si="8"/>
        <v>3.3794529262085593E-3</v>
      </c>
    </row>
    <row r="428" spans="1:7">
      <c r="A428" s="67">
        <v>250.59</v>
      </c>
      <c r="B428" s="67">
        <v>250.76</v>
      </c>
      <c r="C428" s="67">
        <v>246.12</v>
      </c>
      <c r="D428" s="67">
        <v>250.67</v>
      </c>
      <c r="E428" s="67">
        <v>262375</v>
      </c>
      <c r="F428" s="67" t="s">
        <v>858</v>
      </c>
      <c r="G428" s="5">
        <f t="shared" si="8"/>
        <v>-3.1914469222482644E-4</v>
      </c>
    </row>
    <row r="429" spans="1:7">
      <c r="A429" s="67">
        <v>246.69</v>
      </c>
      <c r="B429" s="67">
        <v>255.76499999999999</v>
      </c>
      <c r="C429" s="67">
        <v>246.66</v>
      </c>
      <c r="D429" s="67">
        <v>254.79</v>
      </c>
      <c r="E429" s="67">
        <v>153426</v>
      </c>
      <c r="F429" s="67" t="s">
        <v>859</v>
      </c>
      <c r="G429" s="5">
        <f t="shared" si="8"/>
        <v>-3.1790886612504399E-2</v>
      </c>
    </row>
    <row r="430" spans="1:7">
      <c r="A430" s="67">
        <v>252.97</v>
      </c>
      <c r="B430" s="67">
        <v>254.95</v>
      </c>
      <c r="C430" s="67">
        <v>241.87</v>
      </c>
      <c r="D430" s="67">
        <v>254.95</v>
      </c>
      <c r="E430" s="67">
        <v>389490</v>
      </c>
      <c r="F430" s="67" t="s">
        <v>860</v>
      </c>
      <c r="G430" s="5">
        <f t="shared" si="8"/>
        <v>-7.7662286722885998E-3</v>
      </c>
    </row>
    <row r="431" spans="1:7">
      <c r="A431" s="67">
        <v>252.74</v>
      </c>
      <c r="B431" s="67">
        <v>258.14999999999998</v>
      </c>
      <c r="C431" s="67">
        <v>248.94</v>
      </c>
      <c r="D431" s="67">
        <v>251.63</v>
      </c>
      <c r="E431" s="67">
        <v>195967</v>
      </c>
      <c r="F431" s="67" t="s">
        <v>861</v>
      </c>
      <c r="G431" s="5">
        <f t="shared" si="8"/>
        <v>4.4112387235226702E-3</v>
      </c>
    </row>
    <row r="432" spans="1:7">
      <c r="A432" s="67">
        <v>250.31</v>
      </c>
      <c r="B432" s="67">
        <v>256.75</v>
      </c>
      <c r="C432" s="67">
        <v>248.68</v>
      </c>
      <c r="D432" s="67">
        <v>256.75</v>
      </c>
      <c r="E432" s="67">
        <v>230842</v>
      </c>
      <c r="F432" s="67" t="s">
        <v>862</v>
      </c>
      <c r="G432" s="5">
        <f t="shared" si="8"/>
        <v>-2.5082765335929902E-2</v>
      </c>
    </row>
    <row r="433" spans="1:7">
      <c r="A433" s="67">
        <v>255.82</v>
      </c>
      <c r="B433" s="67">
        <v>260.86</v>
      </c>
      <c r="C433" s="67">
        <v>252.345</v>
      </c>
      <c r="D433" s="67">
        <v>260.86</v>
      </c>
      <c r="E433" s="67">
        <v>222115</v>
      </c>
      <c r="F433" s="67" t="s">
        <v>863</v>
      </c>
      <c r="G433" s="5">
        <f t="shared" si="8"/>
        <v>-1.9320708425975663E-2</v>
      </c>
    </row>
    <row r="434" spans="1:7">
      <c r="A434" s="67">
        <v>257.23</v>
      </c>
      <c r="B434" s="67">
        <v>260.39999999999998</v>
      </c>
      <c r="C434" s="67">
        <v>253.81</v>
      </c>
      <c r="D434" s="67">
        <v>259</v>
      </c>
      <c r="E434" s="67">
        <v>191100</v>
      </c>
      <c r="F434" s="67" t="s">
        <v>864</v>
      </c>
      <c r="G434" s="5">
        <f t="shared" ref="G434:G497" si="9">A434/D434-1</f>
        <v>-6.8339768339767959E-3</v>
      </c>
    </row>
    <row r="435" spans="1:7">
      <c r="A435" s="67">
        <v>263.06</v>
      </c>
      <c r="B435" s="67">
        <v>266.33999999999997</v>
      </c>
      <c r="C435" s="67">
        <v>252.73</v>
      </c>
      <c r="D435" s="67">
        <v>254.88</v>
      </c>
      <c r="E435" s="67">
        <v>441843</v>
      </c>
      <c r="F435" s="67" t="s">
        <v>865</v>
      </c>
      <c r="G435" s="5">
        <f t="shared" si="9"/>
        <v>3.2093534212178199E-2</v>
      </c>
    </row>
    <row r="436" spans="1:7">
      <c r="A436" s="67">
        <v>258.39</v>
      </c>
      <c r="B436" s="67">
        <v>262.52999999999997</v>
      </c>
      <c r="C436" s="67">
        <v>255.95500000000001</v>
      </c>
      <c r="D436" s="67">
        <v>258.92</v>
      </c>
      <c r="E436" s="67">
        <v>448819</v>
      </c>
      <c r="F436" s="67" t="s">
        <v>866</v>
      </c>
      <c r="G436" s="5">
        <f t="shared" si="9"/>
        <v>-2.0469643133015358E-3</v>
      </c>
    </row>
    <row r="437" spans="1:7">
      <c r="A437" s="67">
        <v>258.14999999999998</v>
      </c>
      <c r="B437" s="67">
        <v>258.77</v>
      </c>
      <c r="C437" s="67">
        <v>247.89</v>
      </c>
      <c r="D437" s="67">
        <v>251.55</v>
      </c>
      <c r="E437" s="67">
        <v>385154</v>
      </c>
      <c r="F437" s="67" t="s">
        <v>867</v>
      </c>
      <c r="G437" s="5">
        <f t="shared" si="9"/>
        <v>2.6237328562909834E-2</v>
      </c>
    </row>
    <row r="438" spans="1:7">
      <c r="A438" s="67">
        <v>249.86</v>
      </c>
      <c r="B438" s="67">
        <v>251.96</v>
      </c>
      <c r="C438" s="67">
        <v>244.86</v>
      </c>
      <c r="D438" s="67">
        <v>246.13</v>
      </c>
      <c r="E438" s="67">
        <v>331665</v>
      </c>
      <c r="F438" s="67" t="s">
        <v>868</v>
      </c>
      <c r="G438" s="5">
        <f t="shared" si="9"/>
        <v>1.5154593101206704E-2</v>
      </c>
    </row>
    <row r="439" spans="1:7">
      <c r="A439" s="67">
        <v>245.08</v>
      </c>
      <c r="B439" s="67">
        <v>252.76</v>
      </c>
      <c r="C439" s="67">
        <v>242.53</v>
      </c>
      <c r="D439" s="67">
        <v>244.43</v>
      </c>
      <c r="E439" s="67">
        <v>363339</v>
      </c>
      <c r="F439" s="67" t="s">
        <v>869</v>
      </c>
      <c r="G439" s="5">
        <f t="shared" si="9"/>
        <v>2.6592480464755486E-3</v>
      </c>
    </row>
    <row r="440" spans="1:7">
      <c r="A440" s="67">
        <v>247.32</v>
      </c>
      <c r="B440" s="67">
        <v>249.285</v>
      </c>
      <c r="C440" s="67">
        <v>231.89</v>
      </c>
      <c r="D440" s="67">
        <v>233.78</v>
      </c>
      <c r="E440" s="67">
        <v>370806</v>
      </c>
      <c r="F440" s="67" t="s">
        <v>870</v>
      </c>
      <c r="G440" s="5">
        <f t="shared" si="9"/>
        <v>5.7917700402087435E-2</v>
      </c>
    </row>
    <row r="441" spans="1:7">
      <c r="A441" s="67">
        <v>231.81</v>
      </c>
      <c r="B441" s="67">
        <v>234.63</v>
      </c>
      <c r="C441" s="67">
        <v>225.85</v>
      </c>
      <c r="D441" s="67">
        <v>228.45</v>
      </c>
      <c r="E441" s="67">
        <v>282021</v>
      </c>
      <c r="F441" s="67" t="s">
        <v>871</v>
      </c>
      <c r="G441" s="5">
        <f t="shared" si="9"/>
        <v>1.4707813525935753E-2</v>
      </c>
    </row>
    <row r="442" spans="1:7">
      <c r="A442" s="67">
        <v>231.19</v>
      </c>
      <c r="B442" s="67">
        <v>232.95</v>
      </c>
      <c r="C442" s="67">
        <v>227.57</v>
      </c>
      <c r="D442" s="67">
        <v>231.4</v>
      </c>
      <c r="E442" s="67">
        <v>812590</v>
      </c>
      <c r="F442" s="67" t="s">
        <v>872</v>
      </c>
      <c r="G442" s="5">
        <f t="shared" si="9"/>
        <v>-9.0751944684530628E-4</v>
      </c>
    </row>
    <row r="443" spans="1:7">
      <c r="A443" s="67">
        <v>231.69</v>
      </c>
      <c r="B443" s="67">
        <v>241.55</v>
      </c>
      <c r="C443" s="67">
        <v>230.92</v>
      </c>
      <c r="D443" s="67">
        <v>240.82</v>
      </c>
      <c r="E443" s="67">
        <v>498839</v>
      </c>
      <c r="F443" s="67" t="s">
        <v>873</v>
      </c>
      <c r="G443" s="5">
        <f t="shared" si="9"/>
        <v>-3.7912133543725579E-2</v>
      </c>
    </row>
    <row r="444" spans="1:7">
      <c r="A444" s="67">
        <v>244.77</v>
      </c>
      <c r="B444" s="67">
        <v>252.535</v>
      </c>
      <c r="C444" s="67">
        <v>243.25</v>
      </c>
      <c r="D444" s="67">
        <v>247.68</v>
      </c>
      <c r="E444" s="67">
        <v>272767</v>
      </c>
      <c r="F444" s="67" t="s">
        <v>874</v>
      </c>
      <c r="G444" s="5">
        <f t="shared" si="9"/>
        <v>-1.1749031007751931E-2</v>
      </c>
    </row>
    <row r="445" spans="1:7">
      <c r="A445" s="67">
        <v>251.54</v>
      </c>
      <c r="B445" s="67">
        <v>256.64</v>
      </c>
      <c r="C445" s="67">
        <v>250.56</v>
      </c>
      <c r="D445" s="67">
        <v>255.03</v>
      </c>
      <c r="E445" s="67">
        <v>146427</v>
      </c>
      <c r="F445" s="67" t="s">
        <v>875</v>
      </c>
      <c r="G445" s="5">
        <f t="shared" si="9"/>
        <v>-1.3684664549268755E-2</v>
      </c>
    </row>
    <row r="446" spans="1:7">
      <c r="A446" s="67">
        <v>255.47</v>
      </c>
      <c r="B446" s="67">
        <v>261.8</v>
      </c>
      <c r="C446" s="67">
        <v>253.38499999999999</v>
      </c>
      <c r="D446" s="67">
        <v>259.45</v>
      </c>
      <c r="E446" s="67">
        <v>253322</v>
      </c>
      <c r="F446" s="67" t="s">
        <v>876</v>
      </c>
      <c r="G446" s="5">
        <f t="shared" si="9"/>
        <v>-1.5340142609365892E-2</v>
      </c>
    </row>
    <row r="447" spans="1:7">
      <c r="A447" s="67">
        <v>260.22000000000003</v>
      </c>
      <c r="B447" s="67">
        <v>262.77</v>
      </c>
      <c r="C447" s="67">
        <v>258.625</v>
      </c>
      <c r="D447" s="67">
        <v>260.37</v>
      </c>
      <c r="E447" s="67">
        <v>105882</v>
      </c>
      <c r="F447" s="67" t="s">
        <v>877</v>
      </c>
      <c r="G447" s="5">
        <f t="shared" si="9"/>
        <v>-5.7610323770007632E-4</v>
      </c>
    </row>
    <row r="448" spans="1:7">
      <c r="A448" s="67">
        <v>260.14</v>
      </c>
      <c r="B448" s="67">
        <v>262.75</v>
      </c>
      <c r="C448" s="67">
        <v>257.94</v>
      </c>
      <c r="D448" s="67">
        <v>260.36</v>
      </c>
      <c r="E448" s="67">
        <v>117380</v>
      </c>
      <c r="F448" s="67" t="s">
        <v>878</v>
      </c>
      <c r="G448" s="5">
        <f t="shared" si="9"/>
        <v>-8.4498386848985696E-4</v>
      </c>
    </row>
    <row r="449" spans="1:7">
      <c r="A449" s="67">
        <v>258.58</v>
      </c>
      <c r="B449" s="67">
        <v>261.94</v>
      </c>
      <c r="C449" s="67">
        <v>256.27</v>
      </c>
      <c r="D449" s="67">
        <v>260</v>
      </c>
      <c r="E449" s="67">
        <v>179660</v>
      </c>
      <c r="F449" s="67" t="s">
        <v>879</v>
      </c>
      <c r="G449" s="5">
        <f t="shared" si="9"/>
        <v>-5.4615384615385176E-3</v>
      </c>
    </row>
    <row r="450" spans="1:7">
      <c r="A450" s="67">
        <v>258.58</v>
      </c>
      <c r="B450" s="67">
        <v>259.3</v>
      </c>
      <c r="C450" s="67">
        <v>249.21</v>
      </c>
      <c r="D450" s="67">
        <v>249.21</v>
      </c>
      <c r="E450" s="67">
        <v>204218</v>
      </c>
      <c r="F450" s="67" t="s">
        <v>880</v>
      </c>
      <c r="G450" s="5">
        <f t="shared" si="9"/>
        <v>3.7598812246699476E-2</v>
      </c>
    </row>
    <row r="451" spans="1:7">
      <c r="A451" s="67">
        <v>247.02</v>
      </c>
      <c r="B451" s="67">
        <v>256.18</v>
      </c>
      <c r="C451" s="67">
        <v>246.92</v>
      </c>
      <c r="D451" s="67">
        <v>252</v>
      </c>
      <c r="E451" s="67">
        <v>337288</v>
      </c>
      <c r="F451" s="67" t="s">
        <v>881</v>
      </c>
      <c r="G451" s="5">
        <f t="shared" si="9"/>
        <v>-1.9761904761904758E-2</v>
      </c>
    </row>
    <row r="452" spans="1:7">
      <c r="A452" s="67">
        <v>252.08</v>
      </c>
      <c r="B452" s="67">
        <v>255.52</v>
      </c>
      <c r="C452" s="67">
        <v>250.31</v>
      </c>
      <c r="D452" s="67">
        <v>250.43</v>
      </c>
      <c r="E452" s="67">
        <v>348355</v>
      </c>
      <c r="F452" s="67" t="s">
        <v>882</v>
      </c>
      <c r="G452" s="5">
        <f t="shared" si="9"/>
        <v>6.588667491914002E-3</v>
      </c>
    </row>
    <row r="453" spans="1:7">
      <c r="A453" s="67">
        <v>247.38</v>
      </c>
      <c r="B453" s="67">
        <v>249.875</v>
      </c>
      <c r="C453" s="67">
        <v>244.06</v>
      </c>
      <c r="D453" s="67">
        <v>245.87</v>
      </c>
      <c r="E453" s="67">
        <v>270071</v>
      </c>
      <c r="F453" s="67" t="s">
        <v>883</v>
      </c>
      <c r="G453" s="5">
        <f t="shared" si="9"/>
        <v>6.1414568674502679E-3</v>
      </c>
    </row>
    <row r="454" spans="1:7">
      <c r="A454" s="67">
        <v>245.48</v>
      </c>
      <c r="B454" s="67">
        <v>253.07</v>
      </c>
      <c r="C454" s="67">
        <v>243.33</v>
      </c>
      <c r="D454" s="67">
        <v>251.03</v>
      </c>
      <c r="E454" s="67">
        <v>786485</v>
      </c>
      <c r="F454" s="67" t="s">
        <v>884</v>
      </c>
      <c r="G454" s="5">
        <f t="shared" si="9"/>
        <v>-2.2108911285503741E-2</v>
      </c>
    </row>
    <row r="455" spans="1:7">
      <c r="A455" s="67">
        <v>252.84</v>
      </c>
      <c r="B455" s="67">
        <v>255.07</v>
      </c>
      <c r="C455" s="67">
        <v>244.77</v>
      </c>
      <c r="D455" s="67">
        <v>244.77</v>
      </c>
      <c r="E455" s="67">
        <v>622461</v>
      </c>
      <c r="F455" s="67" t="s">
        <v>885</v>
      </c>
      <c r="G455" s="5">
        <f t="shared" si="9"/>
        <v>3.2969726682191336E-2</v>
      </c>
    </row>
    <row r="456" spans="1:7">
      <c r="A456" s="67">
        <v>240.31</v>
      </c>
      <c r="B456" s="67">
        <v>240.53</v>
      </c>
      <c r="C456" s="67">
        <v>228.2</v>
      </c>
      <c r="D456" s="67">
        <v>228.2</v>
      </c>
      <c r="E456" s="67">
        <v>364440</v>
      </c>
      <c r="F456" s="67" t="s">
        <v>886</v>
      </c>
      <c r="G456" s="5">
        <f t="shared" si="9"/>
        <v>5.3067484662576714E-2</v>
      </c>
    </row>
    <row r="457" spans="1:7">
      <c r="A457" s="67">
        <v>229.37</v>
      </c>
      <c r="B457" s="67">
        <v>230.59</v>
      </c>
      <c r="C457" s="67">
        <v>222.285</v>
      </c>
      <c r="D457" s="67">
        <v>225.15</v>
      </c>
      <c r="E457" s="67">
        <v>256856</v>
      </c>
      <c r="F457" s="67" t="s">
        <v>887</v>
      </c>
      <c r="G457" s="5">
        <f t="shared" si="9"/>
        <v>1.8743060182100812E-2</v>
      </c>
    </row>
    <row r="458" spans="1:7">
      <c r="A458" s="67">
        <v>224.11</v>
      </c>
      <c r="B458" s="67">
        <v>225.54</v>
      </c>
      <c r="C458" s="67">
        <v>222.55</v>
      </c>
      <c r="D458" s="67">
        <v>224.68</v>
      </c>
      <c r="E458" s="67">
        <v>265722</v>
      </c>
      <c r="F458" s="67" t="s">
        <v>888</v>
      </c>
      <c r="G458" s="5">
        <f t="shared" si="9"/>
        <v>-2.5369414278083591E-3</v>
      </c>
    </row>
    <row r="459" spans="1:7">
      <c r="A459" s="67">
        <v>224.04</v>
      </c>
      <c r="B459" s="67">
        <v>224.73</v>
      </c>
      <c r="C459" s="67">
        <v>221.14</v>
      </c>
      <c r="D459" s="67">
        <v>223.25</v>
      </c>
      <c r="E459" s="67">
        <v>279165</v>
      </c>
      <c r="F459" s="67" t="s">
        <v>889</v>
      </c>
      <c r="G459" s="5">
        <f t="shared" si="9"/>
        <v>3.5386338185889876E-3</v>
      </c>
    </row>
    <row r="460" spans="1:7">
      <c r="A460" s="67">
        <v>223.19</v>
      </c>
      <c r="B460" s="67">
        <v>224.64</v>
      </c>
      <c r="C460" s="67">
        <v>221.2</v>
      </c>
      <c r="D460" s="67">
        <v>221.23</v>
      </c>
      <c r="E460" s="67">
        <v>158540</v>
      </c>
      <c r="F460" s="67" t="s">
        <v>890</v>
      </c>
      <c r="G460" s="5">
        <f t="shared" si="9"/>
        <v>8.859557926140349E-3</v>
      </c>
    </row>
    <row r="461" spans="1:7">
      <c r="A461" s="67">
        <v>221.9</v>
      </c>
      <c r="B461" s="67">
        <v>222.946</v>
      </c>
      <c r="C461" s="67">
        <v>217.643</v>
      </c>
      <c r="D461" s="67">
        <v>221.85</v>
      </c>
      <c r="E461" s="67">
        <v>311298</v>
      </c>
      <c r="F461" s="67" t="s">
        <v>891</v>
      </c>
      <c r="G461" s="5">
        <f t="shared" si="9"/>
        <v>2.2537750732487538E-4</v>
      </c>
    </row>
    <row r="462" spans="1:7">
      <c r="A462" s="67">
        <v>220.91</v>
      </c>
      <c r="B462" s="67">
        <v>227.48</v>
      </c>
      <c r="C462" s="67">
        <v>217.12</v>
      </c>
      <c r="D462" s="67">
        <v>226.44</v>
      </c>
      <c r="E462" s="67">
        <v>365354</v>
      </c>
      <c r="F462" s="67" t="s">
        <v>892</v>
      </c>
      <c r="G462" s="5">
        <f t="shared" si="9"/>
        <v>-2.4421480303833287E-2</v>
      </c>
    </row>
    <row r="463" spans="1:7">
      <c r="A463" s="67">
        <v>228.54</v>
      </c>
      <c r="B463" s="67">
        <v>230.29</v>
      </c>
      <c r="C463" s="67">
        <v>223.93</v>
      </c>
      <c r="D463" s="67">
        <v>226.42</v>
      </c>
      <c r="E463" s="67">
        <v>554285</v>
      </c>
      <c r="F463" s="67" t="s">
        <v>893</v>
      </c>
      <c r="G463" s="5">
        <f t="shared" si="9"/>
        <v>9.3631304655066305E-3</v>
      </c>
    </row>
    <row r="464" spans="1:7">
      <c r="A464" s="67">
        <v>227.75</v>
      </c>
      <c r="B464" s="67">
        <v>229.69</v>
      </c>
      <c r="C464" s="67">
        <v>221.01</v>
      </c>
      <c r="D464" s="67">
        <v>221.94</v>
      </c>
      <c r="E464" s="67">
        <v>383440</v>
      </c>
      <c r="F464" s="67" t="s">
        <v>894</v>
      </c>
      <c r="G464" s="5">
        <f t="shared" si="9"/>
        <v>2.6178246372893677E-2</v>
      </c>
    </row>
    <row r="465" spans="1:7">
      <c r="A465" s="67">
        <v>222.09</v>
      </c>
      <c r="B465" s="67">
        <v>226.41</v>
      </c>
      <c r="C465" s="67">
        <v>221.13</v>
      </c>
      <c r="D465" s="67">
        <v>226.41</v>
      </c>
      <c r="E465" s="67">
        <v>297351</v>
      </c>
      <c r="F465" s="67" t="s">
        <v>895</v>
      </c>
      <c r="G465" s="5">
        <f t="shared" si="9"/>
        <v>-1.9080429309659475E-2</v>
      </c>
    </row>
    <row r="466" spans="1:7">
      <c r="A466" s="67">
        <v>226.61</v>
      </c>
      <c r="B466" s="67">
        <v>232.55</v>
      </c>
      <c r="C466" s="67">
        <v>225.06</v>
      </c>
      <c r="D466" s="67">
        <v>227.06</v>
      </c>
      <c r="E466" s="67">
        <v>343509</v>
      </c>
      <c r="F466" s="67" t="s">
        <v>896</v>
      </c>
      <c r="G466" s="5">
        <f t="shared" si="9"/>
        <v>-1.9818550162952198E-3</v>
      </c>
    </row>
    <row r="467" spans="1:7">
      <c r="A467" s="67">
        <v>224.57</v>
      </c>
      <c r="B467" s="67">
        <v>230.7</v>
      </c>
      <c r="C467" s="67">
        <v>222.91</v>
      </c>
      <c r="D467" s="67">
        <v>229.35</v>
      </c>
      <c r="E467" s="67">
        <v>450831</v>
      </c>
      <c r="F467" s="67" t="s">
        <v>897</v>
      </c>
      <c r="G467" s="5">
        <f t="shared" si="9"/>
        <v>-2.0841508611292747E-2</v>
      </c>
    </row>
    <row r="468" spans="1:7">
      <c r="A468" s="67">
        <v>231.02</v>
      </c>
      <c r="B468" s="67">
        <v>233.52</v>
      </c>
      <c r="C468" s="67">
        <v>230.45</v>
      </c>
      <c r="D468" s="67">
        <v>231.25</v>
      </c>
      <c r="E468" s="67">
        <v>196097</v>
      </c>
      <c r="F468" s="67" t="s">
        <v>898</v>
      </c>
      <c r="G468" s="5">
        <f t="shared" si="9"/>
        <v>-9.9459459459450006E-4</v>
      </c>
    </row>
    <row r="469" spans="1:7">
      <c r="A469" s="67">
        <v>232.9</v>
      </c>
      <c r="B469" s="67">
        <v>236.49</v>
      </c>
      <c r="C469" s="67">
        <v>231.08</v>
      </c>
      <c r="D469" s="67">
        <v>231.08</v>
      </c>
      <c r="E469" s="67">
        <v>70973</v>
      </c>
      <c r="F469" s="67" t="s">
        <v>899</v>
      </c>
      <c r="G469" s="5">
        <f t="shared" si="9"/>
        <v>7.8760602388783241E-3</v>
      </c>
    </row>
    <row r="470" spans="1:7">
      <c r="A470" s="67">
        <v>231.68</v>
      </c>
      <c r="B470" s="67">
        <v>236.06950000000001</v>
      </c>
      <c r="C470" s="67">
        <v>231.44</v>
      </c>
      <c r="D470" s="67">
        <v>233.34</v>
      </c>
      <c r="E470" s="67">
        <v>252306</v>
      </c>
      <c r="F470" s="67" t="s">
        <v>900</v>
      </c>
      <c r="G470" s="5">
        <f t="shared" si="9"/>
        <v>-7.1140824547869519E-3</v>
      </c>
    </row>
    <row r="471" spans="1:7">
      <c r="A471" s="67">
        <v>230.23</v>
      </c>
      <c r="B471" s="67">
        <v>236</v>
      </c>
      <c r="C471" s="67">
        <v>229.29499999999999</v>
      </c>
      <c r="D471" s="67">
        <v>236</v>
      </c>
      <c r="E471" s="67">
        <v>231277</v>
      </c>
      <c r="F471" s="67" t="s">
        <v>901</v>
      </c>
      <c r="G471" s="5">
        <f t="shared" si="9"/>
        <v>-2.4449152542372898E-2</v>
      </c>
    </row>
    <row r="472" spans="1:7">
      <c r="A472" s="67">
        <v>235.45</v>
      </c>
      <c r="B472" s="67">
        <v>236.2</v>
      </c>
      <c r="C472" s="67">
        <v>226.01</v>
      </c>
      <c r="D472" s="67">
        <v>226.01</v>
      </c>
      <c r="E472" s="67">
        <v>536805</v>
      </c>
      <c r="F472" s="67" t="s">
        <v>902</v>
      </c>
      <c r="G472" s="5">
        <f t="shared" si="9"/>
        <v>4.1768063360028362E-2</v>
      </c>
    </row>
    <row r="473" spans="1:7">
      <c r="A473" s="67">
        <v>226.31</v>
      </c>
      <c r="B473" s="67">
        <v>230.96</v>
      </c>
      <c r="C473" s="67">
        <v>224.63</v>
      </c>
      <c r="D473" s="67">
        <v>225.33</v>
      </c>
      <c r="E473" s="67">
        <v>548137</v>
      </c>
      <c r="F473" s="67" t="s">
        <v>903</v>
      </c>
      <c r="G473" s="5">
        <f t="shared" si="9"/>
        <v>4.3491767629697531E-3</v>
      </c>
    </row>
    <row r="474" spans="1:7">
      <c r="A474" s="67">
        <v>223.67</v>
      </c>
      <c r="B474" s="67">
        <v>228.83500000000001</v>
      </c>
      <c r="C474" s="67">
        <v>221.04</v>
      </c>
      <c r="D474" s="67">
        <v>226.64</v>
      </c>
      <c r="E474" s="67">
        <v>397021</v>
      </c>
      <c r="F474" s="67" t="s">
        <v>904</v>
      </c>
      <c r="G474" s="5">
        <f t="shared" si="9"/>
        <v>-1.310448288033883E-2</v>
      </c>
    </row>
    <row r="475" spans="1:7">
      <c r="A475" s="67">
        <v>227.88</v>
      </c>
      <c r="B475" s="67">
        <v>228.71</v>
      </c>
      <c r="C475" s="67">
        <v>214</v>
      </c>
      <c r="D475" s="67">
        <v>215.49</v>
      </c>
      <c r="E475" s="67">
        <v>714902</v>
      </c>
      <c r="F475" s="67" t="s">
        <v>905</v>
      </c>
      <c r="G475" s="5">
        <f t="shared" si="9"/>
        <v>5.7496867604065027E-2</v>
      </c>
    </row>
    <row r="476" spans="1:7">
      <c r="A476" s="67">
        <v>215</v>
      </c>
      <c r="B476" s="67">
        <v>218.78</v>
      </c>
      <c r="C476" s="67">
        <v>210.86</v>
      </c>
      <c r="D476" s="67">
        <v>212.31</v>
      </c>
      <c r="E476" s="67">
        <v>634498</v>
      </c>
      <c r="F476" s="67" t="s">
        <v>906</v>
      </c>
      <c r="G476" s="5">
        <f t="shared" si="9"/>
        <v>1.2670152136027513E-2</v>
      </c>
    </row>
    <row r="477" spans="1:7">
      <c r="A477" s="67">
        <v>208.8</v>
      </c>
      <c r="B477" s="67">
        <v>223.0419</v>
      </c>
      <c r="C477" s="67">
        <v>202.48</v>
      </c>
      <c r="D477" s="67">
        <v>211.87</v>
      </c>
      <c r="E477" s="67">
        <v>1556320</v>
      </c>
      <c r="F477" s="67" t="s">
        <v>907</v>
      </c>
      <c r="G477" s="5">
        <f t="shared" si="9"/>
        <v>-1.4490017463538951E-2</v>
      </c>
    </row>
    <row r="478" spans="1:7">
      <c r="A478" s="67">
        <v>181.44</v>
      </c>
      <c r="B478" s="67">
        <v>186.26</v>
      </c>
      <c r="C478" s="67">
        <v>180.93</v>
      </c>
      <c r="D478" s="67">
        <v>184.09</v>
      </c>
      <c r="E478" s="67">
        <v>845868</v>
      </c>
      <c r="F478" s="67" t="s">
        <v>908</v>
      </c>
      <c r="G478" s="5">
        <f t="shared" si="9"/>
        <v>-1.4395132815470779E-2</v>
      </c>
    </row>
    <row r="479" spans="1:7">
      <c r="A479" s="67">
        <v>183.88</v>
      </c>
      <c r="B479" s="67">
        <v>191.64</v>
      </c>
      <c r="C479" s="67">
        <v>181.07</v>
      </c>
      <c r="D479" s="67">
        <v>191.64</v>
      </c>
      <c r="E479" s="67">
        <v>689005</v>
      </c>
      <c r="F479" s="67" t="s">
        <v>909</v>
      </c>
      <c r="G479" s="5">
        <f t="shared" si="9"/>
        <v>-4.049259027342933E-2</v>
      </c>
    </row>
    <row r="480" spans="1:7">
      <c r="A480" s="67">
        <v>190.54</v>
      </c>
      <c r="B480" s="67">
        <v>196.27</v>
      </c>
      <c r="C480" s="67">
        <v>190</v>
      </c>
      <c r="D480" s="67">
        <v>196.27</v>
      </c>
      <c r="E480" s="67">
        <v>667463</v>
      </c>
      <c r="F480" s="67" t="s">
        <v>910</v>
      </c>
      <c r="G480" s="5">
        <f t="shared" si="9"/>
        <v>-2.9194476995974994E-2</v>
      </c>
    </row>
    <row r="481" spans="1:7">
      <c r="A481" s="67">
        <v>196.53</v>
      </c>
      <c r="B481" s="67">
        <v>199.16499999999999</v>
      </c>
      <c r="C481" s="67">
        <v>193.3</v>
      </c>
      <c r="D481" s="67">
        <v>198.62</v>
      </c>
      <c r="E481" s="67">
        <v>467219</v>
      </c>
      <c r="F481" s="67" t="s">
        <v>911</v>
      </c>
      <c r="G481" s="5">
        <f t="shared" si="9"/>
        <v>-1.052260598127075E-2</v>
      </c>
    </row>
    <row r="482" spans="1:7">
      <c r="A482" s="67">
        <v>198.69</v>
      </c>
      <c r="B482" s="67">
        <v>202.7</v>
      </c>
      <c r="C482" s="67">
        <v>196.95</v>
      </c>
      <c r="D482" s="67">
        <v>199.23</v>
      </c>
      <c r="E482" s="67">
        <v>399928</v>
      </c>
      <c r="F482" s="67" t="s">
        <v>912</v>
      </c>
      <c r="G482" s="5">
        <f t="shared" si="9"/>
        <v>-2.710435175425352E-3</v>
      </c>
    </row>
    <row r="483" spans="1:7">
      <c r="A483" s="67">
        <v>197.86</v>
      </c>
      <c r="B483" s="67">
        <v>211.935</v>
      </c>
      <c r="C483" s="67">
        <v>190.42</v>
      </c>
      <c r="D483" s="67">
        <v>198.44</v>
      </c>
      <c r="E483" s="67">
        <v>883354</v>
      </c>
      <c r="F483" s="67" t="s">
        <v>913</v>
      </c>
      <c r="G483" s="5">
        <f t="shared" si="9"/>
        <v>-2.9227978230195184E-3</v>
      </c>
    </row>
    <row r="484" spans="1:7">
      <c r="A484" s="67">
        <v>198.26</v>
      </c>
      <c r="B484" s="67">
        <v>201.78</v>
      </c>
      <c r="C484" s="67">
        <v>195.21</v>
      </c>
      <c r="D484" s="67">
        <v>196.29</v>
      </c>
      <c r="E484" s="67">
        <v>639730</v>
      </c>
      <c r="F484" s="67" t="s">
        <v>914</v>
      </c>
      <c r="G484" s="5">
        <f t="shared" si="9"/>
        <v>1.0036170971521763E-2</v>
      </c>
    </row>
    <row r="485" spans="1:7">
      <c r="A485" s="67">
        <v>194.06</v>
      </c>
      <c r="B485" s="67">
        <v>194.27</v>
      </c>
      <c r="C485" s="67">
        <v>187.88499999999999</v>
      </c>
      <c r="D485" s="67">
        <v>190.91</v>
      </c>
      <c r="E485" s="67">
        <v>315487</v>
      </c>
      <c r="F485" s="67" t="s">
        <v>915</v>
      </c>
      <c r="G485" s="5">
        <f t="shared" si="9"/>
        <v>1.649992142894563E-2</v>
      </c>
    </row>
    <row r="486" spans="1:7">
      <c r="A486" s="67">
        <v>191.15</v>
      </c>
      <c r="B486" s="67">
        <v>194.12</v>
      </c>
      <c r="C486" s="67">
        <v>189.86</v>
      </c>
      <c r="D486" s="67">
        <v>193.54</v>
      </c>
      <c r="E486" s="67">
        <v>371739</v>
      </c>
      <c r="F486" s="67" t="s">
        <v>916</v>
      </c>
      <c r="G486" s="5">
        <f t="shared" si="9"/>
        <v>-1.2348868450966166E-2</v>
      </c>
    </row>
    <row r="487" spans="1:7">
      <c r="A487" s="67">
        <v>191.29</v>
      </c>
      <c r="B487" s="67">
        <v>194.5</v>
      </c>
      <c r="C487" s="67">
        <v>188.6</v>
      </c>
      <c r="D487" s="67">
        <v>194.49</v>
      </c>
      <c r="E487" s="67">
        <v>305359</v>
      </c>
      <c r="F487" s="67" t="s">
        <v>917</v>
      </c>
      <c r="G487" s="5">
        <f t="shared" si="9"/>
        <v>-1.645328808679114E-2</v>
      </c>
    </row>
    <row r="488" spans="1:7">
      <c r="A488" s="67">
        <v>192.81</v>
      </c>
      <c r="B488" s="67">
        <v>200.34</v>
      </c>
      <c r="C488" s="67">
        <v>192.16</v>
      </c>
      <c r="D488" s="67">
        <v>195.28</v>
      </c>
      <c r="E488" s="67">
        <v>421917</v>
      </c>
      <c r="F488" s="67" t="s">
        <v>918</v>
      </c>
      <c r="G488" s="5">
        <f t="shared" si="9"/>
        <v>-1.264850471118395E-2</v>
      </c>
    </row>
    <row r="489" spans="1:7">
      <c r="A489" s="67">
        <v>193.08</v>
      </c>
      <c r="B489" s="67">
        <v>199.01</v>
      </c>
      <c r="C489" s="67">
        <v>192</v>
      </c>
      <c r="D489" s="67">
        <v>198</v>
      </c>
      <c r="E489" s="67">
        <v>330355</v>
      </c>
      <c r="F489" s="67" t="s">
        <v>919</v>
      </c>
      <c r="G489" s="5">
        <f t="shared" si="9"/>
        <v>-2.4848484848484786E-2</v>
      </c>
    </row>
    <row r="490" spans="1:7">
      <c r="A490" s="67">
        <v>198.66</v>
      </c>
      <c r="B490" s="67">
        <v>205.14</v>
      </c>
      <c r="C490" s="67">
        <v>198.34</v>
      </c>
      <c r="D490" s="67">
        <v>205.14</v>
      </c>
      <c r="E490" s="67">
        <v>174509</v>
      </c>
      <c r="F490" s="67" t="s">
        <v>920</v>
      </c>
      <c r="G490" s="5">
        <f t="shared" si="9"/>
        <v>-3.1588183679438386E-2</v>
      </c>
    </row>
    <row r="491" spans="1:7">
      <c r="A491" s="67">
        <v>206.05</v>
      </c>
      <c r="B491" s="67">
        <v>209.33</v>
      </c>
      <c r="C491" s="67">
        <v>204.19</v>
      </c>
      <c r="D491" s="67">
        <v>206.78</v>
      </c>
      <c r="E491" s="67">
        <v>307993</v>
      </c>
      <c r="F491" s="67" t="s">
        <v>921</v>
      </c>
      <c r="G491" s="5">
        <f t="shared" si="9"/>
        <v>-3.5303220814391079E-3</v>
      </c>
    </row>
    <row r="492" spans="1:7">
      <c r="A492" s="67">
        <v>207.07</v>
      </c>
      <c r="B492" s="67">
        <v>210.08</v>
      </c>
      <c r="C492" s="67">
        <v>205.04</v>
      </c>
      <c r="D492" s="67">
        <v>205.22</v>
      </c>
      <c r="E492" s="67">
        <v>213655</v>
      </c>
      <c r="F492" s="67" t="s">
        <v>922</v>
      </c>
      <c r="G492" s="5">
        <f t="shared" si="9"/>
        <v>9.014715914628102E-3</v>
      </c>
    </row>
    <row r="493" spans="1:7">
      <c r="A493" s="67">
        <v>205.5</v>
      </c>
      <c r="B493" s="67">
        <v>208.12</v>
      </c>
      <c r="C493" s="67">
        <v>203.72</v>
      </c>
      <c r="D493" s="67">
        <v>206</v>
      </c>
      <c r="E493" s="67">
        <v>182192</v>
      </c>
      <c r="F493" s="67" t="s">
        <v>923</v>
      </c>
      <c r="G493" s="5">
        <f t="shared" si="9"/>
        <v>-2.4271844660194164E-3</v>
      </c>
    </row>
    <row r="494" spans="1:7">
      <c r="A494" s="67">
        <v>206.96</v>
      </c>
      <c r="B494" s="67">
        <v>209.18</v>
      </c>
      <c r="C494" s="67">
        <v>202.82</v>
      </c>
      <c r="D494" s="67">
        <v>206.69</v>
      </c>
      <c r="E494" s="67">
        <v>361864</v>
      </c>
      <c r="F494" s="67" t="s">
        <v>924</v>
      </c>
      <c r="G494" s="5">
        <f t="shared" si="9"/>
        <v>1.3063041269534281E-3</v>
      </c>
    </row>
    <row r="495" spans="1:7">
      <c r="A495" s="67">
        <v>206.83</v>
      </c>
      <c r="B495" s="67">
        <v>210.56</v>
      </c>
      <c r="C495" s="67">
        <v>205.22</v>
      </c>
      <c r="D495" s="67">
        <v>205.88</v>
      </c>
      <c r="E495" s="67">
        <v>259498</v>
      </c>
      <c r="F495" s="67" t="s">
        <v>925</v>
      </c>
      <c r="G495" s="5">
        <f t="shared" si="9"/>
        <v>4.6143384495822559E-3</v>
      </c>
    </row>
    <row r="496" spans="1:7">
      <c r="A496" s="67">
        <v>206.06</v>
      </c>
      <c r="B496" s="67">
        <v>207.73500000000001</v>
      </c>
      <c r="C496" s="67">
        <v>196.38</v>
      </c>
      <c r="D496" s="67">
        <v>196.73</v>
      </c>
      <c r="E496" s="67">
        <v>481606</v>
      </c>
      <c r="F496" s="67" t="s">
        <v>926</v>
      </c>
      <c r="G496" s="5">
        <f t="shared" si="9"/>
        <v>4.7425405377929275E-2</v>
      </c>
    </row>
    <row r="497" spans="1:7">
      <c r="A497" s="67">
        <v>200.09</v>
      </c>
      <c r="B497" s="67">
        <v>201.655</v>
      </c>
      <c r="C497" s="67">
        <v>195.24</v>
      </c>
      <c r="D497" s="67">
        <v>198.42</v>
      </c>
      <c r="E497" s="67">
        <v>380693</v>
      </c>
      <c r="F497" s="67" t="s">
        <v>927</v>
      </c>
      <c r="G497" s="5">
        <f t="shared" si="9"/>
        <v>8.4164902731580504E-3</v>
      </c>
    </row>
    <row r="498" spans="1:7">
      <c r="A498" s="67">
        <v>196.42</v>
      </c>
      <c r="B498" s="67">
        <v>198.82499999999999</v>
      </c>
      <c r="C498" s="67">
        <v>192.03</v>
      </c>
      <c r="D498" s="67">
        <v>194.19</v>
      </c>
      <c r="E498" s="67">
        <v>632898</v>
      </c>
      <c r="F498" s="67" t="s">
        <v>928</v>
      </c>
      <c r="G498" s="5">
        <f t="shared" ref="G498:G561" si="10">A498/D498-1</f>
        <v>1.1483598537514794E-2</v>
      </c>
    </row>
    <row r="499" spans="1:7">
      <c r="A499" s="67">
        <v>195.11</v>
      </c>
      <c r="B499" s="67">
        <v>219.65960000000001</v>
      </c>
      <c r="C499" s="67">
        <v>194.83</v>
      </c>
      <c r="D499" s="67">
        <v>216.23</v>
      </c>
      <c r="E499" s="67">
        <v>1147008</v>
      </c>
      <c r="F499" s="67" t="s">
        <v>929</v>
      </c>
      <c r="G499" s="5">
        <f t="shared" si="10"/>
        <v>-9.767377329695226E-2</v>
      </c>
    </row>
    <row r="500" spans="1:7">
      <c r="A500" s="67">
        <v>215.56</v>
      </c>
      <c r="B500" s="67">
        <v>233.54</v>
      </c>
      <c r="C500" s="67">
        <v>212.27510000000001</v>
      </c>
      <c r="D500" s="67">
        <v>231.89</v>
      </c>
      <c r="E500" s="67">
        <v>678506</v>
      </c>
      <c r="F500" s="67" t="s">
        <v>930</v>
      </c>
      <c r="G500" s="5">
        <f t="shared" si="10"/>
        <v>-7.0421320453663339E-2</v>
      </c>
    </row>
    <row r="501" spans="1:7">
      <c r="A501" s="67">
        <v>232.9</v>
      </c>
      <c r="B501" s="67">
        <v>235.75</v>
      </c>
      <c r="C501" s="67">
        <v>225.42</v>
      </c>
      <c r="D501" s="67">
        <v>225.42</v>
      </c>
      <c r="E501" s="67">
        <v>360323</v>
      </c>
      <c r="F501" s="67" t="s">
        <v>931</v>
      </c>
      <c r="G501" s="5">
        <f t="shared" si="10"/>
        <v>3.3182503770739169E-2</v>
      </c>
    </row>
    <row r="502" spans="1:7">
      <c r="A502" s="67">
        <v>223.07</v>
      </c>
      <c r="B502" s="67">
        <v>223.66499999999999</v>
      </c>
      <c r="C502" s="67">
        <v>217.19</v>
      </c>
      <c r="D502" s="67">
        <v>223.05</v>
      </c>
      <c r="E502" s="67">
        <v>296141</v>
      </c>
      <c r="F502" s="67" t="s">
        <v>932</v>
      </c>
      <c r="G502" s="5">
        <f t="shared" si="10"/>
        <v>8.9665994171594932E-5</v>
      </c>
    </row>
    <row r="503" spans="1:7">
      <c r="A503" s="67">
        <v>225.45</v>
      </c>
      <c r="B503" s="67">
        <v>226.96</v>
      </c>
      <c r="C503" s="67">
        <v>219.79</v>
      </c>
      <c r="D503" s="67">
        <v>221.4</v>
      </c>
      <c r="E503" s="67">
        <v>393414</v>
      </c>
      <c r="F503" s="67" t="s">
        <v>933</v>
      </c>
      <c r="G503" s="5">
        <f t="shared" si="10"/>
        <v>1.8292682926829285E-2</v>
      </c>
    </row>
    <row r="504" spans="1:7">
      <c r="A504" s="67">
        <v>222.62</v>
      </c>
      <c r="B504" s="67">
        <v>233.04</v>
      </c>
      <c r="C504" s="67">
        <v>221.51</v>
      </c>
      <c r="D504" s="67">
        <v>231.9</v>
      </c>
      <c r="E504" s="67">
        <v>409419</v>
      </c>
      <c r="F504" s="67" t="s">
        <v>934</v>
      </c>
      <c r="G504" s="5">
        <f t="shared" si="10"/>
        <v>-4.0017248814144035E-2</v>
      </c>
    </row>
    <row r="505" spans="1:7">
      <c r="A505" s="67">
        <v>231.05</v>
      </c>
      <c r="B505" s="67">
        <v>233.84</v>
      </c>
      <c r="C505" s="67">
        <v>226.74</v>
      </c>
      <c r="D505" s="67">
        <v>233.84</v>
      </c>
      <c r="E505" s="67">
        <v>582318</v>
      </c>
      <c r="F505" s="67" t="s">
        <v>935</v>
      </c>
      <c r="G505" s="5">
        <f t="shared" si="10"/>
        <v>-1.193123503250082E-2</v>
      </c>
    </row>
    <row r="506" spans="1:7">
      <c r="A506" s="67">
        <v>232.69</v>
      </c>
      <c r="B506" s="67">
        <v>237.47</v>
      </c>
      <c r="C506" s="67">
        <v>231.05</v>
      </c>
      <c r="D506" s="67">
        <v>236.28</v>
      </c>
      <c r="E506" s="67">
        <v>319183</v>
      </c>
      <c r="F506" s="67" t="s">
        <v>936</v>
      </c>
      <c r="G506" s="5">
        <f t="shared" si="10"/>
        <v>-1.5193837819536204E-2</v>
      </c>
    </row>
    <row r="507" spans="1:7">
      <c r="A507" s="67">
        <v>238.63</v>
      </c>
      <c r="B507" s="67">
        <v>241.03</v>
      </c>
      <c r="C507" s="67">
        <v>236.13</v>
      </c>
      <c r="D507" s="67">
        <v>240.99</v>
      </c>
      <c r="E507" s="67">
        <v>303906</v>
      </c>
      <c r="F507" s="67" t="s">
        <v>937</v>
      </c>
      <c r="G507" s="5">
        <f t="shared" si="10"/>
        <v>-9.7929374662849566E-3</v>
      </c>
    </row>
    <row r="508" spans="1:7">
      <c r="A508" s="67">
        <v>241.91</v>
      </c>
      <c r="B508" s="67">
        <v>248.33</v>
      </c>
      <c r="C508" s="67">
        <v>241.09</v>
      </c>
      <c r="D508" s="67">
        <v>248.33</v>
      </c>
      <c r="E508" s="67">
        <v>287649</v>
      </c>
      <c r="F508" s="67" t="s">
        <v>938</v>
      </c>
      <c r="G508" s="5">
        <f t="shared" si="10"/>
        <v>-2.585269600934248E-2</v>
      </c>
    </row>
    <row r="509" spans="1:7">
      <c r="A509" s="67">
        <v>246.8</v>
      </c>
      <c r="B509" s="67">
        <v>248.35</v>
      </c>
      <c r="C509" s="67">
        <v>241.66</v>
      </c>
      <c r="D509" s="67">
        <v>241.69</v>
      </c>
      <c r="E509" s="67">
        <v>235923</v>
      </c>
      <c r="F509" s="67" t="s">
        <v>939</v>
      </c>
      <c r="G509" s="5">
        <f t="shared" si="10"/>
        <v>2.1142786213744991E-2</v>
      </c>
    </row>
    <row r="510" spans="1:7">
      <c r="A510" s="67">
        <v>240.69</v>
      </c>
      <c r="B510" s="67">
        <v>250.14500000000001</v>
      </c>
      <c r="C510" s="67">
        <v>239.87</v>
      </c>
      <c r="D510" s="67">
        <v>247.13</v>
      </c>
      <c r="E510" s="67">
        <v>247041</v>
      </c>
      <c r="F510" s="67" t="s">
        <v>940</v>
      </c>
      <c r="G510" s="5">
        <f t="shared" si="10"/>
        <v>-2.6059159147007627E-2</v>
      </c>
    </row>
    <row r="511" spans="1:7">
      <c r="A511" s="67">
        <v>245.61</v>
      </c>
      <c r="B511" s="67">
        <v>248.09</v>
      </c>
      <c r="C511" s="67">
        <v>244.01</v>
      </c>
      <c r="D511" s="67">
        <v>245.05</v>
      </c>
      <c r="E511" s="67">
        <v>158825</v>
      </c>
      <c r="F511" s="67" t="s">
        <v>941</v>
      </c>
      <c r="G511" s="5">
        <f t="shared" si="10"/>
        <v>2.2852479085901933E-3</v>
      </c>
    </row>
    <row r="512" spans="1:7">
      <c r="A512" s="67">
        <v>247.16</v>
      </c>
      <c r="B512" s="67">
        <v>249.79750000000001</v>
      </c>
      <c r="C512" s="67">
        <v>245.58</v>
      </c>
      <c r="D512" s="67">
        <v>246.48</v>
      </c>
      <c r="E512" s="67">
        <v>150811</v>
      </c>
      <c r="F512" s="67" t="s">
        <v>942</v>
      </c>
      <c r="G512" s="5">
        <f t="shared" si="10"/>
        <v>2.7588445309965071E-3</v>
      </c>
    </row>
    <row r="513" spans="1:7">
      <c r="A513" s="67">
        <v>247.53</v>
      </c>
      <c r="B513" s="67">
        <v>252.02500000000001</v>
      </c>
      <c r="C513" s="67">
        <v>245</v>
      </c>
      <c r="D513" s="67">
        <v>251.19</v>
      </c>
      <c r="E513" s="67">
        <v>263537</v>
      </c>
      <c r="F513" s="67" t="s">
        <v>943</v>
      </c>
      <c r="G513" s="5">
        <f t="shared" si="10"/>
        <v>-1.4570643735817512E-2</v>
      </c>
    </row>
    <row r="514" spans="1:7">
      <c r="A514" s="67">
        <v>250.36</v>
      </c>
      <c r="B514" s="67">
        <v>260.33999999999997</v>
      </c>
      <c r="C514" s="67">
        <v>249.67500000000001</v>
      </c>
      <c r="D514" s="67">
        <v>260.33999999999997</v>
      </c>
      <c r="E514" s="67">
        <v>248384</v>
      </c>
      <c r="F514" s="67" t="s">
        <v>944</v>
      </c>
      <c r="G514" s="5">
        <f t="shared" si="10"/>
        <v>-3.8334485672581908E-2</v>
      </c>
    </row>
    <row r="515" spans="1:7">
      <c r="A515" s="67">
        <v>262.43</v>
      </c>
      <c r="B515" s="67">
        <v>265.2</v>
      </c>
      <c r="C515" s="67">
        <v>261.5</v>
      </c>
      <c r="D515" s="67">
        <v>265.07</v>
      </c>
      <c r="E515" s="67">
        <v>248919</v>
      </c>
      <c r="F515" s="67" t="s">
        <v>945</v>
      </c>
      <c r="G515" s="5">
        <f t="shared" si="10"/>
        <v>-9.959633304410076E-3</v>
      </c>
    </row>
    <row r="516" spans="1:7">
      <c r="A516" s="67">
        <v>262.7</v>
      </c>
      <c r="B516" s="67">
        <v>263.83999999999997</v>
      </c>
      <c r="C516" s="67">
        <v>260</v>
      </c>
      <c r="D516" s="67">
        <v>260.87</v>
      </c>
      <c r="E516" s="67">
        <v>261492</v>
      </c>
      <c r="F516" s="67" t="s">
        <v>946</v>
      </c>
      <c r="G516" s="5">
        <f t="shared" si="10"/>
        <v>7.0149883083527875E-3</v>
      </c>
    </row>
    <row r="517" spans="1:7">
      <c r="A517" s="67">
        <v>262.25</v>
      </c>
      <c r="B517" s="67">
        <v>268.06</v>
      </c>
      <c r="C517" s="67">
        <v>261.19</v>
      </c>
      <c r="D517" s="67">
        <v>265.83999999999997</v>
      </c>
      <c r="E517" s="67">
        <v>310107</v>
      </c>
      <c r="F517" s="67" t="s">
        <v>947</v>
      </c>
      <c r="G517" s="5">
        <f t="shared" si="10"/>
        <v>-1.3504363526933405E-2</v>
      </c>
    </row>
    <row r="518" spans="1:7">
      <c r="A518" s="67">
        <v>267.58999999999997</v>
      </c>
      <c r="B518" s="67">
        <v>269.43040000000002</v>
      </c>
      <c r="C518" s="67">
        <v>262.85000000000002</v>
      </c>
      <c r="D518" s="67">
        <v>268.70999999999998</v>
      </c>
      <c r="E518" s="67">
        <v>614402</v>
      </c>
      <c r="F518" s="67" t="s">
        <v>948</v>
      </c>
      <c r="G518" s="5">
        <f t="shared" si="10"/>
        <v>-4.1680622232146414E-3</v>
      </c>
    </row>
    <row r="519" spans="1:7">
      <c r="A519" s="67">
        <v>269.45999999999998</v>
      </c>
      <c r="B519" s="67">
        <v>282.11</v>
      </c>
      <c r="C519" s="67">
        <v>269.33</v>
      </c>
      <c r="D519" s="67">
        <v>279.77</v>
      </c>
      <c r="E519" s="67">
        <v>396500</v>
      </c>
      <c r="F519" s="67" t="s">
        <v>949</v>
      </c>
      <c r="G519" s="5">
        <f t="shared" si="10"/>
        <v>-3.6851699610394251E-2</v>
      </c>
    </row>
    <row r="520" spans="1:7">
      <c r="A520" s="67">
        <v>279.26</v>
      </c>
      <c r="B520" s="67">
        <v>292.26</v>
      </c>
      <c r="C520" s="67">
        <v>278.315</v>
      </c>
      <c r="D520" s="67">
        <v>288.55</v>
      </c>
      <c r="E520" s="67">
        <v>392986</v>
      </c>
      <c r="F520" s="67" t="s">
        <v>950</v>
      </c>
      <c r="G520" s="5">
        <f t="shared" si="10"/>
        <v>-3.2195460058915382E-2</v>
      </c>
    </row>
    <row r="521" spans="1:7">
      <c r="A521" s="67">
        <v>290.22000000000003</v>
      </c>
      <c r="B521" s="67">
        <v>298.97000000000003</v>
      </c>
      <c r="C521" s="67">
        <v>288.06</v>
      </c>
      <c r="D521" s="67">
        <v>298.97000000000003</v>
      </c>
      <c r="E521" s="67">
        <v>402300</v>
      </c>
      <c r="F521" s="67" t="s">
        <v>951</v>
      </c>
      <c r="G521" s="5">
        <f t="shared" si="10"/>
        <v>-2.9267150550222443E-2</v>
      </c>
    </row>
    <row r="522" spans="1:7">
      <c r="A522" s="67">
        <v>300.02</v>
      </c>
      <c r="B522" s="67">
        <v>302</v>
      </c>
      <c r="C522" s="67">
        <v>293.80360000000002</v>
      </c>
      <c r="D522" s="67">
        <v>294.69</v>
      </c>
      <c r="E522" s="67">
        <v>433085</v>
      </c>
      <c r="F522" s="67" t="s">
        <v>952</v>
      </c>
      <c r="G522" s="5">
        <f t="shared" si="10"/>
        <v>1.8086803081204028E-2</v>
      </c>
    </row>
    <row r="523" spans="1:7">
      <c r="A523" s="67">
        <v>292.98</v>
      </c>
      <c r="B523" s="67">
        <v>294</v>
      </c>
      <c r="C523" s="67">
        <v>283.46499999999997</v>
      </c>
      <c r="D523" s="67">
        <v>288.66000000000003</v>
      </c>
      <c r="E523" s="67">
        <v>841023</v>
      </c>
      <c r="F523" s="67" t="s">
        <v>953</v>
      </c>
      <c r="G523" s="5">
        <f t="shared" si="10"/>
        <v>1.4965703595926083E-2</v>
      </c>
    </row>
    <row r="524" spans="1:7">
      <c r="A524" s="67">
        <v>289.52999999999997</v>
      </c>
      <c r="B524" s="67">
        <v>291.38</v>
      </c>
      <c r="C524" s="67">
        <v>277.86</v>
      </c>
      <c r="D524" s="67">
        <v>277.86</v>
      </c>
      <c r="E524" s="67">
        <v>683289</v>
      </c>
      <c r="F524" s="67" t="s">
        <v>954</v>
      </c>
      <c r="G524" s="5">
        <f t="shared" si="10"/>
        <v>4.1999568127834008E-2</v>
      </c>
    </row>
    <row r="525" spans="1:7">
      <c r="A525" s="67">
        <v>279.06</v>
      </c>
      <c r="B525" s="67">
        <v>281.47000000000003</v>
      </c>
      <c r="C525" s="67">
        <v>265.44</v>
      </c>
      <c r="D525" s="67">
        <v>265.44</v>
      </c>
      <c r="E525" s="67">
        <v>510505</v>
      </c>
      <c r="F525" s="67" t="s">
        <v>955</v>
      </c>
      <c r="G525" s="5">
        <f t="shared" si="10"/>
        <v>5.1311030741410413E-2</v>
      </c>
    </row>
    <row r="526" spans="1:7">
      <c r="A526" s="67">
        <v>262.10000000000002</v>
      </c>
      <c r="B526" s="67">
        <v>264.41000000000003</v>
      </c>
      <c r="C526" s="67">
        <v>258.435</v>
      </c>
      <c r="D526" s="67">
        <v>263.07</v>
      </c>
      <c r="E526" s="67">
        <v>315379</v>
      </c>
      <c r="F526" s="67" t="s">
        <v>956</v>
      </c>
      <c r="G526" s="5">
        <f t="shared" si="10"/>
        <v>-3.6872315353326801E-3</v>
      </c>
    </row>
    <row r="527" spans="1:7">
      <c r="A527" s="67">
        <v>264.12</v>
      </c>
      <c r="B527" s="67">
        <v>267.37</v>
      </c>
      <c r="C527" s="67">
        <v>262.62</v>
      </c>
      <c r="D527" s="67">
        <v>266.62</v>
      </c>
      <c r="E527" s="67">
        <v>229067</v>
      </c>
      <c r="F527" s="67" t="s">
        <v>957</v>
      </c>
      <c r="G527" s="5">
        <f t="shared" si="10"/>
        <v>-9.3766409121596173E-3</v>
      </c>
    </row>
    <row r="528" spans="1:7">
      <c r="A528" s="67">
        <v>264.5</v>
      </c>
      <c r="B528" s="67">
        <v>268.51</v>
      </c>
      <c r="C528" s="67">
        <v>262.44499999999999</v>
      </c>
      <c r="D528" s="67">
        <v>264.08</v>
      </c>
      <c r="E528" s="67">
        <v>358066</v>
      </c>
      <c r="F528" s="67" t="s">
        <v>958</v>
      </c>
      <c r="G528" s="5">
        <f t="shared" si="10"/>
        <v>1.5904271432900519E-3</v>
      </c>
    </row>
    <row r="529" spans="1:7">
      <c r="A529" s="67">
        <v>263.94</v>
      </c>
      <c r="B529" s="67">
        <v>266.82</v>
      </c>
      <c r="C529" s="67">
        <v>259.04000000000002</v>
      </c>
      <c r="D529" s="67">
        <v>259.25</v>
      </c>
      <c r="E529" s="67">
        <v>253273</v>
      </c>
      <c r="F529" s="67" t="s">
        <v>959</v>
      </c>
      <c r="G529" s="5">
        <f t="shared" si="10"/>
        <v>1.8090646094503393E-2</v>
      </c>
    </row>
    <row r="530" spans="1:7">
      <c r="A530" s="67">
        <v>259.01</v>
      </c>
      <c r="B530" s="67">
        <v>259.36</v>
      </c>
      <c r="C530" s="67">
        <v>252.04</v>
      </c>
      <c r="D530" s="67">
        <v>252.04</v>
      </c>
      <c r="E530" s="67">
        <v>181353</v>
      </c>
      <c r="F530" s="67" t="s">
        <v>960</v>
      </c>
      <c r="G530" s="5">
        <f t="shared" si="10"/>
        <v>2.7654340580860248E-2</v>
      </c>
    </row>
    <row r="531" spans="1:7">
      <c r="A531" s="67">
        <v>252.53</v>
      </c>
      <c r="B531" s="67">
        <v>256.875</v>
      </c>
      <c r="C531" s="67">
        <v>252.37</v>
      </c>
      <c r="D531" s="67">
        <v>253</v>
      </c>
      <c r="E531" s="67">
        <v>223849</v>
      </c>
      <c r="F531" s="67" t="s">
        <v>961</v>
      </c>
      <c r="G531" s="5">
        <f t="shared" si="10"/>
        <v>-1.8577075098814566E-3</v>
      </c>
    </row>
    <row r="532" spans="1:7">
      <c r="A532" s="67">
        <v>251.43</v>
      </c>
      <c r="B532" s="67">
        <v>252.18</v>
      </c>
      <c r="C532" s="67">
        <v>247.29499999999999</v>
      </c>
      <c r="D532" s="67">
        <v>249.45</v>
      </c>
      <c r="E532" s="67">
        <v>185817</v>
      </c>
      <c r="F532" s="67" t="s">
        <v>962</v>
      </c>
      <c r="G532" s="5">
        <f t="shared" si="10"/>
        <v>7.9374624173180752E-3</v>
      </c>
    </row>
    <row r="533" spans="1:7">
      <c r="A533" s="67">
        <v>248.71</v>
      </c>
      <c r="B533" s="67">
        <v>254</v>
      </c>
      <c r="C533" s="67">
        <v>248.52</v>
      </c>
      <c r="D533" s="67">
        <v>253.46</v>
      </c>
      <c r="E533" s="67">
        <v>185023</v>
      </c>
      <c r="F533" s="67" t="s">
        <v>963</v>
      </c>
      <c r="G533" s="5">
        <f t="shared" si="10"/>
        <v>-1.8740629685157439E-2</v>
      </c>
    </row>
    <row r="534" spans="1:7">
      <c r="A534" s="67">
        <v>252.88</v>
      </c>
      <c r="B534" s="67">
        <v>254.22499999999999</v>
      </c>
      <c r="C534" s="67">
        <v>250.2</v>
      </c>
      <c r="D534" s="67">
        <v>252.64</v>
      </c>
      <c r="E534" s="67">
        <v>207559</v>
      </c>
      <c r="F534" s="67" t="s">
        <v>964</v>
      </c>
      <c r="G534" s="5">
        <f t="shared" si="10"/>
        <v>9.499683343889842E-4</v>
      </c>
    </row>
    <row r="535" spans="1:7">
      <c r="A535" s="67">
        <v>252.44</v>
      </c>
      <c r="B535" s="67">
        <v>254.09</v>
      </c>
      <c r="C535" s="67">
        <v>247.77</v>
      </c>
      <c r="D535" s="67">
        <v>249.05</v>
      </c>
      <c r="E535" s="67">
        <v>347626</v>
      </c>
      <c r="F535" s="67" t="s">
        <v>965</v>
      </c>
      <c r="G535" s="5">
        <f t="shared" si="10"/>
        <v>1.3611724553302507E-2</v>
      </c>
    </row>
    <row r="536" spans="1:7">
      <c r="A536" s="67">
        <v>248.71</v>
      </c>
      <c r="B536" s="67">
        <v>252.7</v>
      </c>
      <c r="C536" s="67">
        <v>246.69</v>
      </c>
      <c r="D536" s="67">
        <v>251.53</v>
      </c>
      <c r="E536" s="67">
        <v>328863</v>
      </c>
      <c r="F536" s="67" t="s">
        <v>966</v>
      </c>
      <c r="G536" s="5">
        <f t="shared" si="10"/>
        <v>-1.1211386315747585E-2</v>
      </c>
    </row>
    <row r="537" spans="1:7">
      <c r="A537" s="67">
        <v>251.22</v>
      </c>
      <c r="B537" s="67">
        <v>253.92</v>
      </c>
      <c r="C537" s="67">
        <v>248.03</v>
      </c>
      <c r="D537" s="67">
        <v>253.61</v>
      </c>
      <c r="E537" s="67">
        <v>453990</v>
      </c>
      <c r="F537" s="67" t="s">
        <v>967</v>
      </c>
      <c r="G537" s="5">
        <f t="shared" si="10"/>
        <v>-9.423918615196647E-3</v>
      </c>
    </row>
    <row r="538" spans="1:7">
      <c r="A538" s="67">
        <v>254.99</v>
      </c>
      <c r="B538" s="67">
        <v>259.11</v>
      </c>
      <c r="C538" s="67">
        <v>253.47</v>
      </c>
      <c r="D538" s="67">
        <v>255.63</v>
      </c>
      <c r="E538" s="67">
        <v>377084</v>
      </c>
      <c r="F538" s="67" t="s">
        <v>968</v>
      </c>
      <c r="G538" s="5">
        <f t="shared" si="10"/>
        <v>-2.5036185111293463E-3</v>
      </c>
    </row>
    <row r="539" spans="1:7">
      <c r="A539" s="67">
        <v>255.43</v>
      </c>
      <c r="B539" s="67">
        <v>261.3</v>
      </c>
      <c r="C539" s="67">
        <v>254.36250000000001</v>
      </c>
      <c r="D539" s="67">
        <v>259.95</v>
      </c>
      <c r="E539" s="67">
        <v>344664</v>
      </c>
      <c r="F539" s="67" t="s">
        <v>969</v>
      </c>
      <c r="G539" s="5">
        <f t="shared" si="10"/>
        <v>-1.7387959222927463E-2</v>
      </c>
    </row>
    <row r="540" spans="1:7">
      <c r="A540" s="67">
        <v>260.12</v>
      </c>
      <c r="B540" s="67">
        <v>261.48500000000001</v>
      </c>
      <c r="C540" s="67">
        <v>255.35499999999999</v>
      </c>
      <c r="D540" s="67">
        <v>255.43</v>
      </c>
      <c r="E540" s="67">
        <v>415822</v>
      </c>
      <c r="F540" s="67" t="s">
        <v>970</v>
      </c>
      <c r="G540" s="5">
        <f t="shared" si="10"/>
        <v>1.8361194847903439E-2</v>
      </c>
    </row>
    <row r="541" spans="1:7">
      <c r="A541" s="67">
        <v>255.63</v>
      </c>
      <c r="B541" s="67">
        <v>255.74</v>
      </c>
      <c r="C541" s="67">
        <v>246.82</v>
      </c>
      <c r="D541" s="67">
        <v>246.82</v>
      </c>
      <c r="E541" s="67">
        <v>375564</v>
      </c>
      <c r="F541" s="67" t="s">
        <v>971</v>
      </c>
      <c r="G541" s="5">
        <f t="shared" si="10"/>
        <v>3.5694028036625802E-2</v>
      </c>
    </row>
    <row r="542" spans="1:7">
      <c r="A542" s="67">
        <v>247.44</v>
      </c>
      <c r="B542" s="67">
        <v>248.9</v>
      </c>
      <c r="C542" s="67">
        <v>246.04</v>
      </c>
      <c r="D542" s="67">
        <v>247.15</v>
      </c>
      <c r="E542" s="67">
        <v>204089</v>
      </c>
      <c r="F542" s="67" t="s">
        <v>972</v>
      </c>
      <c r="G542" s="5">
        <f t="shared" si="10"/>
        <v>1.1733764920087708E-3</v>
      </c>
    </row>
    <row r="543" spans="1:7">
      <c r="A543" s="67">
        <v>248.39</v>
      </c>
      <c r="B543" s="67">
        <v>251.16</v>
      </c>
      <c r="C543" s="67">
        <v>246.63</v>
      </c>
      <c r="D543" s="67">
        <v>247.13</v>
      </c>
      <c r="E543" s="67">
        <v>291848</v>
      </c>
      <c r="F543" s="67" t="s">
        <v>973</v>
      </c>
      <c r="G543" s="5">
        <f t="shared" si="10"/>
        <v>5.0985311374580622E-3</v>
      </c>
    </row>
    <row r="544" spans="1:7">
      <c r="A544" s="67">
        <v>246.96</v>
      </c>
      <c r="B544" s="67">
        <v>250.25</v>
      </c>
      <c r="C544" s="67">
        <v>243.15</v>
      </c>
      <c r="D544" s="67">
        <v>248.37</v>
      </c>
      <c r="E544" s="67">
        <v>308870</v>
      </c>
      <c r="F544" s="67" t="s">
        <v>974</v>
      </c>
      <c r="G544" s="5">
        <f t="shared" si="10"/>
        <v>-5.6770141321415002E-3</v>
      </c>
    </row>
    <row r="545" spans="1:7">
      <c r="A545" s="67">
        <v>247.89</v>
      </c>
      <c r="B545" s="67">
        <v>251</v>
      </c>
      <c r="C545" s="67">
        <v>244.54</v>
      </c>
      <c r="D545" s="67">
        <v>251</v>
      </c>
      <c r="E545" s="67">
        <v>408678</v>
      </c>
      <c r="F545" s="67" t="s">
        <v>975</v>
      </c>
      <c r="G545" s="5">
        <f t="shared" si="10"/>
        <v>-1.2390438247012026E-2</v>
      </c>
    </row>
    <row r="546" spans="1:7">
      <c r="A546" s="67">
        <v>252.66</v>
      </c>
      <c r="B546" s="67">
        <v>261.04000000000002</v>
      </c>
      <c r="C546" s="67">
        <v>252.09</v>
      </c>
      <c r="D546" s="67">
        <v>253.48</v>
      </c>
      <c r="E546" s="67">
        <v>440126</v>
      </c>
      <c r="F546" s="67" t="s">
        <v>976</v>
      </c>
      <c r="G546" s="5">
        <f t="shared" si="10"/>
        <v>-3.2349692283414333E-3</v>
      </c>
    </row>
    <row r="547" spans="1:7">
      <c r="A547" s="67">
        <v>252.36</v>
      </c>
      <c r="B547" s="67">
        <v>256.245</v>
      </c>
      <c r="C547" s="67">
        <v>248.45500000000001</v>
      </c>
      <c r="D547" s="67">
        <v>254.59</v>
      </c>
      <c r="E547" s="67">
        <v>647361</v>
      </c>
      <c r="F547" s="67" t="s">
        <v>977</v>
      </c>
      <c r="G547" s="5">
        <f t="shared" si="10"/>
        <v>-8.7591814289641468E-3</v>
      </c>
    </row>
    <row r="548" spans="1:7">
      <c r="A548" s="67">
        <v>255.28</v>
      </c>
      <c r="B548" s="67">
        <v>270.63</v>
      </c>
      <c r="C548" s="67">
        <v>255.03</v>
      </c>
      <c r="D548" s="67">
        <v>270.06</v>
      </c>
      <c r="E548" s="67">
        <v>749870</v>
      </c>
      <c r="F548" s="67" t="s">
        <v>978</v>
      </c>
      <c r="G548" s="5">
        <f t="shared" si="10"/>
        <v>-5.472857883433313E-2</v>
      </c>
    </row>
    <row r="549" spans="1:7">
      <c r="A549" s="67">
        <v>269.45999999999998</v>
      </c>
      <c r="B549" s="67">
        <v>277.35000000000002</v>
      </c>
      <c r="C549" s="67">
        <v>261.88</v>
      </c>
      <c r="D549" s="67">
        <v>263.83</v>
      </c>
      <c r="E549" s="67">
        <v>1621906</v>
      </c>
      <c r="F549" s="67" t="s">
        <v>979</v>
      </c>
      <c r="G549" s="5">
        <f t="shared" si="10"/>
        <v>2.1339498919758837E-2</v>
      </c>
    </row>
    <row r="550" spans="1:7">
      <c r="A550" s="67">
        <v>298.33</v>
      </c>
      <c r="B550" s="67">
        <v>301.64999999999998</v>
      </c>
      <c r="C550" s="67">
        <v>294.27999999999997</v>
      </c>
      <c r="D550" s="67">
        <v>300.03500000000003</v>
      </c>
      <c r="E550" s="67">
        <v>493435</v>
      </c>
      <c r="F550" s="67" t="s">
        <v>980</v>
      </c>
      <c r="G550" s="5">
        <f t="shared" si="10"/>
        <v>-5.6826703551253743E-3</v>
      </c>
    </row>
    <row r="551" spans="1:7">
      <c r="A551" s="67">
        <v>303.36</v>
      </c>
      <c r="B551" s="67">
        <v>310.51</v>
      </c>
      <c r="C551" s="67">
        <v>300.86</v>
      </c>
      <c r="D551" s="67">
        <v>309.72000000000003</v>
      </c>
      <c r="E551" s="67">
        <v>338057</v>
      </c>
      <c r="F551" s="67" t="s">
        <v>981</v>
      </c>
      <c r="G551" s="5">
        <f t="shared" si="10"/>
        <v>-2.0534676481983816E-2</v>
      </c>
    </row>
    <row r="552" spans="1:7">
      <c r="A552" s="67">
        <v>308.06</v>
      </c>
      <c r="B552" s="67">
        <v>309.10500000000002</v>
      </c>
      <c r="C552" s="67">
        <v>304.04000000000002</v>
      </c>
      <c r="D552" s="67">
        <v>308.12</v>
      </c>
      <c r="E552" s="67">
        <v>261708</v>
      </c>
      <c r="F552" s="67" t="s">
        <v>982</v>
      </c>
      <c r="G552" s="5">
        <f t="shared" si="10"/>
        <v>-1.9472932623654238E-4</v>
      </c>
    </row>
    <row r="553" spans="1:7">
      <c r="A553" s="67">
        <v>304.85000000000002</v>
      </c>
      <c r="B553" s="67">
        <v>307.44619999999998</v>
      </c>
      <c r="C553" s="67">
        <v>303.63</v>
      </c>
      <c r="D553" s="67">
        <v>307.19</v>
      </c>
      <c r="E553" s="67">
        <v>267420</v>
      </c>
      <c r="F553" s="67" t="s">
        <v>983</v>
      </c>
      <c r="G553" s="5">
        <f t="shared" si="10"/>
        <v>-7.6174354633938846E-3</v>
      </c>
    </row>
    <row r="554" spans="1:7">
      <c r="A554" s="67">
        <v>304.88</v>
      </c>
      <c r="B554" s="67">
        <v>306.54500000000002</v>
      </c>
      <c r="C554" s="67">
        <v>298.39</v>
      </c>
      <c r="D554" s="67">
        <v>300.2</v>
      </c>
      <c r="E554" s="67">
        <v>335675</v>
      </c>
      <c r="F554" s="67" t="s">
        <v>984</v>
      </c>
      <c r="G554" s="5">
        <f t="shared" si="10"/>
        <v>1.558960692871425E-2</v>
      </c>
    </row>
    <row r="555" spans="1:7">
      <c r="A555" s="67">
        <v>301.83999999999997</v>
      </c>
      <c r="B555" s="67">
        <v>303.5</v>
      </c>
      <c r="C555" s="67">
        <v>300.74</v>
      </c>
      <c r="D555" s="67">
        <v>300.74</v>
      </c>
      <c r="E555" s="67">
        <v>273405</v>
      </c>
      <c r="F555" s="67" t="s">
        <v>985</v>
      </c>
      <c r="G555" s="5">
        <f t="shared" si="10"/>
        <v>3.6576444769567118E-3</v>
      </c>
    </row>
    <row r="556" spans="1:7">
      <c r="A556" s="67">
        <v>302.64999999999998</v>
      </c>
      <c r="B556" s="67">
        <v>304.83999999999997</v>
      </c>
      <c r="C556" s="67">
        <v>299.93</v>
      </c>
      <c r="D556" s="67">
        <v>302.61</v>
      </c>
      <c r="E556" s="67">
        <v>381664</v>
      </c>
      <c r="F556" s="67" t="s">
        <v>986</v>
      </c>
      <c r="G556" s="5">
        <f t="shared" si="10"/>
        <v>1.3218333829012607E-4</v>
      </c>
    </row>
    <row r="557" spans="1:7">
      <c r="A557" s="67">
        <v>303.57</v>
      </c>
      <c r="B557" s="67">
        <v>306.82</v>
      </c>
      <c r="C557" s="67">
        <v>301.43</v>
      </c>
      <c r="D557" s="67">
        <v>305.12</v>
      </c>
      <c r="E557" s="67">
        <v>324196</v>
      </c>
      <c r="F557" s="67" t="s">
        <v>987</v>
      </c>
      <c r="G557" s="5">
        <f t="shared" si="10"/>
        <v>-5.0799685369691261E-3</v>
      </c>
    </row>
    <row r="558" spans="1:7">
      <c r="A558" s="67">
        <v>305.86</v>
      </c>
      <c r="B558" s="67">
        <v>308.58</v>
      </c>
      <c r="C558" s="67">
        <v>302.14</v>
      </c>
      <c r="D558" s="67">
        <v>302.94</v>
      </c>
      <c r="E558" s="67">
        <v>376152</v>
      </c>
      <c r="F558" s="67" t="s">
        <v>988</v>
      </c>
      <c r="G558" s="5">
        <f t="shared" si="10"/>
        <v>9.6388723839704316E-3</v>
      </c>
    </row>
    <row r="559" spans="1:7">
      <c r="A559" s="67">
        <v>302.36</v>
      </c>
      <c r="B559" s="67">
        <v>319.67</v>
      </c>
      <c r="C559" s="67">
        <v>301.68</v>
      </c>
      <c r="D559" s="67">
        <v>319.22000000000003</v>
      </c>
      <c r="E559" s="67">
        <v>725603</v>
      </c>
      <c r="F559" s="67" t="s">
        <v>989</v>
      </c>
      <c r="G559" s="5">
        <f t="shared" si="10"/>
        <v>-5.2816239583985958E-2</v>
      </c>
    </row>
    <row r="560" spans="1:7">
      <c r="A560" s="67">
        <v>314.54000000000002</v>
      </c>
      <c r="B560" s="67">
        <v>314.74</v>
      </c>
      <c r="C560" s="67">
        <v>308.07</v>
      </c>
      <c r="D560" s="67">
        <v>312.77</v>
      </c>
      <c r="E560" s="67">
        <v>440067</v>
      </c>
      <c r="F560" s="67" t="s">
        <v>990</v>
      </c>
      <c r="G560" s="5">
        <f t="shared" si="10"/>
        <v>5.6591105285035415E-3</v>
      </c>
    </row>
    <row r="561" spans="1:7">
      <c r="A561" s="67">
        <v>313.49</v>
      </c>
      <c r="B561" s="67">
        <v>315.77999999999997</v>
      </c>
      <c r="C561" s="67">
        <v>312.45</v>
      </c>
      <c r="D561" s="67">
        <v>315.26</v>
      </c>
      <c r="E561" s="67">
        <v>419878</v>
      </c>
      <c r="F561" s="67" t="s">
        <v>991</v>
      </c>
      <c r="G561" s="5">
        <f t="shared" si="10"/>
        <v>-5.6144134999682738E-3</v>
      </c>
    </row>
    <row r="562" spans="1:7">
      <c r="A562" s="67">
        <v>314.93</v>
      </c>
      <c r="B562" s="67">
        <v>323.33999999999997</v>
      </c>
      <c r="C562" s="67">
        <v>313.29000000000002</v>
      </c>
      <c r="D562" s="67">
        <v>318</v>
      </c>
      <c r="E562" s="67">
        <v>414821</v>
      </c>
      <c r="F562" s="67" t="s">
        <v>992</v>
      </c>
      <c r="G562" s="5">
        <f t="shared" ref="G562:G625" si="11">A562/D562-1</f>
        <v>-9.6540880503144244E-3</v>
      </c>
    </row>
    <row r="563" spans="1:7">
      <c r="A563" s="67">
        <v>319.07</v>
      </c>
      <c r="B563" s="67">
        <v>320.16000000000003</v>
      </c>
      <c r="C563" s="67">
        <v>314.97000000000003</v>
      </c>
      <c r="D563" s="67">
        <v>318.51</v>
      </c>
      <c r="E563" s="67">
        <v>402008</v>
      </c>
      <c r="F563" s="67" t="s">
        <v>993</v>
      </c>
      <c r="G563" s="5">
        <f t="shared" si="11"/>
        <v>1.7581865561520083E-3</v>
      </c>
    </row>
    <row r="564" spans="1:7">
      <c r="A564" s="67">
        <v>317.95999999999998</v>
      </c>
      <c r="B564" s="67">
        <v>324.58999999999997</v>
      </c>
      <c r="C564" s="67">
        <v>316.18</v>
      </c>
      <c r="D564" s="67">
        <v>324.5</v>
      </c>
      <c r="E564" s="67">
        <v>517965</v>
      </c>
      <c r="F564" s="67" t="s">
        <v>994</v>
      </c>
      <c r="G564" s="5">
        <f t="shared" si="11"/>
        <v>-2.0154083204930728E-2</v>
      </c>
    </row>
    <row r="565" spans="1:7">
      <c r="A565" s="67">
        <v>321.36</v>
      </c>
      <c r="B565" s="67">
        <v>328.57</v>
      </c>
      <c r="C565" s="67">
        <v>320.80880000000002</v>
      </c>
      <c r="D565" s="67">
        <v>327.04000000000002</v>
      </c>
      <c r="E565" s="67">
        <v>463973</v>
      </c>
      <c r="F565" s="67" t="s">
        <v>995</v>
      </c>
      <c r="G565" s="5">
        <f t="shared" si="11"/>
        <v>-1.7367906066536265E-2</v>
      </c>
    </row>
    <row r="566" spans="1:7">
      <c r="A566" s="67">
        <v>327.25</v>
      </c>
      <c r="B566" s="67">
        <v>332.52</v>
      </c>
      <c r="C566" s="67">
        <v>326.55</v>
      </c>
      <c r="D566" s="67">
        <v>329.4</v>
      </c>
      <c r="E566" s="67">
        <v>335051</v>
      </c>
      <c r="F566" s="67" t="s">
        <v>996</v>
      </c>
      <c r="G566" s="5">
        <f t="shared" si="11"/>
        <v>-6.5270188221007164E-3</v>
      </c>
    </row>
    <row r="567" spans="1:7">
      <c r="A567" s="67">
        <v>327.37</v>
      </c>
      <c r="B567" s="67">
        <v>333.34</v>
      </c>
      <c r="C567" s="67">
        <v>326.70499999999998</v>
      </c>
      <c r="D567" s="67">
        <v>331.15</v>
      </c>
      <c r="E567" s="67">
        <v>273176</v>
      </c>
      <c r="F567" s="67" t="s">
        <v>997</v>
      </c>
      <c r="G567" s="5">
        <f t="shared" si="11"/>
        <v>-1.1414766722029235E-2</v>
      </c>
    </row>
    <row r="568" spans="1:7">
      <c r="A568" s="67">
        <v>331.58</v>
      </c>
      <c r="B568" s="67">
        <v>339.26</v>
      </c>
      <c r="C568" s="67">
        <v>329.38</v>
      </c>
      <c r="D568" s="67">
        <v>336.67</v>
      </c>
      <c r="E568" s="67">
        <v>313639</v>
      </c>
      <c r="F568" s="67" t="s">
        <v>998</v>
      </c>
      <c r="G568" s="5">
        <f t="shared" si="11"/>
        <v>-1.5118662191463517E-2</v>
      </c>
    </row>
    <row r="569" spans="1:7">
      <c r="A569" s="67">
        <v>337.29</v>
      </c>
      <c r="B569" s="67">
        <v>341.23</v>
      </c>
      <c r="C569" s="67">
        <v>333.6</v>
      </c>
      <c r="D569" s="67">
        <v>338.27</v>
      </c>
      <c r="E569" s="67">
        <v>310618</v>
      </c>
      <c r="F569" s="67" t="s">
        <v>999</v>
      </c>
      <c r="G569" s="5">
        <f t="shared" si="11"/>
        <v>-2.8970940373073129E-3</v>
      </c>
    </row>
    <row r="570" spans="1:7">
      <c r="A570" s="67">
        <v>338.77</v>
      </c>
      <c r="B570" s="67">
        <v>344.04</v>
      </c>
      <c r="C570" s="67">
        <v>338.37</v>
      </c>
      <c r="D570" s="67">
        <v>341.45</v>
      </c>
      <c r="E570" s="67">
        <v>272414</v>
      </c>
      <c r="F570" s="67" t="s">
        <v>1000</v>
      </c>
      <c r="G570" s="5">
        <f t="shared" si="11"/>
        <v>-7.8488797774198815E-3</v>
      </c>
    </row>
    <row r="571" spans="1:7">
      <c r="A571" s="67">
        <v>344.06</v>
      </c>
      <c r="B571" s="67">
        <v>348.67</v>
      </c>
      <c r="C571" s="67">
        <v>341.39</v>
      </c>
      <c r="D571" s="67">
        <v>343.71</v>
      </c>
      <c r="E571" s="67">
        <v>378326</v>
      </c>
      <c r="F571" s="67" t="s">
        <v>1001</v>
      </c>
      <c r="G571" s="5">
        <f t="shared" si="11"/>
        <v>1.0183003113091171E-3</v>
      </c>
    </row>
    <row r="572" spans="1:7">
      <c r="A572" s="67">
        <v>340.37</v>
      </c>
      <c r="B572" s="67">
        <v>340.7</v>
      </c>
      <c r="C572" s="67">
        <v>328.94</v>
      </c>
      <c r="D572" s="67">
        <v>329</v>
      </c>
      <c r="E572" s="67">
        <v>350036</v>
      </c>
      <c r="F572" s="67" t="s">
        <v>1002</v>
      </c>
      <c r="G572" s="5">
        <f t="shared" si="11"/>
        <v>3.4559270516717255E-2</v>
      </c>
    </row>
    <row r="573" spans="1:7">
      <c r="A573" s="67">
        <v>329.43</v>
      </c>
      <c r="B573" s="67">
        <v>330.68</v>
      </c>
      <c r="C573" s="67">
        <v>327.08</v>
      </c>
      <c r="D573" s="67">
        <v>327.13</v>
      </c>
      <c r="E573" s="67">
        <v>262316</v>
      </c>
      <c r="F573" s="67" t="s">
        <v>1003</v>
      </c>
      <c r="G573" s="5">
        <f t="shared" si="11"/>
        <v>7.0308440069697387E-3</v>
      </c>
    </row>
    <row r="574" spans="1:7">
      <c r="A574" s="67">
        <v>327.35000000000002</v>
      </c>
      <c r="B574" s="67">
        <v>332.13</v>
      </c>
      <c r="C574" s="67">
        <v>325.77</v>
      </c>
      <c r="D574" s="67">
        <v>329.51</v>
      </c>
      <c r="E574" s="67">
        <v>346062</v>
      </c>
      <c r="F574" s="67" t="s">
        <v>1004</v>
      </c>
      <c r="G574" s="5">
        <f t="shared" si="11"/>
        <v>-6.555188006433732E-3</v>
      </c>
    </row>
    <row r="575" spans="1:7">
      <c r="A575" s="67">
        <v>329.26</v>
      </c>
      <c r="B575" s="67">
        <v>334.25</v>
      </c>
      <c r="C575" s="67">
        <v>328.78</v>
      </c>
      <c r="D575" s="67">
        <v>334.25</v>
      </c>
      <c r="E575" s="67">
        <v>320998</v>
      </c>
      <c r="F575" s="67" t="s">
        <v>1005</v>
      </c>
      <c r="G575" s="5">
        <f t="shared" si="11"/>
        <v>-1.4928945400149662E-2</v>
      </c>
    </row>
    <row r="576" spans="1:7">
      <c r="A576" s="67">
        <v>334.1</v>
      </c>
      <c r="B576" s="67">
        <v>339.44</v>
      </c>
      <c r="C576" s="67">
        <v>333.41</v>
      </c>
      <c r="D576" s="67">
        <v>337.23</v>
      </c>
      <c r="E576" s="67">
        <v>373262</v>
      </c>
      <c r="F576" s="67" t="s">
        <v>1006</v>
      </c>
      <c r="G576" s="5">
        <f t="shared" si="11"/>
        <v>-9.2814992734928659E-3</v>
      </c>
    </row>
    <row r="577" spans="1:7">
      <c r="A577" s="67">
        <v>339.98</v>
      </c>
      <c r="B577" s="67">
        <v>342.08499999999998</v>
      </c>
      <c r="C577" s="67">
        <v>334.92</v>
      </c>
      <c r="D577" s="67">
        <v>335.55</v>
      </c>
      <c r="E577" s="67">
        <v>300046</v>
      </c>
      <c r="F577" s="67" t="s">
        <v>1007</v>
      </c>
      <c r="G577" s="5">
        <f t="shared" si="11"/>
        <v>1.3202205334525319E-2</v>
      </c>
    </row>
    <row r="578" spans="1:7">
      <c r="A578" s="67">
        <v>336.37</v>
      </c>
      <c r="B578" s="67">
        <v>338.48500000000001</v>
      </c>
      <c r="C578" s="67">
        <v>328.79</v>
      </c>
      <c r="D578" s="67">
        <v>337.16</v>
      </c>
      <c r="E578" s="67">
        <v>509020</v>
      </c>
      <c r="F578" s="67" t="s">
        <v>1008</v>
      </c>
      <c r="G578" s="5">
        <f t="shared" si="11"/>
        <v>-2.3431011982442129E-3</v>
      </c>
    </row>
    <row r="579" spans="1:7">
      <c r="A579" s="67">
        <v>337.77</v>
      </c>
      <c r="B579" s="67">
        <v>339.67</v>
      </c>
      <c r="C579" s="67">
        <v>332.88</v>
      </c>
      <c r="D579" s="67">
        <v>333.97</v>
      </c>
      <c r="E579" s="67">
        <v>332008</v>
      </c>
      <c r="F579" s="67" t="s">
        <v>1009</v>
      </c>
      <c r="G579" s="5">
        <f t="shared" si="11"/>
        <v>1.137826750905746E-2</v>
      </c>
    </row>
    <row r="580" spans="1:7">
      <c r="A580" s="67">
        <v>337.37</v>
      </c>
      <c r="B580" s="67">
        <v>344.81</v>
      </c>
      <c r="C580" s="67">
        <v>336.75</v>
      </c>
      <c r="D580" s="67">
        <v>340.74</v>
      </c>
      <c r="E580" s="67">
        <v>558848</v>
      </c>
      <c r="F580" s="67" t="s">
        <v>1010</v>
      </c>
      <c r="G580" s="5">
        <f t="shared" si="11"/>
        <v>-9.8902388918237216E-3</v>
      </c>
    </row>
    <row r="581" spans="1:7">
      <c r="A581" s="67">
        <v>338.28</v>
      </c>
      <c r="B581" s="67">
        <v>339.28500000000003</v>
      </c>
      <c r="C581" s="67">
        <v>335.09</v>
      </c>
      <c r="D581" s="67">
        <v>336.74</v>
      </c>
      <c r="E581" s="67">
        <v>282075</v>
      </c>
      <c r="F581" s="67" t="s">
        <v>1011</v>
      </c>
      <c r="G581" s="5">
        <f t="shared" si="11"/>
        <v>4.5732612698223818E-3</v>
      </c>
    </row>
    <row r="582" spans="1:7">
      <c r="A582" s="67">
        <v>337.53</v>
      </c>
      <c r="B582" s="67">
        <v>342.68</v>
      </c>
      <c r="C582" s="67">
        <v>334.89</v>
      </c>
      <c r="D582" s="67">
        <v>334.89</v>
      </c>
      <c r="E582" s="67">
        <v>510142</v>
      </c>
      <c r="F582" s="67" t="s">
        <v>1012</v>
      </c>
      <c r="G582" s="5">
        <f t="shared" si="11"/>
        <v>7.8831855236047854E-3</v>
      </c>
    </row>
    <row r="583" spans="1:7">
      <c r="A583" s="67">
        <v>331.72</v>
      </c>
      <c r="B583" s="67">
        <v>334.7</v>
      </c>
      <c r="C583" s="67">
        <v>327.42</v>
      </c>
      <c r="D583" s="67">
        <v>327.42</v>
      </c>
      <c r="E583" s="67">
        <v>325256</v>
      </c>
      <c r="F583" s="67" t="s">
        <v>1013</v>
      </c>
      <c r="G583" s="5">
        <f t="shared" si="11"/>
        <v>1.3132979048317228E-2</v>
      </c>
    </row>
    <row r="584" spans="1:7">
      <c r="A584" s="67">
        <v>328.14</v>
      </c>
      <c r="B584" s="67">
        <v>328.24</v>
      </c>
      <c r="C584" s="67">
        <v>320.27</v>
      </c>
      <c r="D584" s="67">
        <v>324.27999999999997</v>
      </c>
      <c r="E584" s="67">
        <v>420583</v>
      </c>
      <c r="F584" s="67" t="s">
        <v>1014</v>
      </c>
      <c r="G584" s="5">
        <f t="shared" si="11"/>
        <v>1.1903293450104879E-2</v>
      </c>
    </row>
    <row r="585" spans="1:7">
      <c r="A585" s="67">
        <v>323.08999999999997</v>
      </c>
      <c r="B585" s="67">
        <v>325.01749999999998</v>
      </c>
      <c r="C585" s="67">
        <v>315.8</v>
      </c>
      <c r="D585" s="67">
        <v>315.8</v>
      </c>
      <c r="E585" s="67">
        <v>199174</v>
      </c>
      <c r="F585" s="67" t="s">
        <v>1015</v>
      </c>
      <c r="G585" s="5">
        <f t="shared" si="11"/>
        <v>2.3084230525649119E-2</v>
      </c>
    </row>
    <row r="586" spans="1:7">
      <c r="A586" s="67">
        <v>314.72000000000003</v>
      </c>
      <c r="B586" s="67">
        <v>316.16000000000003</v>
      </c>
      <c r="C586" s="67">
        <v>310.16000000000003</v>
      </c>
      <c r="D586" s="67">
        <v>311.57</v>
      </c>
      <c r="E586" s="67">
        <v>225611</v>
      </c>
      <c r="F586" s="67" t="s">
        <v>1016</v>
      </c>
      <c r="G586" s="5">
        <f t="shared" si="11"/>
        <v>1.01100876207596E-2</v>
      </c>
    </row>
    <row r="587" spans="1:7">
      <c r="A587" s="67">
        <v>312.74</v>
      </c>
      <c r="B587" s="67">
        <v>327.04000000000002</v>
      </c>
      <c r="C587" s="67">
        <v>312.61</v>
      </c>
      <c r="D587" s="67">
        <v>322.33</v>
      </c>
      <c r="E587" s="67">
        <v>322573</v>
      </c>
      <c r="F587" s="67" t="s">
        <v>1017</v>
      </c>
      <c r="G587" s="5">
        <f t="shared" si="11"/>
        <v>-2.9752117395215993E-2</v>
      </c>
    </row>
    <row r="588" spans="1:7">
      <c r="A588" s="67">
        <v>322.37</v>
      </c>
      <c r="B588" s="67">
        <v>322.77999999999997</v>
      </c>
      <c r="C588" s="67">
        <v>319.10000000000002</v>
      </c>
      <c r="D588" s="67">
        <v>320.85000000000002</v>
      </c>
      <c r="E588" s="67">
        <v>146677</v>
      </c>
      <c r="F588" s="67" t="s">
        <v>1018</v>
      </c>
      <c r="G588" s="5">
        <f t="shared" si="11"/>
        <v>4.73741623811752E-3</v>
      </c>
    </row>
    <row r="589" spans="1:7">
      <c r="A589" s="67">
        <v>321.83</v>
      </c>
      <c r="B589" s="67">
        <v>323</v>
      </c>
      <c r="C589" s="67">
        <v>318.60000000000002</v>
      </c>
      <c r="D589" s="67">
        <v>318.11</v>
      </c>
      <c r="E589" s="67">
        <v>244675</v>
      </c>
      <c r="F589" s="67" t="s">
        <v>1019</v>
      </c>
      <c r="G589" s="5">
        <f t="shared" si="11"/>
        <v>1.1694068089654452E-2</v>
      </c>
    </row>
    <row r="590" spans="1:7">
      <c r="A590" s="67">
        <v>320.86</v>
      </c>
      <c r="B590" s="67">
        <v>320.94</v>
      </c>
      <c r="C590" s="67">
        <v>312.08</v>
      </c>
      <c r="D590" s="67">
        <v>315.07</v>
      </c>
      <c r="E590" s="67">
        <v>292738</v>
      </c>
      <c r="F590" s="67" t="s">
        <v>1020</v>
      </c>
      <c r="G590" s="5">
        <f t="shared" si="11"/>
        <v>1.8376868632367538E-2</v>
      </c>
    </row>
    <row r="591" spans="1:7">
      <c r="A591" s="67">
        <v>314.24</v>
      </c>
      <c r="B591" s="67">
        <v>314.87</v>
      </c>
      <c r="C591" s="67">
        <v>305.64</v>
      </c>
      <c r="D591" s="67">
        <v>308.2</v>
      </c>
      <c r="E591" s="67">
        <v>241773</v>
      </c>
      <c r="F591" s="67" t="s">
        <v>1021</v>
      </c>
      <c r="G591" s="5">
        <f t="shared" si="11"/>
        <v>1.9597663854640013E-2</v>
      </c>
    </row>
    <row r="592" spans="1:7">
      <c r="A592" s="67">
        <v>307.33999999999997</v>
      </c>
      <c r="B592" s="67">
        <v>310</v>
      </c>
      <c r="C592" s="67">
        <v>304.53789999999998</v>
      </c>
      <c r="D592" s="67">
        <v>309.98</v>
      </c>
      <c r="E592" s="67">
        <v>267491</v>
      </c>
      <c r="F592" s="67" t="s">
        <v>1022</v>
      </c>
      <c r="G592" s="5">
        <f t="shared" si="11"/>
        <v>-8.5166784953869534E-3</v>
      </c>
    </row>
    <row r="593" spans="1:7">
      <c r="A593" s="67">
        <v>310.73</v>
      </c>
      <c r="B593" s="67">
        <v>314.29000000000002</v>
      </c>
      <c r="C593" s="67">
        <v>306.39999999999998</v>
      </c>
      <c r="D593" s="67">
        <v>306.39999999999998</v>
      </c>
      <c r="E593" s="67">
        <v>289421</v>
      </c>
      <c r="F593" s="67" t="s">
        <v>1023</v>
      </c>
      <c r="G593" s="5">
        <f t="shared" si="11"/>
        <v>1.4131853785900983E-2</v>
      </c>
    </row>
    <row r="594" spans="1:7">
      <c r="A594" s="67">
        <v>306.5</v>
      </c>
      <c r="B594" s="67">
        <v>308.70999999999998</v>
      </c>
      <c r="C594" s="67">
        <v>303</v>
      </c>
      <c r="D594" s="67">
        <v>304.94</v>
      </c>
      <c r="E594" s="67">
        <v>254268</v>
      </c>
      <c r="F594" s="67" t="s">
        <v>1024</v>
      </c>
      <c r="G594" s="5">
        <f t="shared" si="11"/>
        <v>5.1157604774709764E-3</v>
      </c>
    </row>
    <row r="595" spans="1:7">
      <c r="A595" s="67">
        <v>304.89999999999998</v>
      </c>
      <c r="B595" s="67">
        <v>309.42</v>
      </c>
      <c r="C595" s="67">
        <v>303.48</v>
      </c>
      <c r="D595" s="67">
        <v>309.13</v>
      </c>
      <c r="E595" s="67">
        <v>334875</v>
      </c>
      <c r="F595" s="67" t="s">
        <v>1025</v>
      </c>
      <c r="G595" s="5">
        <f t="shared" si="11"/>
        <v>-1.368356354931588E-2</v>
      </c>
    </row>
    <row r="596" spans="1:7">
      <c r="A596" s="67">
        <v>307.57</v>
      </c>
      <c r="B596" s="67">
        <v>310.76</v>
      </c>
      <c r="C596" s="67">
        <v>302.11</v>
      </c>
      <c r="D596" s="67">
        <v>303.20999999999998</v>
      </c>
      <c r="E596" s="67">
        <v>222155</v>
      </c>
      <c r="F596" s="67" t="s">
        <v>1026</v>
      </c>
      <c r="G596" s="5">
        <f t="shared" si="11"/>
        <v>1.4379472972527285E-2</v>
      </c>
    </row>
    <row r="597" spans="1:7">
      <c r="A597" s="67">
        <v>305.72000000000003</v>
      </c>
      <c r="B597" s="67">
        <v>318.93</v>
      </c>
      <c r="C597" s="67">
        <v>301.43</v>
      </c>
      <c r="D597" s="67">
        <v>316.64</v>
      </c>
      <c r="E597" s="67">
        <v>400887</v>
      </c>
      <c r="F597" s="67" t="s">
        <v>1027</v>
      </c>
      <c r="G597" s="5">
        <f t="shared" si="11"/>
        <v>-3.4487114704396027E-2</v>
      </c>
    </row>
    <row r="598" spans="1:7">
      <c r="A598" s="67">
        <v>318.64999999999998</v>
      </c>
      <c r="B598" s="67">
        <v>322.83499999999998</v>
      </c>
      <c r="C598" s="67">
        <v>316.68</v>
      </c>
      <c r="D598" s="67">
        <v>316.89</v>
      </c>
      <c r="E598" s="67">
        <v>321040</v>
      </c>
      <c r="F598" s="67" t="s">
        <v>1028</v>
      </c>
      <c r="G598" s="5">
        <f t="shared" si="11"/>
        <v>5.5539777209756558E-3</v>
      </c>
    </row>
    <row r="599" spans="1:7">
      <c r="A599" s="67">
        <v>317.60000000000002</v>
      </c>
      <c r="B599" s="67">
        <v>320.83</v>
      </c>
      <c r="C599" s="67">
        <v>314.02999999999997</v>
      </c>
      <c r="D599" s="67">
        <v>316.11</v>
      </c>
      <c r="E599" s="67">
        <v>371620</v>
      </c>
      <c r="F599" s="67" t="s">
        <v>1029</v>
      </c>
      <c r="G599" s="5">
        <f t="shared" si="11"/>
        <v>4.7135490810161773E-3</v>
      </c>
    </row>
    <row r="600" spans="1:7">
      <c r="A600" s="67">
        <v>315.10000000000002</v>
      </c>
      <c r="B600" s="67">
        <v>318.47500000000002</v>
      </c>
      <c r="C600" s="67">
        <v>314.06</v>
      </c>
      <c r="D600" s="67">
        <v>315.39</v>
      </c>
      <c r="E600" s="67">
        <v>250056</v>
      </c>
      <c r="F600" s="67" t="s">
        <v>1030</v>
      </c>
      <c r="G600" s="5">
        <f t="shared" si="11"/>
        <v>-9.1949649640121756E-4</v>
      </c>
    </row>
    <row r="601" spans="1:7">
      <c r="A601" s="67">
        <v>313.77999999999997</v>
      </c>
      <c r="B601" s="67">
        <v>316.99</v>
      </c>
      <c r="C601" s="67">
        <v>312.01</v>
      </c>
      <c r="D601" s="67">
        <v>315.25</v>
      </c>
      <c r="E601" s="67">
        <v>234923</v>
      </c>
      <c r="F601" s="67" t="s">
        <v>1031</v>
      </c>
      <c r="G601" s="5">
        <f t="shared" si="11"/>
        <v>-4.6629659000794188E-3</v>
      </c>
    </row>
    <row r="602" spans="1:7">
      <c r="A602" s="67">
        <v>315.77999999999997</v>
      </c>
      <c r="B602" s="67">
        <v>317.23</v>
      </c>
      <c r="C602" s="67">
        <v>308.5</v>
      </c>
      <c r="D602" s="67">
        <v>312.89</v>
      </c>
      <c r="E602" s="67">
        <v>624065</v>
      </c>
      <c r="F602" s="67" t="s">
        <v>1032</v>
      </c>
      <c r="G602" s="5">
        <f t="shared" si="11"/>
        <v>9.2364728818434827E-3</v>
      </c>
    </row>
    <row r="603" spans="1:7">
      <c r="A603" s="67">
        <v>314.92</v>
      </c>
      <c r="B603" s="67">
        <v>320.76</v>
      </c>
      <c r="C603" s="67">
        <v>313.25</v>
      </c>
      <c r="D603" s="67">
        <v>319.70999999999998</v>
      </c>
      <c r="E603" s="67">
        <v>297238</v>
      </c>
      <c r="F603" s="67" t="s">
        <v>1033</v>
      </c>
      <c r="G603" s="5">
        <f t="shared" si="11"/>
        <v>-1.4982327734509249E-2</v>
      </c>
    </row>
    <row r="604" spans="1:7">
      <c r="A604" s="67">
        <v>320.45999999999998</v>
      </c>
      <c r="B604" s="67">
        <v>324.38</v>
      </c>
      <c r="C604" s="67">
        <v>317.38</v>
      </c>
      <c r="D604" s="67">
        <v>317.62</v>
      </c>
      <c r="E604" s="67">
        <v>351219</v>
      </c>
      <c r="F604" s="67" t="s">
        <v>1034</v>
      </c>
      <c r="G604" s="5">
        <f t="shared" si="11"/>
        <v>8.9415024242804897E-3</v>
      </c>
    </row>
    <row r="605" spans="1:7">
      <c r="A605" s="67">
        <v>317.39</v>
      </c>
      <c r="B605" s="67">
        <v>321.43</v>
      </c>
      <c r="C605" s="67">
        <v>316.83999999999997</v>
      </c>
      <c r="D605" s="67">
        <v>320.67</v>
      </c>
      <c r="E605" s="67">
        <v>287706</v>
      </c>
      <c r="F605" s="67" t="s">
        <v>1035</v>
      </c>
      <c r="G605" s="5">
        <f t="shared" si="11"/>
        <v>-1.0228583902454291E-2</v>
      </c>
    </row>
    <row r="606" spans="1:7">
      <c r="A606" s="67">
        <v>320</v>
      </c>
      <c r="B606" s="67">
        <v>320.5</v>
      </c>
      <c r="C606" s="67">
        <v>313.995</v>
      </c>
      <c r="D606" s="67">
        <v>315.39</v>
      </c>
      <c r="E606" s="67">
        <v>451734</v>
      </c>
      <c r="F606" s="67" t="s">
        <v>1036</v>
      </c>
      <c r="G606" s="5">
        <f t="shared" si="11"/>
        <v>1.4616823615206664E-2</v>
      </c>
    </row>
    <row r="607" spans="1:7">
      <c r="A607" s="67">
        <v>314.87</v>
      </c>
      <c r="B607" s="67">
        <v>317.77</v>
      </c>
      <c r="C607" s="67">
        <v>307.75</v>
      </c>
      <c r="D607" s="67">
        <v>309.89999999999998</v>
      </c>
      <c r="E607" s="67">
        <v>334421</v>
      </c>
      <c r="F607" s="67" t="s">
        <v>1037</v>
      </c>
      <c r="G607" s="5">
        <f t="shared" si="11"/>
        <v>1.6037431429493543E-2</v>
      </c>
    </row>
    <row r="608" spans="1:7">
      <c r="A608" s="67">
        <v>310.69</v>
      </c>
      <c r="B608" s="67">
        <v>314.91500000000002</v>
      </c>
      <c r="C608" s="67">
        <v>306.98</v>
      </c>
      <c r="D608" s="67">
        <v>308.87</v>
      </c>
      <c r="E608" s="67">
        <v>312228</v>
      </c>
      <c r="F608" s="67" t="s">
        <v>1038</v>
      </c>
      <c r="G608" s="5">
        <f t="shared" si="11"/>
        <v>5.8924466604073356E-3</v>
      </c>
    </row>
    <row r="609" spans="1:7">
      <c r="A609" s="67">
        <v>310.08</v>
      </c>
      <c r="B609" s="67">
        <v>311.2</v>
      </c>
      <c r="C609" s="67">
        <v>297.63400000000001</v>
      </c>
      <c r="D609" s="67">
        <v>299.17</v>
      </c>
      <c r="E609" s="67">
        <v>521013</v>
      </c>
      <c r="F609" s="67" t="s">
        <v>1039</v>
      </c>
      <c r="G609" s="5">
        <f t="shared" si="11"/>
        <v>3.6467560250025066E-2</v>
      </c>
    </row>
    <row r="610" spans="1:7">
      <c r="A610" s="67">
        <v>301.88</v>
      </c>
      <c r="B610" s="67">
        <v>310</v>
      </c>
      <c r="C610" s="67">
        <v>299.16000000000003</v>
      </c>
      <c r="D610" s="67">
        <v>301</v>
      </c>
      <c r="E610" s="67">
        <v>549705</v>
      </c>
      <c r="F610" s="67" t="s">
        <v>1040</v>
      </c>
      <c r="G610" s="5">
        <f t="shared" si="11"/>
        <v>2.9235880398670311E-3</v>
      </c>
    </row>
    <row r="611" spans="1:7">
      <c r="A611" s="67">
        <v>301.04000000000002</v>
      </c>
      <c r="B611" s="67">
        <v>306.7</v>
      </c>
      <c r="C611" s="67">
        <v>284.32</v>
      </c>
      <c r="D611" s="67">
        <v>285.33</v>
      </c>
      <c r="E611" s="67">
        <v>1117057</v>
      </c>
      <c r="F611" s="67" t="s">
        <v>1041</v>
      </c>
      <c r="G611" s="5">
        <f t="shared" si="11"/>
        <v>5.5059054428206133E-2</v>
      </c>
    </row>
    <row r="612" spans="1:7">
      <c r="A612" s="67">
        <v>281.33</v>
      </c>
      <c r="B612" s="67">
        <v>285.48</v>
      </c>
      <c r="C612" s="67">
        <v>279</v>
      </c>
      <c r="D612" s="67">
        <v>283.88</v>
      </c>
      <c r="E612" s="67">
        <v>635562</v>
      </c>
      <c r="F612" s="67" t="s">
        <v>1042</v>
      </c>
      <c r="G612" s="5">
        <f t="shared" si="11"/>
        <v>-8.9826687332675847E-3</v>
      </c>
    </row>
    <row r="613" spans="1:7">
      <c r="A613" s="67">
        <v>285.45999999999998</v>
      </c>
      <c r="B613" s="67">
        <v>288.82</v>
      </c>
      <c r="C613" s="67">
        <v>282.33</v>
      </c>
      <c r="D613" s="67">
        <v>284.25</v>
      </c>
      <c r="E613" s="67">
        <v>377902</v>
      </c>
      <c r="F613" s="67" t="s">
        <v>1043</v>
      </c>
      <c r="G613" s="5">
        <f t="shared" si="11"/>
        <v>4.2568161829374951E-3</v>
      </c>
    </row>
    <row r="614" spans="1:7">
      <c r="A614" s="67">
        <v>284.12</v>
      </c>
      <c r="B614" s="67">
        <v>287.14999999999998</v>
      </c>
      <c r="C614" s="67">
        <v>280</v>
      </c>
      <c r="D614" s="67">
        <v>283.16000000000003</v>
      </c>
      <c r="E614" s="67">
        <v>605593</v>
      </c>
      <c r="F614" s="67" t="s">
        <v>1044</v>
      </c>
      <c r="G614" s="5">
        <f t="shared" si="11"/>
        <v>3.3903093657294825E-3</v>
      </c>
    </row>
    <row r="615" spans="1:7">
      <c r="A615" s="67">
        <v>283.16000000000003</v>
      </c>
      <c r="B615" s="67">
        <v>285.27999999999997</v>
      </c>
      <c r="C615" s="67">
        <v>280.77</v>
      </c>
      <c r="D615" s="67">
        <v>283.35000000000002</v>
      </c>
      <c r="E615" s="67">
        <v>414450</v>
      </c>
      <c r="F615" s="67" t="s">
        <v>1045</v>
      </c>
      <c r="G615" s="5">
        <f t="shared" si="11"/>
        <v>-6.7054879124761602E-4</v>
      </c>
    </row>
    <row r="616" spans="1:7">
      <c r="A616" s="67">
        <v>284.18</v>
      </c>
      <c r="B616" s="67">
        <v>284.79000000000002</v>
      </c>
      <c r="C616" s="67">
        <v>280.04000000000002</v>
      </c>
      <c r="D616" s="67">
        <v>284.33999999999997</v>
      </c>
      <c r="E616" s="67">
        <v>293371</v>
      </c>
      <c r="F616" s="67" t="s">
        <v>1046</v>
      </c>
      <c r="G616" s="5">
        <f t="shared" si="11"/>
        <v>-5.6270661883650597E-4</v>
      </c>
    </row>
    <row r="617" spans="1:7">
      <c r="A617" s="67">
        <v>284.89999999999998</v>
      </c>
      <c r="B617" s="67">
        <v>287.89</v>
      </c>
      <c r="C617" s="67">
        <v>283.75</v>
      </c>
      <c r="D617" s="67">
        <v>286.79000000000002</v>
      </c>
      <c r="E617" s="67">
        <v>291898</v>
      </c>
      <c r="F617" s="67" t="s">
        <v>1047</v>
      </c>
      <c r="G617" s="5">
        <f t="shared" si="11"/>
        <v>-6.5901879423970744E-3</v>
      </c>
    </row>
    <row r="618" spans="1:7">
      <c r="A618" s="67">
        <v>288.32</v>
      </c>
      <c r="B618" s="67">
        <v>288.88</v>
      </c>
      <c r="C618" s="67">
        <v>279.4588</v>
      </c>
      <c r="D618" s="67">
        <v>280.68</v>
      </c>
      <c r="E618" s="67">
        <v>248829</v>
      </c>
      <c r="F618" s="67" t="s">
        <v>1048</v>
      </c>
      <c r="G618" s="5">
        <f t="shared" si="11"/>
        <v>2.7219609519737675E-2</v>
      </c>
    </row>
    <row r="619" spans="1:7">
      <c r="A619" s="67">
        <v>279.89999999999998</v>
      </c>
      <c r="B619" s="67">
        <v>280.61</v>
      </c>
      <c r="C619" s="67">
        <v>275.99</v>
      </c>
      <c r="D619" s="67">
        <v>275.99</v>
      </c>
      <c r="E619" s="67">
        <v>248849</v>
      </c>
      <c r="F619" s="67" t="s">
        <v>1049</v>
      </c>
      <c r="G619" s="5">
        <f t="shared" si="11"/>
        <v>1.4167179970288712E-2</v>
      </c>
    </row>
    <row r="620" spans="1:7">
      <c r="A620" s="67">
        <v>275.22000000000003</v>
      </c>
      <c r="B620" s="67">
        <v>275.52</v>
      </c>
      <c r="C620" s="67">
        <v>272</v>
      </c>
      <c r="D620" s="67">
        <v>273.10000000000002</v>
      </c>
      <c r="E620" s="67">
        <v>408103</v>
      </c>
      <c r="F620" s="67" t="s">
        <v>1050</v>
      </c>
      <c r="G620" s="5">
        <f t="shared" si="11"/>
        <v>7.7627242768216753E-3</v>
      </c>
    </row>
    <row r="621" spans="1:7">
      <c r="A621" s="67">
        <v>274.25</v>
      </c>
      <c r="B621" s="67">
        <v>280.49</v>
      </c>
      <c r="C621" s="67">
        <v>272.52999999999997</v>
      </c>
      <c r="D621" s="67">
        <v>272.89999999999998</v>
      </c>
      <c r="E621" s="67">
        <v>342709</v>
      </c>
      <c r="F621" s="67" t="s">
        <v>1051</v>
      </c>
      <c r="G621" s="5">
        <f t="shared" si="11"/>
        <v>4.9468669842434032E-3</v>
      </c>
    </row>
    <row r="622" spans="1:7">
      <c r="A622" s="67">
        <v>271.54000000000002</v>
      </c>
      <c r="B622" s="67">
        <v>273.45</v>
      </c>
      <c r="C622" s="67">
        <v>266.55</v>
      </c>
      <c r="D622" s="67">
        <v>273.45</v>
      </c>
      <c r="E622" s="67">
        <v>471664</v>
      </c>
      <c r="F622" s="67" t="s">
        <v>1052</v>
      </c>
      <c r="G622" s="5">
        <f t="shared" si="11"/>
        <v>-6.9848235509232248E-3</v>
      </c>
    </row>
    <row r="623" spans="1:7">
      <c r="A623" s="67">
        <v>271.94</v>
      </c>
      <c r="B623" s="67">
        <v>280</v>
      </c>
      <c r="C623" s="67">
        <v>270.60000000000002</v>
      </c>
      <c r="D623" s="67">
        <v>278.06</v>
      </c>
      <c r="E623" s="67">
        <v>286297</v>
      </c>
      <c r="F623" s="67" t="s">
        <v>1053</v>
      </c>
      <c r="G623" s="5">
        <f t="shared" si="11"/>
        <v>-2.2009638207581061E-2</v>
      </c>
    </row>
    <row r="624" spans="1:7">
      <c r="A624" s="67">
        <v>277.62</v>
      </c>
      <c r="B624" s="67">
        <v>279.99</v>
      </c>
      <c r="C624" s="67">
        <v>275.43</v>
      </c>
      <c r="D624" s="67">
        <v>275.43</v>
      </c>
      <c r="E624" s="67">
        <v>279011</v>
      </c>
      <c r="F624" s="67" t="s">
        <v>1054</v>
      </c>
      <c r="G624" s="5">
        <f t="shared" si="11"/>
        <v>7.9512035725954888E-3</v>
      </c>
    </row>
    <row r="625" spans="1:7">
      <c r="A625" s="67">
        <v>276.97000000000003</v>
      </c>
      <c r="B625" s="67">
        <v>280.97000000000003</v>
      </c>
      <c r="C625" s="67">
        <v>276.19</v>
      </c>
      <c r="D625" s="67">
        <v>280.06</v>
      </c>
      <c r="E625" s="67">
        <v>424781</v>
      </c>
      <c r="F625" s="67" t="s">
        <v>1055</v>
      </c>
      <c r="G625" s="5">
        <f t="shared" si="11"/>
        <v>-1.1033349996429243E-2</v>
      </c>
    </row>
    <row r="626" spans="1:7">
      <c r="A626" s="67">
        <v>277.27999999999997</v>
      </c>
      <c r="B626" s="67">
        <v>287.58999999999997</v>
      </c>
      <c r="C626" s="67">
        <v>276.74</v>
      </c>
      <c r="D626" s="67">
        <v>287.58999999999997</v>
      </c>
      <c r="E626" s="67">
        <v>204605</v>
      </c>
      <c r="F626" s="67" t="s">
        <v>1056</v>
      </c>
      <c r="G626" s="5">
        <f t="shared" ref="G626:G689" si="12">A626/D626-1</f>
        <v>-3.5849647067005108E-2</v>
      </c>
    </row>
    <row r="627" spans="1:7">
      <c r="A627" s="67">
        <v>286.64999999999998</v>
      </c>
      <c r="B627" s="67">
        <v>286.68</v>
      </c>
      <c r="C627" s="67">
        <v>279.3</v>
      </c>
      <c r="D627" s="67">
        <v>280.20999999999998</v>
      </c>
      <c r="E627" s="67">
        <v>300711</v>
      </c>
      <c r="F627" s="67" t="s">
        <v>1057</v>
      </c>
      <c r="G627" s="5">
        <f t="shared" si="12"/>
        <v>2.2982762927804101E-2</v>
      </c>
    </row>
    <row r="628" spans="1:7">
      <c r="A628" s="67">
        <v>278.82</v>
      </c>
      <c r="B628" s="67">
        <v>280.13499999999999</v>
      </c>
      <c r="C628" s="67">
        <v>271.25</v>
      </c>
      <c r="D628" s="67">
        <v>272.81</v>
      </c>
      <c r="E628" s="67">
        <v>259177</v>
      </c>
      <c r="F628" s="67" t="s">
        <v>1058</v>
      </c>
      <c r="G628" s="5">
        <f t="shared" si="12"/>
        <v>2.202998423811442E-2</v>
      </c>
    </row>
    <row r="629" spans="1:7">
      <c r="A629" s="67">
        <v>274.16000000000003</v>
      </c>
      <c r="B629" s="67">
        <v>281.91000000000003</v>
      </c>
      <c r="C629" s="67">
        <v>272.35000000000002</v>
      </c>
      <c r="D629" s="67">
        <v>281.8</v>
      </c>
      <c r="E629" s="67">
        <v>269197</v>
      </c>
      <c r="F629" s="67" t="s">
        <v>1059</v>
      </c>
      <c r="G629" s="5">
        <f t="shared" si="12"/>
        <v>-2.7111426543647954E-2</v>
      </c>
    </row>
    <row r="630" spans="1:7">
      <c r="A630" s="67">
        <v>282.57</v>
      </c>
      <c r="B630" s="67">
        <v>283.64</v>
      </c>
      <c r="C630" s="67">
        <v>279.64</v>
      </c>
      <c r="D630" s="67">
        <v>280.89</v>
      </c>
      <c r="E630" s="67">
        <v>241501</v>
      </c>
      <c r="F630" s="67" t="s">
        <v>1060</v>
      </c>
      <c r="G630" s="5">
        <f t="shared" si="12"/>
        <v>5.9809889992523679E-3</v>
      </c>
    </row>
    <row r="631" spans="1:7">
      <c r="A631" s="67">
        <v>280.82</v>
      </c>
      <c r="B631" s="67">
        <v>285.99</v>
      </c>
      <c r="C631" s="67">
        <v>280.45499999999998</v>
      </c>
      <c r="D631" s="67">
        <v>281.73</v>
      </c>
      <c r="E631" s="67">
        <v>251183</v>
      </c>
      <c r="F631" s="67" t="s">
        <v>1061</v>
      </c>
      <c r="G631" s="5">
        <f t="shared" si="12"/>
        <v>-3.2300429489228177E-3</v>
      </c>
    </row>
    <row r="632" spans="1:7">
      <c r="A632" s="67">
        <v>281.73</v>
      </c>
      <c r="B632" s="67">
        <v>281.91000000000003</v>
      </c>
      <c r="C632" s="67">
        <v>273.63</v>
      </c>
      <c r="D632" s="67">
        <v>276.37</v>
      </c>
      <c r="E632" s="67">
        <v>305692</v>
      </c>
      <c r="F632" s="67" t="s">
        <v>1062</v>
      </c>
      <c r="G632" s="5">
        <f t="shared" si="12"/>
        <v>1.9394290263053282E-2</v>
      </c>
    </row>
    <row r="633" spans="1:7">
      <c r="A633" s="67">
        <v>278.69</v>
      </c>
      <c r="B633" s="67">
        <v>282.68</v>
      </c>
      <c r="C633" s="67">
        <v>278.39999999999998</v>
      </c>
      <c r="D633" s="67">
        <v>278.68</v>
      </c>
      <c r="E633" s="67">
        <v>369110</v>
      </c>
      <c r="F633" s="67" t="s">
        <v>1063</v>
      </c>
      <c r="G633" s="5">
        <f t="shared" si="12"/>
        <v>3.588345055249853E-5</v>
      </c>
    </row>
    <row r="634" spans="1:7">
      <c r="A634" s="67">
        <v>277.08999999999997</v>
      </c>
      <c r="B634" s="67">
        <v>278.10000000000002</v>
      </c>
      <c r="C634" s="67">
        <v>273.17</v>
      </c>
      <c r="D634" s="67">
        <v>277.95</v>
      </c>
      <c r="E634" s="67">
        <v>238804</v>
      </c>
      <c r="F634" s="67" t="s">
        <v>1064</v>
      </c>
      <c r="G634" s="5">
        <f t="shared" si="12"/>
        <v>-3.0940816693650897E-3</v>
      </c>
    </row>
    <row r="635" spans="1:7">
      <c r="A635" s="67">
        <v>274.79000000000002</v>
      </c>
      <c r="B635" s="67">
        <v>279.55500000000001</v>
      </c>
      <c r="C635" s="67">
        <v>271</v>
      </c>
      <c r="D635" s="67">
        <v>271</v>
      </c>
      <c r="E635" s="67">
        <v>307749</v>
      </c>
      <c r="F635" s="67" t="s">
        <v>1065</v>
      </c>
      <c r="G635" s="5">
        <f t="shared" si="12"/>
        <v>1.3985239852398523E-2</v>
      </c>
    </row>
    <row r="636" spans="1:7">
      <c r="A636" s="67">
        <v>275.54000000000002</v>
      </c>
      <c r="B636" s="67">
        <v>280.45999999999998</v>
      </c>
      <c r="C636" s="67">
        <v>275.10000000000002</v>
      </c>
      <c r="D636" s="67">
        <v>278.27</v>
      </c>
      <c r="E636" s="67">
        <v>290883</v>
      </c>
      <c r="F636" s="67" t="s">
        <v>1066</v>
      </c>
      <c r="G636" s="5">
        <f t="shared" si="12"/>
        <v>-9.8106155891758418E-3</v>
      </c>
    </row>
    <row r="637" spans="1:7">
      <c r="A637" s="67">
        <v>277.16000000000003</v>
      </c>
      <c r="B637" s="67">
        <v>278.45</v>
      </c>
      <c r="C637" s="67">
        <v>274.02999999999997</v>
      </c>
      <c r="D637" s="67">
        <v>276.95999999999998</v>
      </c>
      <c r="E637" s="67">
        <v>212534</v>
      </c>
      <c r="F637" s="67" t="s">
        <v>1067</v>
      </c>
      <c r="G637" s="5">
        <f t="shared" si="12"/>
        <v>7.2212593876397335E-4</v>
      </c>
    </row>
    <row r="638" spans="1:7">
      <c r="A638" s="67">
        <v>274.67</v>
      </c>
      <c r="B638" s="67">
        <v>278.33999999999997</v>
      </c>
      <c r="C638" s="67">
        <v>272.61</v>
      </c>
      <c r="D638" s="67">
        <v>277.58999999999997</v>
      </c>
      <c r="E638" s="67">
        <v>307102</v>
      </c>
      <c r="F638" s="67" t="s">
        <v>1068</v>
      </c>
      <c r="G638" s="5">
        <f t="shared" si="12"/>
        <v>-1.0519110918981056E-2</v>
      </c>
    </row>
    <row r="639" spans="1:7">
      <c r="A639" s="67">
        <v>277.82</v>
      </c>
      <c r="B639" s="67">
        <v>283.42</v>
      </c>
      <c r="C639" s="67">
        <v>273.76</v>
      </c>
      <c r="D639" s="67">
        <v>276.41000000000003</v>
      </c>
      <c r="E639" s="67">
        <v>467000</v>
      </c>
      <c r="F639" s="67" t="s">
        <v>1069</v>
      </c>
      <c r="G639" s="5">
        <f t="shared" si="12"/>
        <v>5.1011179045619137E-3</v>
      </c>
    </row>
    <row r="640" spans="1:7">
      <c r="A640" s="67">
        <v>273.61</v>
      </c>
      <c r="B640" s="67">
        <v>278.19</v>
      </c>
      <c r="C640" s="67">
        <v>267.77</v>
      </c>
      <c r="D640" s="67">
        <v>269.8</v>
      </c>
      <c r="E640" s="67">
        <v>515816</v>
      </c>
      <c r="F640" s="67" t="s">
        <v>1070</v>
      </c>
      <c r="G640" s="5">
        <f t="shared" si="12"/>
        <v>1.4121571534470023E-2</v>
      </c>
    </row>
    <row r="641" spans="1:7">
      <c r="A641" s="67">
        <v>270.07</v>
      </c>
      <c r="B641" s="67">
        <v>270.7</v>
      </c>
      <c r="C641" s="67">
        <v>264.8</v>
      </c>
      <c r="D641" s="67">
        <v>267.20999999999998</v>
      </c>
      <c r="E641" s="67">
        <v>281210</v>
      </c>
      <c r="F641" s="67" t="s">
        <v>1071</v>
      </c>
      <c r="G641" s="5">
        <f t="shared" si="12"/>
        <v>1.0703192245799187E-2</v>
      </c>
    </row>
    <row r="642" spans="1:7">
      <c r="A642" s="67">
        <v>266.17</v>
      </c>
      <c r="B642" s="67">
        <v>267.25</v>
      </c>
      <c r="C642" s="67">
        <v>260.45999999999998</v>
      </c>
      <c r="D642" s="67">
        <v>262.37</v>
      </c>
      <c r="E642" s="67">
        <v>231273</v>
      </c>
      <c r="F642" s="67" t="s">
        <v>1072</v>
      </c>
      <c r="G642" s="5">
        <f t="shared" si="12"/>
        <v>1.4483363189389031E-2</v>
      </c>
    </row>
    <row r="643" spans="1:7">
      <c r="A643" s="67">
        <v>263</v>
      </c>
      <c r="B643" s="67">
        <v>266.56</v>
      </c>
      <c r="C643" s="67">
        <v>262.18</v>
      </c>
      <c r="D643" s="67">
        <v>265.83</v>
      </c>
      <c r="E643" s="67">
        <v>399450</v>
      </c>
      <c r="F643" s="67" t="s">
        <v>1073</v>
      </c>
      <c r="G643" s="5">
        <f t="shared" si="12"/>
        <v>-1.0645901516006417E-2</v>
      </c>
    </row>
    <row r="644" spans="1:7">
      <c r="A644" s="67">
        <v>267.95999999999998</v>
      </c>
      <c r="B644" s="67">
        <v>267.98</v>
      </c>
      <c r="C644" s="67">
        <v>252.51</v>
      </c>
      <c r="D644" s="67">
        <v>254.78</v>
      </c>
      <c r="E644" s="67">
        <v>378913</v>
      </c>
      <c r="F644" s="67" t="s">
        <v>1074</v>
      </c>
      <c r="G644" s="5">
        <f t="shared" si="12"/>
        <v>5.1730905094591328E-2</v>
      </c>
    </row>
    <row r="645" spans="1:7">
      <c r="A645" s="67">
        <v>257</v>
      </c>
      <c r="B645" s="67">
        <v>258.26</v>
      </c>
      <c r="C645" s="67">
        <v>251.98500000000001</v>
      </c>
      <c r="D645" s="67">
        <v>254.98</v>
      </c>
      <c r="E645" s="67">
        <v>287708</v>
      </c>
      <c r="F645" s="67" t="s">
        <v>1075</v>
      </c>
      <c r="G645" s="5">
        <f t="shared" si="12"/>
        <v>7.9221899756845016E-3</v>
      </c>
    </row>
    <row r="646" spans="1:7">
      <c r="A646" s="67">
        <v>259.36</v>
      </c>
      <c r="B646" s="67">
        <v>259.55</v>
      </c>
      <c r="C646" s="67">
        <v>253.09</v>
      </c>
      <c r="D646" s="67">
        <v>256.69</v>
      </c>
      <c r="E646" s="67">
        <v>311614</v>
      </c>
      <c r="F646" s="67" t="s">
        <v>1076</v>
      </c>
      <c r="G646" s="5">
        <f t="shared" si="12"/>
        <v>1.0401651797888656E-2</v>
      </c>
    </row>
    <row r="647" spans="1:7">
      <c r="A647" s="67">
        <v>252.08</v>
      </c>
      <c r="B647" s="67">
        <v>256.18</v>
      </c>
      <c r="C647" s="67">
        <v>244.71</v>
      </c>
      <c r="D647" s="67">
        <v>245.3</v>
      </c>
      <c r="E647" s="67">
        <v>327296</v>
      </c>
      <c r="F647" s="67" t="s">
        <v>1077</v>
      </c>
      <c r="G647" s="5">
        <f t="shared" si="12"/>
        <v>2.7639624949042041E-2</v>
      </c>
    </row>
    <row r="648" spans="1:7">
      <c r="A648" s="67">
        <v>246.09</v>
      </c>
      <c r="B648" s="67">
        <v>252.48</v>
      </c>
      <c r="C648" s="67">
        <v>245.06</v>
      </c>
      <c r="D648" s="67">
        <v>249.12</v>
      </c>
      <c r="E648" s="67">
        <v>350358</v>
      </c>
      <c r="F648" s="67" t="s">
        <v>1078</v>
      </c>
      <c r="G648" s="5">
        <f t="shared" si="12"/>
        <v>-1.2162813102119419E-2</v>
      </c>
    </row>
    <row r="649" spans="1:7">
      <c r="A649" s="67">
        <v>249.68</v>
      </c>
      <c r="B649" s="67">
        <v>254.79</v>
      </c>
      <c r="C649" s="67">
        <v>249.32</v>
      </c>
      <c r="D649" s="67">
        <v>253.15</v>
      </c>
      <c r="E649" s="67">
        <v>330604</v>
      </c>
      <c r="F649" s="67" t="s">
        <v>1079</v>
      </c>
      <c r="G649" s="5">
        <f t="shared" si="12"/>
        <v>-1.3707288169069742E-2</v>
      </c>
    </row>
    <row r="650" spans="1:7">
      <c r="A650" s="67">
        <v>251.47</v>
      </c>
      <c r="B650" s="67">
        <v>254.99</v>
      </c>
      <c r="C650" s="67">
        <v>249.75</v>
      </c>
      <c r="D650" s="67">
        <v>254.99</v>
      </c>
      <c r="E650" s="67">
        <v>347595</v>
      </c>
      <c r="F650" s="67" t="s">
        <v>1080</v>
      </c>
      <c r="G650" s="5">
        <f t="shared" si="12"/>
        <v>-1.3804462920114502E-2</v>
      </c>
    </row>
    <row r="651" spans="1:7">
      <c r="A651" s="67">
        <v>254.61</v>
      </c>
      <c r="B651" s="67">
        <v>257.82</v>
      </c>
      <c r="C651" s="67">
        <v>252.47</v>
      </c>
      <c r="D651" s="67">
        <v>254.64</v>
      </c>
      <c r="E651" s="67">
        <v>248552</v>
      </c>
      <c r="F651" s="67" t="s">
        <v>1081</v>
      </c>
      <c r="G651" s="5">
        <f t="shared" si="12"/>
        <v>-1.1781338360028482E-4</v>
      </c>
    </row>
    <row r="652" spans="1:7">
      <c r="A652" s="67">
        <v>254.7</v>
      </c>
      <c r="B652" s="67">
        <v>260.3</v>
      </c>
      <c r="C652" s="67">
        <v>254.68</v>
      </c>
      <c r="D652" s="67">
        <v>259.48</v>
      </c>
      <c r="E652" s="67">
        <v>358088</v>
      </c>
      <c r="F652" s="67" t="s">
        <v>1082</v>
      </c>
      <c r="G652" s="5">
        <f t="shared" si="12"/>
        <v>-1.8421458301217886E-2</v>
      </c>
    </row>
    <row r="653" spans="1:7">
      <c r="A653" s="67">
        <v>261.38</v>
      </c>
      <c r="B653" s="67">
        <v>262.63</v>
      </c>
      <c r="C653" s="67">
        <v>260.35000000000002</v>
      </c>
      <c r="D653" s="67">
        <v>262.60000000000002</v>
      </c>
      <c r="E653" s="67">
        <v>292877</v>
      </c>
      <c r="F653" s="67" t="s">
        <v>1083</v>
      </c>
      <c r="G653" s="5">
        <f t="shared" si="12"/>
        <v>-4.6458492003047525E-3</v>
      </c>
    </row>
    <row r="654" spans="1:7">
      <c r="A654" s="67">
        <v>260.89999999999998</v>
      </c>
      <c r="B654" s="67">
        <v>261.26</v>
      </c>
      <c r="C654" s="67">
        <v>253.63</v>
      </c>
      <c r="D654" s="67">
        <v>256.42</v>
      </c>
      <c r="E654" s="67">
        <v>307573</v>
      </c>
      <c r="F654" s="67" t="s">
        <v>1084</v>
      </c>
      <c r="G654" s="5">
        <f t="shared" si="12"/>
        <v>1.7471336089228462E-2</v>
      </c>
    </row>
    <row r="655" spans="1:7">
      <c r="A655" s="67">
        <v>258.38</v>
      </c>
      <c r="B655" s="67">
        <v>260.52999999999997</v>
      </c>
      <c r="C655" s="67">
        <v>255.03</v>
      </c>
      <c r="D655" s="67">
        <v>259.48</v>
      </c>
      <c r="E655" s="67">
        <v>328053</v>
      </c>
      <c r="F655" s="67" t="s">
        <v>1085</v>
      </c>
      <c r="G655" s="5">
        <f t="shared" si="12"/>
        <v>-4.2392477262217509E-3</v>
      </c>
    </row>
    <row r="656" spans="1:7">
      <c r="A656" s="67">
        <v>259.99</v>
      </c>
      <c r="B656" s="67">
        <v>271</v>
      </c>
      <c r="C656" s="67">
        <v>259.73</v>
      </c>
      <c r="D656" s="67">
        <v>265.07</v>
      </c>
      <c r="E656" s="67">
        <v>436099</v>
      </c>
      <c r="F656" s="67" t="s">
        <v>1086</v>
      </c>
      <c r="G656" s="5">
        <f t="shared" si="12"/>
        <v>-1.9164748934243692E-2</v>
      </c>
    </row>
    <row r="657" spans="1:7">
      <c r="A657" s="67">
        <v>264.82</v>
      </c>
      <c r="B657" s="67">
        <v>274.70999999999998</v>
      </c>
      <c r="C657" s="67">
        <v>262.89</v>
      </c>
      <c r="D657" s="67">
        <v>270</v>
      </c>
      <c r="E657" s="67">
        <v>427985</v>
      </c>
      <c r="F657" s="67" t="s">
        <v>1087</v>
      </c>
      <c r="G657" s="5">
        <f t="shared" si="12"/>
        <v>-1.9185185185185194E-2</v>
      </c>
    </row>
    <row r="658" spans="1:7">
      <c r="A658" s="67">
        <v>267.38</v>
      </c>
      <c r="B658" s="67">
        <v>268.60500000000002</v>
      </c>
      <c r="C658" s="67">
        <v>240</v>
      </c>
      <c r="D658" s="67">
        <v>259</v>
      </c>
      <c r="E658" s="67">
        <v>1003496</v>
      </c>
      <c r="F658" s="67" t="s">
        <v>1088</v>
      </c>
      <c r="G658" s="5">
        <f t="shared" si="12"/>
        <v>3.2355212355212437E-2</v>
      </c>
    </row>
    <row r="659" spans="1:7">
      <c r="A659" s="67">
        <v>261.72000000000003</v>
      </c>
      <c r="B659" s="67">
        <v>263.77999999999997</v>
      </c>
      <c r="C659" s="67">
        <v>257.29000000000002</v>
      </c>
      <c r="D659" s="67">
        <v>262.64</v>
      </c>
      <c r="E659" s="67">
        <v>447708</v>
      </c>
      <c r="F659" s="67" t="s">
        <v>1089</v>
      </c>
      <c r="G659" s="5">
        <f t="shared" si="12"/>
        <v>-3.502893694791176E-3</v>
      </c>
    </row>
    <row r="660" spans="1:7">
      <c r="A660" s="67">
        <v>261.35000000000002</v>
      </c>
      <c r="B660" s="67">
        <v>263.51</v>
      </c>
      <c r="C660" s="67">
        <v>258.31</v>
      </c>
      <c r="D660" s="67">
        <v>258.82</v>
      </c>
      <c r="E660" s="67">
        <v>290956</v>
      </c>
      <c r="F660" s="67" t="s">
        <v>1090</v>
      </c>
      <c r="G660" s="5">
        <f t="shared" si="12"/>
        <v>9.7751332972724203E-3</v>
      </c>
    </row>
    <row r="661" spans="1:7">
      <c r="A661" s="67">
        <v>258.18</v>
      </c>
      <c r="B661" s="67">
        <v>264.45999999999998</v>
      </c>
      <c r="C661" s="67">
        <v>254.59</v>
      </c>
      <c r="D661" s="67">
        <v>260.29000000000002</v>
      </c>
      <c r="E661" s="67">
        <v>449072</v>
      </c>
      <c r="F661" s="67" t="s">
        <v>1091</v>
      </c>
      <c r="G661" s="5">
        <f t="shared" si="12"/>
        <v>-8.1063429251988506E-3</v>
      </c>
    </row>
    <row r="662" spans="1:7">
      <c r="A662" s="67">
        <v>264.69</v>
      </c>
      <c r="B662" s="67">
        <v>266.31</v>
      </c>
      <c r="C662" s="67">
        <v>259.05059999999997</v>
      </c>
      <c r="D662" s="67">
        <v>266.31</v>
      </c>
      <c r="E662" s="67">
        <v>254022</v>
      </c>
      <c r="F662" s="67" t="s">
        <v>1092</v>
      </c>
      <c r="G662" s="5">
        <f t="shared" si="12"/>
        <v>-6.0831361946603879E-3</v>
      </c>
    </row>
    <row r="663" spans="1:7">
      <c r="A663" s="67">
        <v>267.73</v>
      </c>
      <c r="B663" s="67">
        <v>269.19</v>
      </c>
      <c r="C663" s="67">
        <v>259.13</v>
      </c>
      <c r="D663" s="67">
        <v>259.13</v>
      </c>
      <c r="E663" s="67">
        <v>505521</v>
      </c>
      <c r="F663" s="67" t="s">
        <v>1093</v>
      </c>
      <c r="G663" s="5">
        <f t="shared" si="12"/>
        <v>3.3187975147609405E-2</v>
      </c>
    </row>
    <row r="664" spans="1:7">
      <c r="A664" s="67">
        <v>264.19</v>
      </c>
      <c r="B664" s="67">
        <v>264.23500000000001</v>
      </c>
      <c r="C664" s="67">
        <v>259.51</v>
      </c>
      <c r="D664" s="67">
        <v>261.02999999999997</v>
      </c>
      <c r="E664" s="67">
        <v>406106</v>
      </c>
      <c r="F664" s="67" t="s">
        <v>1094</v>
      </c>
      <c r="G664" s="5">
        <f t="shared" si="12"/>
        <v>1.2105888212083027E-2</v>
      </c>
    </row>
    <row r="665" spans="1:7">
      <c r="A665" s="67">
        <v>262.60000000000002</v>
      </c>
      <c r="B665" s="67">
        <v>266.35000000000002</v>
      </c>
      <c r="C665" s="67">
        <v>260.67</v>
      </c>
      <c r="D665" s="67">
        <v>264.82</v>
      </c>
      <c r="E665" s="67">
        <v>437399</v>
      </c>
      <c r="F665" s="67" t="s">
        <v>1095</v>
      </c>
      <c r="G665" s="5">
        <f t="shared" si="12"/>
        <v>-8.3830526395286542E-3</v>
      </c>
    </row>
    <row r="666" spans="1:7">
      <c r="A666" s="67">
        <v>266.72000000000003</v>
      </c>
      <c r="B666" s="67">
        <v>268.44</v>
      </c>
      <c r="C666" s="67">
        <v>264.61</v>
      </c>
      <c r="D666" s="67">
        <v>266</v>
      </c>
      <c r="E666" s="67">
        <v>169702</v>
      </c>
      <c r="F666" s="67" t="s">
        <v>1096</v>
      </c>
      <c r="G666" s="5">
        <f t="shared" si="12"/>
        <v>2.706766917293324E-3</v>
      </c>
    </row>
    <row r="667" spans="1:7">
      <c r="A667" s="67">
        <v>264.58</v>
      </c>
      <c r="B667" s="67">
        <v>264.82</v>
      </c>
      <c r="C667" s="67">
        <v>258.8</v>
      </c>
      <c r="D667" s="67">
        <v>260.33999999999997</v>
      </c>
      <c r="E667" s="67">
        <v>209750</v>
      </c>
      <c r="F667" s="67" t="s">
        <v>1097</v>
      </c>
      <c r="G667" s="5">
        <f t="shared" si="12"/>
        <v>1.6286394714603913E-2</v>
      </c>
    </row>
    <row r="668" spans="1:7">
      <c r="A668" s="67">
        <v>262.02</v>
      </c>
      <c r="B668" s="67">
        <v>266.29000000000002</v>
      </c>
      <c r="C668" s="67">
        <v>259.8</v>
      </c>
      <c r="D668" s="67">
        <v>265.58999999999997</v>
      </c>
      <c r="E668" s="67">
        <v>301958</v>
      </c>
      <c r="F668" s="67" t="s">
        <v>1098</v>
      </c>
      <c r="G668" s="5">
        <f t="shared" si="12"/>
        <v>-1.3441771151022186E-2</v>
      </c>
    </row>
    <row r="669" spans="1:7">
      <c r="A669" s="67">
        <v>267.3</v>
      </c>
      <c r="B669" s="67">
        <v>269</v>
      </c>
      <c r="C669" s="67">
        <v>264.11</v>
      </c>
      <c r="D669" s="67">
        <v>265.3</v>
      </c>
      <c r="E669" s="67">
        <v>217682</v>
      </c>
      <c r="F669" s="67" t="s">
        <v>1099</v>
      </c>
      <c r="G669" s="5">
        <f t="shared" si="12"/>
        <v>7.5386355069733124E-3</v>
      </c>
    </row>
    <row r="670" spans="1:7">
      <c r="A670" s="67">
        <v>267.10000000000002</v>
      </c>
      <c r="B670" s="67">
        <v>268.49</v>
      </c>
      <c r="C670" s="67">
        <v>257.86</v>
      </c>
      <c r="D670" s="67">
        <v>258.66000000000003</v>
      </c>
      <c r="E670" s="67">
        <v>212836</v>
      </c>
      <c r="F670" s="67" t="s">
        <v>1100</v>
      </c>
      <c r="G670" s="5">
        <f t="shared" si="12"/>
        <v>3.2629706951210036E-2</v>
      </c>
    </row>
    <row r="671" spans="1:7">
      <c r="A671" s="67">
        <v>259.69</v>
      </c>
      <c r="B671" s="67">
        <v>261.69</v>
      </c>
      <c r="C671" s="67">
        <v>256.14</v>
      </c>
      <c r="D671" s="67">
        <v>257.88</v>
      </c>
      <c r="E671" s="67">
        <v>133447</v>
      </c>
      <c r="F671" s="67" t="s">
        <v>1101</v>
      </c>
      <c r="G671" s="5">
        <f t="shared" si="12"/>
        <v>7.0187684194198408E-3</v>
      </c>
    </row>
    <row r="672" spans="1:7">
      <c r="A672" s="67">
        <v>261.02</v>
      </c>
      <c r="B672" s="67">
        <v>266.15499999999997</v>
      </c>
      <c r="C672" s="67">
        <v>259.75</v>
      </c>
      <c r="D672" s="67">
        <v>260.86</v>
      </c>
      <c r="E672" s="67">
        <v>210772</v>
      </c>
      <c r="F672" s="67" t="s">
        <v>1102</v>
      </c>
      <c r="G672" s="5">
        <f t="shared" si="12"/>
        <v>6.1335582304677949E-4</v>
      </c>
    </row>
    <row r="673" spans="1:7">
      <c r="A673" s="67">
        <v>265.19</v>
      </c>
      <c r="B673" s="67">
        <v>266.63</v>
      </c>
      <c r="C673" s="67">
        <v>258</v>
      </c>
      <c r="D673" s="67">
        <v>258</v>
      </c>
      <c r="E673" s="67">
        <v>354017</v>
      </c>
      <c r="F673" s="67" t="s">
        <v>1103</v>
      </c>
      <c r="G673" s="5">
        <f t="shared" si="12"/>
        <v>2.7868217054263456E-2</v>
      </c>
    </row>
    <row r="674" spans="1:7">
      <c r="A674" s="67">
        <v>257.3</v>
      </c>
      <c r="B674" s="67">
        <v>257.76</v>
      </c>
      <c r="C674" s="67">
        <v>250.47</v>
      </c>
      <c r="D674" s="67">
        <v>251.55</v>
      </c>
      <c r="E674" s="67">
        <v>230903</v>
      </c>
      <c r="F674" s="67" t="s">
        <v>1104</v>
      </c>
      <c r="G674" s="5">
        <f t="shared" si="12"/>
        <v>2.2858278672232224E-2</v>
      </c>
    </row>
    <row r="675" spans="1:7">
      <c r="A675" s="67">
        <v>250.41</v>
      </c>
      <c r="B675" s="67">
        <v>252.49</v>
      </c>
      <c r="C675" s="67">
        <v>245.89</v>
      </c>
      <c r="D675" s="67">
        <v>250</v>
      </c>
      <c r="E675" s="67">
        <v>352846</v>
      </c>
      <c r="F675" s="67" t="s">
        <v>1105</v>
      </c>
      <c r="G675" s="5">
        <f t="shared" si="12"/>
        <v>1.6400000000000858E-3</v>
      </c>
    </row>
    <row r="676" spans="1:7">
      <c r="A676" s="67">
        <v>250</v>
      </c>
      <c r="B676" s="67">
        <v>252.17</v>
      </c>
      <c r="C676" s="67">
        <v>245.68</v>
      </c>
      <c r="D676" s="67">
        <v>248.81</v>
      </c>
      <c r="E676" s="67">
        <v>234386</v>
      </c>
      <c r="F676" s="67" t="s">
        <v>1106</v>
      </c>
      <c r="G676" s="5">
        <f t="shared" si="12"/>
        <v>4.782765965998248E-3</v>
      </c>
    </row>
    <row r="677" spans="1:7">
      <c r="A677" s="67">
        <v>250.44</v>
      </c>
      <c r="B677" s="67">
        <v>252.68</v>
      </c>
      <c r="C677" s="67">
        <v>242.05</v>
      </c>
      <c r="D677" s="67">
        <v>243.54</v>
      </c>
      <c r="E677" s="67">
        <v>268750</v>
      </c>
      <c r="F677" s="67" t="s">
        <v>1107</v>
      </c>
      <c r="G677" s="5">
        <f t="shared" si="12"/>
        <v>2.8332101502833273E-2</v>
      </c>
    </row>
    <row r="678" spans="1:7">
      <c r="A678" s="67">
        <v>244.58</v>
      </c>
      <c r="B678" s="67">
        <v>245.01</v>
      </c>
      <c r="C678" s="67">
        <v>237.14</v>
      </c>
      <c r="D678" s="67">
        <v>240.08</v>
      </c>
      <c r="E678" s="67">
        <v>251317</v>
      </c>
      <c r="F678" s="67" t="s">
        <v>1108</v>
      </c>
      <c r="G678" s="5">
        <f t="shared" si="12"/>
        <v>1.8743752082639009E-2</v>
      </c>
    </row>
    <row r="679" spans="1:7">
      <c r="A679" s="67">
        <v>238.86</v>
      </c>
      <c r="B679" s="67">
        <v>240.56</v>
      </c>
      <c r="C679" s="67">
        <v>233.5</v>
      </c>
      <c r="D679" s="67">
        <v>239.2</v>
      </c>
      <c r="E679" s="67">
        <v>319408</v>
      </c>
      <c r="F679" s="67" t="s">
        <v>1109</v>
      </c>
      <c r="G679" s="5">
        <f t="shared" si="12"/>
        <v>-1.4214046822741411E-3</v>
      </c>
    </row>
    <row r="680" spans="1:7">
      <c r="A680" s="67">
        <v>243.6</v>
      </c>
      <c r="B680" s="67">
        <v>253.22</v>
      </c>
      <c r="C680" s="67">
        <v>242.08</v>
      </c>
      <c r="D680" s="67">
        <v>247.21</v>
      </c>
      <c r="E680" s="67">
        <v>209939</v>
      </c>
      <c r="F680" s="67" t="s">
        <v>1110</v>
      </c>
      <c r="G680" s="5">
        <f t="shared" si="12"/>
        <v>-1.4602969135552812E-2</v>
      </c>
    </row>
    <row r="681" spans="1:7">
      <c r="A681" s="67">
        <v>250.63</v>
      </c>
      <c r="B681" s="67">
        <v>250.85</v>
      </c>
      <c r="C681" s="67">
        <v>245.27</v>
      </c>
      <c r="D681" s="67">
        <v>247.57</v>
      </c>
      <c r="E681" s="67">
        <v>308862</v>
      </c>
      <c r="F681" s="67" t="s">
        <v>1111</v>
      </c>
      <c r="G681" s="5">
        <f t="shared" si="12"/>
        <v>1.2360140566304523E-2</v>
      </c>
    </row>
    <row r="682" spans="1:7">
      <c r="A682" s="67">
        <v>248.34</v>
      </c>
      <c r="B682" s="67">
        <v>248.67</v>
      </c>
      <c r="C682" s="67">
        <v>239.03</v>
      </c>
      <c r="D682" s="67">
        <v>240.85</v>
      </c>
      <c r="E682" s="67">
        <v>335396</v>
      </c>
      <c r="F682" s="67" t="s">
        <v>1112</v>
      </c>
      <c r="G682" s="5">
        <f t="shared" si="12"/>
        <v>3.1098193896616166E-2</v>
      </c>
    </row>
    <row r="683" spans="1:7">
      <c r="A683" s="67">
        <v>239.66</v>
      </c>
      <c r="B683" s="67">
        <v>241.41</v>
      </c>
      <c r="C683" s="67">
        <v>235.88</v>
      </c>
      <c r="D683" s="67">
        <v>238.15</v>
      </c>
      <c r="E683" s="67">
        <v>274538</v>
      </c>
      <c r="F683" s="67" t="s">
        <v>1113</v>
      </c>
      <c r="G683" s="5">
        <f t="shared" si="12"/>
        <v>6.340541675414535E-3</v>
      </c>
    </row>
    <row r="684" spans="1:7">
      <c r="A684" s="67">
        <v>239.51</v>
      </c>
      <c r="B684" s="67">
        <v>246.005</v>
      </c>
      <c r="C684" s="67">
        <v>234.12</v>
      </c>
      <c r="D684" s="67">
        <v>234.73</v>
      </c>
      <c r="E684" s="67">
        <v>327631</v>
      </c>
      <c r="F684" s="67" t="s">
        <v>1114</v>
      </c>
      <c r="G684" s="5">
        <f t="shared" si="12"/>
        <v>2.0363822263877562E-2</v>
      </c>
    </row>
    <row r="685" spans="1:7">
      <c r="A685" s="67">
        <v>233.13</v>
      </c>
      <c r="B685" s="67">
        <v>237.61</v>
      </c>
      <c r="C685" s="67">
        <v>229.78</v>
      </c>
      <c r="D685" s="67">
        <v>232.18</v>
      </c>
      <c r="E685" s="67">
        <v>339320</v>
      </c>
      <c r="F685" s="67" t="s">
        <v>1115</v>
      </c>
      <c r="G685" s="5">
        <f t="shared" si="12"/>
        <v>4.0916530278232166E-3</v>
      </c>
    </row>
    <row r="686" spans="1:7">
      <c r="A686" s="67">
        <v>237.78</v>
      </c>
      <c r="B686" s="67">
        <v>240.4</v>
      </c>
      <c r="C686" s="67">
        <v>229.19</v>
      </c>
      <c r="D686" s="67">
        <v>229.19</v>
      </c>
      <c r="E686" s="67">
        <v>411480</v>
      </c>
      <c r="F686" s="67" t="s">
        <v>1116</v>
      </c>
      <c r="G686" s="5">
        <f t="shared" si="12"/>
        <v>3.7479820236484995E-2</v>
      </c>
    </row>
    <row r="687" spans="1:7">
      <c r="A687" s="67">
        <v>230.51</v>
      </c>
      <c r="B687" s="67">
        <v>231.15</v>
      </c>
      <c r="C687" s="67">
        <v>224.03</v>
      </c>
      <c r="D687" s="67">
        <v>226.89</v>
      </c>
      <c r="E687" s="67">
        <v>235916</v>
      </c>
      <c r="F687" s="67" t="s">
        <v>1117</v>
      </c>
      <c r="G687" s="5">
        <f t="shared" si="12"/>
        <v>1.5954867997708178E-2</v>
      </c>
    </row>
    <row r="688" spans="1:7">
      <c r="A688" s="67">
        <v>227.87</v>
      </c>
      <c r="B688" s="67">
        <v>233.61</v>
      </c>
      <c r="C688" s="67">
        <v>222.64</v>
      </c>
      <c r="D688" s="67">
        <v>232.87</v>
      </c>
      <c r="E688" s="67">
        <v>516798</v>
      </c>
      <c r="F688" s="67" t="s">
        <v>1118</v>
      </c>
      <c r="G688" s="5">
        <f t="shared" si="12"/>
        <v>-2.1471207111263824E-2</v>
      </c>
    </row>
    <row r="689" spans="1:7">
      <c r="A689" s="67">
        <v>232.1</v>
      </c>
      <c r="B689" s="67">
        <v>232.14</v>
      </c>
      <c r="C689" s="67">
        <v>223.05</v>
      </c>
      <c r="D689" s="67">
        <v>227.49</v>
      </c>
      <c r="E689" s="67">
        <v>415212</v>
      </c>
      <c r="F689" s="67" t="s">
        <v>1119</v>
      </c>
      <c r="G689" s="5">
        <f t="shared" si="12"/>
        <v>2.0264627016572057E-2</v>
      </c>
    </row>
    <row r="690" spans="1:7">
      <c r="A690" s="67">
        <v>226</v>
      </c>
      <c r="B690" s="67">
        <v>233.64</v>
      </c>
      <c r="C690" s="67">
        <v>222.5</v>
      </c>
      <c r="D690" s="67">
        <v>233.09</v>
      </c>
      <c r="E690" s="67">
        <v>604133</v>
      </c>
      <c r="F690" s="67" t="s">
        <v>1120</v>
      </c>
      <c r="G690" s="5">
        <f t="shared" ref="G690:G753" si="13">A690/D690-1</f>
        <v>-3.0417435325410747E-2</v>
      </c>
    </row>
    <row r="691" spans="1:7">
      <c r="A691" s="67">
        <v>230.45</v>
      </c>
      <c r="B691" s="67">
        <v>230.52500000000001</v>
      </c>
      <c r="C691" s="67">
        <v>218.55</v>
      </c>
      <c r="D691" s="67">
        <v>221.61</v>
      </c>
      <c r="E691" s="67">
        <v>222248</v>
      </c>
      <c r="F691" s="67" t="s">
        <v>1121</v>
      </c>
      <c r="G691" s="5">
        <f t="shared" si="13"/>
        <v>3.988989666531273E-2</v>
      </c>
    </row>
    <row r="692" spans="1:7">
      <c r="A692" s="67">
        <v>220.77</v>
      </c>
      <c r="B692" s="67">
        <v>226.07499999999999</v>
      </c>
      <c r="C692" s="67">
        <v>220.01</v>
      </c>
      <c r="D692" s="67">
        <v>223.86</v>
      </c>
      <c r="E692" s="67">
        <v>236906</v>
      </c>
      <c r="F692" s="67" t="s">
        <v>1122</v>
      </c>
      <c r="G692" s="5">
        <f t="shared" si="13"/>
        <v>-1.3803269900830917E-2</v>
      </c>
    </row>
    <row r="693" spans="1:7">
      <c r="A693" s="67">
        <v>224.65</v>
      </c>
      <c r="B693" s="67">
        <v>226.28</v>
      </c>
      <c r="C693" s="67">
        <v>218.89</v>
      </c>
      <c r="D693" s="67">
        <v>223.64</v>
      </c>
      <c r="E693" s="67">
        <v>312834</v>
      </c>
      <c r="F693" s="67" t="s">
        <v>1123</v>
      </c>
      <c r="G693" s="5">
        <f t="shared" si="13"/>
        <v>4.5161867286711566E-3</v>
      </c>
    </row>
    <row r="694" spans="1:7">
      <c r="A694" s="67">
        <v>221.2</v>
      </c>
      <c r="B694" s="67">
        <v>228.7</v>
      </c>
      <c r="C694" s="67">
        <v>218.69</v>
      </c>
      <c r="D694" s="67">
        <v>227.12</v>
      </c>
      <c r="E694" s="67">
        <v>278836</v>
      </c>
      <c r="F694" s="67" t="s">
        <v>1124</v>
      </c>
      <c r="G694" s="5">
        <f t="shared" si="13"/>
        <v>-2.6065516026770097E-2</v>
      </c>
    </row>
    <row r="695" spans="1:7">
      <c r="A695" s="67">
        <v>222.46</v>
      </c>
      <c r="B695" s="67">
        <v>222.99</v>
      </c>
      <c r="C695" s="67">
        <v>217.2</v>
      </c>
      <c r="D695" s="67">
        <v>219.38</v>
      </c>
      <c r="E695" s="67">
        <v>160468</v>
      </c>
      <c r="F695" s="67" t="s">
        <v>1125</v>
      </c>
      <c r="G695" s="5">
        <f t="shared" si="13"/>
        <v>1.4039566049776742E-2</v>
      </c>
    </row>
    <row r="696" spans="1:7">
      <c r="A696" s="67">
        <v>221.86</v>
      </c>
      <c r="B696" s="67">
        <v>224.68</v>
      </c>
      <c r="C696" s="67">
        <v>221.26840000000001</v>
      </c>
      <c r="D696" s="67">
        <v>222.59</v>
      </c>
      <c r="E696" s="67">
        <v>161372</v>
      </c>
      <c r="F696" s="67" t="s">
        <v>1126</v>
      </c>
      <c r="G696" s="5">
        <f t="shared" si="13"/>
        <v>-3.2795723078304917E-3</v>
      </c>
    </row>
    <row r="697" spans="1:7">
      <c r="A697" s="67">
        <v>220.14</v>
      </c>
      <c r="B697" s="67">
        <v>221.71</v>
      </c>
      <c r="C697" s="67">
        <v>216.32</v>
      </c>
      <c r="D697" s="67">
        <v>220.3</v>
      </c>
      <c r="E697" s="67">
        <v>153793</v>
      </c>
      <c r="F697" s="67" t="s">
        <v>1127</v>
      </c>
      <c r="G697" s="5">
        <f t="shared" si="13"/>
        <v>-7.2628234226068678E-4</v>
      </c>
    </row>
    <row r="698" spans="1:7">
      <c r="A698" s="67">
        <v>219.47</v>
      </c>
      <c r="B698" s="67">
        <v>222.01</v>
      </c>
      <c r="C698" s="67">
        <v>215.98500000000001</v>
      </c>
      <c r="D698" s="67">
        <v>218.83</v>
      </c>
      <c r="E698" s="67">
        <v>178928</v>
      </c>
      <c r="F698" s="67" t="s">
        <v>1128</v>
      </c>
      <c r="G698" s="5">
        <f t="shared" si="13"/>
        <v>2.9246447013662191E-3</v>
      </c>
    </row>
    <row r="699" spans="1:7">
      <c r="A699" s="67">
        <v>219.62</v>
      </c>
      <c r="B699" s="67">
        <v>223.03</v>
      </c>
      <c r="C699" s="67">
        <v>217.7</v>
      </c>
      <c r="D699" s="67">
        <v>223.03</v>
      </c>
      <c r="E699" s="67">
        <v>185855</v>
      </c>
      <c r="F699" s="67" t="s">
        <v>1129</v>
      </c>
      <c r="G699" s="5">
        <f t="shared" si="13"/>
        <v>-1.5289422947585507E-2</v>
      </c>
    </row>
    <row r="700" spans="1:7">
      <c r="A700" s="67">
        <v>223.53</v>
      </c>
      <c r="B700" s="67">
        <v>224.19499999999999</v>
      </c>
      <c r="C700" s="67">
        <v>218.34</v>
      </c>
      <c r="D700" s="67">
        <v>220.69</v>
      </c>
      <c r="E700" s="67">
        <v>249463</v>
      </c>
      <c r="F700" s="67" t="s">
        <v>1130</v>
      </c>
      <c r="G700" s="5">
        <f t="shared" si="13"/>
        <v>1.2868729892609565E-2</v>
      </c>
    </row>
    <row r="701" spans="1:7">
      <c r="A701" s="67">
        <v>220.95</v>
      </c>
      <c r="B701" s="67">
        <v>225.02</v>
      </c>
      <c r="C701" s="67">
        <v>218.73</v>
      </c>
      <c r="D701" s="67">
        <v>221.3</v>
      </c>
      <c r="E701" s="67">
        <v>203133</v>
      </c>
      <c r="F701" s="67" t="s">
        <v>1131</v>
      </c>
      <c r="G701" s="5">
        <f t="shared" si="13"/>
        <v>-1.5815634884772667E-3</v>
      </c>
    </row>
    <row r="702" spans="1:7">
      <c r="A702" s="67">
        <v>220.1</v>
      </c>
      <c r="B702" s="67">
        <v>223.57730000000001</v>
      </c>
      <c r="C702" s="67">
        <v>219.26</v>
      </c>
      <c r="D702" s="67">
        <v>220.07</v>
      </c>
      <c r="E702" s="67">
        <v>327939</v>
      </c>
      <c r="F702" s="67" t="s">
        <v>1132</v>
      </c>
      <c r="G702" s="5">
        <f t="shared" si="13"/>
        <v>1.3632026173482359E-4</v>
      </c>
    </row>
    <row r="703" spans="1:7">
      <c r="A703" s="67">
        <v>219.77</v>
      </c>
      <c r="B703" s="67">
        <v>222.78</v>
      </c>
      <c r="C703" s="67">
        <v>216.59</v>
      </c>
      <c r="D703" s="67">
        <v>221.15</v>
      </c>
      <c r="E703" s="67">
        <v>232687</v>
      </c>
      <c r="F703" s="67" t="s">
        <v>1133</v>
      </c>
      <c r="G703" s="5">
        <f t="shared" si="13"/>
        <v>-6.240108523626442E-3</v>
      </c>
    </row>
    <row r="704" spans="1:7">
      <c r="A704" s="67">
        <v>223.06</v>
      </c>
      <c r="B704" s="67">
        <v>223.75</v>
      </c>
      <c r="C704" s="67">
        <v>219.63</v>
      </c>
      <c r="D704" s="67">
        <v>221.88</v>
      </c>
      <c r="E704" s="67">
        <v>503164</v>
      </c>
      <c r="F704" s="67" t="s">
        <v>1134</v>
      </c>
      <c r="G704" s="5">
        <f t="shared" si="13"/>
        <v>5.3181900126195725E-3</v>
      </c>
    </row>
    <row r="705" spans="1:7">
      <c r="A705" s="67">
        <v>223.81</v>
      </c>
      <c r="B705" s="67">
        <v>225.34</v>
      </c>
      <c r="C705" s="67">
        <v>218.38149999999999</v>
      </c>
      <c r="D705" s="67">
        <v>221.45</v>
      </c>
      <c r="E705" s="67">
        <v>223925</v>
      </c>
      <c r="F705" s="67" t="s">
        <v>1135</v>
      </c>
      <c r="G705" s="5">
        <f t="shared" si="13"/>
        <v>1.0657033190336396E-2</v>
      </c>
    </row>
    <row r="706" spans="1:7">
      <c r="A706" s="67">
        <v>224.97</v>
      </c>
      <c r="B706" s="67">
        <v>233.26</v>
      </c>
      <c r="C706" s="67">
        <v>223.5</v>
      </c>
      <c r="D706" s="67">
        <v>223.77</v>
      </c>
      <c r="E706" s="67">
        <v>302278</v>
      </c>
      <c r="F706" s="67" t="s">
        <v>1136</v>
      </c>
      <c r="G706" s="5">
        <f t="shared" si="13"/>
        <v>5.3626491486793437E-3</v>
      </c>
    </row>
    <row r="707" spans="1:7">
      <c r="A707" s="67">
        <v>225.32</v>
      </c>
      <c r="B707" s="67">
        <v>227.46</v>
      </c>
      <c r="C707" s="67">
        <v>219.82499999999999</v>
      </c>
      <c r="D707" s="67">
        <v>224.76</v>
      </c>
      <c r="E707" s="67">
        <v>325600</v>
      </c>
      <c r="F707" s="67" t="s">
        <v>1137</v>
      </c>
      <c r="G707" s="5">
        <f t="shared" si="13"/>
        <v>2.4915465385300095E-3</v>
      </c>
    </row>
    <row r="708" spans="1:7">
      <c r="A708" s="67">
        <v>215.37</v>
      </c>
      <c r="B708" s="67">
        <v>222.23</v>
      </c>
      <c r="C708" s="67">
        <v>214.29</v>
      </c>
      <c r="D708" s="67">
        <v>218.31</v>
      </c>
      <c r="E708" s="67">
        <v>497750</v>
      </c>
      <c r="F708" s="67" t="s">
        <v>1138</v>
      </c>
      <c r="G708" s="5">
        <f t="shared" si="13"/>
        <v>-1.346708808574959E-2</v>
      </c>
    </row>
    <row r="709" spans="1:7">
      <c r="A709" s="67">
        <v>216.2</v>
      </c>
      <c r="B709" s="67">
        <v>230.94</v>
      </c>
      <c r="C709" s="67">
        <v>216.19</v>
      </c>
      <c r="D709" s="67">
        <v>227.2</v>
      </c>
      <c r="E709" s="67">
        <v>375640</v>
      </c>
      <c r="F709" s="67" t="s">
        <v>1139</v>
      </c>
      <c r="G709" s="5">
        <f t="shared" si="13"/>
        <v>-4.8415492957746498E-2</v>
      </c>
    </row>
    <row r="710" spans="1:7">
      <c r="A710" s="67">
        <v>228.27</v>
      </c>
      <c r="B710" s="67">
        <v>232.73500000000001</v>
      </c>
      <c r="C710" s="67">
        <v>218.28</v>
      </c>
      <c r="D710" s="67">
        <v>220.56</v>
      </c>
      <c r="E710" s="67">
        <v>727122</v>
      </c>
      <c r="F710" s="67" t="s">
        <v>1140</v>
      </c>
      <c r="G710" s="5">
        <f t="shared" si="13"/>
        <v>3.4956474428726958E-2</v>
      </c>
    </row>
    <row r="711" spans="1:7">
      <c r="A711" s="67">
        <v>220</v>
      </c>
      <c r="B711" s="67">
        <v>220.54</v>
      </c>
      <c r="C711" s="67">
        <v>215.32</v>
      </c>
      <c r="D711" s="67">
        <v>215.32</v>
      </c>
      <c r="E711" s="67">
        <v>514924</v>
      </c>
      <c r="F711" s="67" t="s">
        <v>1141</v>
      </c>
      <c r="G711" s="5">
        <f t="shared" si="13"/>
        <v>2.1735091956158303E-2</v>
      </c>
    </row>
    <row r="712" spans="1:7">
      <c r="A712" s="67">
        <v>216.01</v>
      </c>
      <c r="B712" s="67">
        <v>216.4</v>
      </c>
      <c r="C712" s="67">
        <v>208</v>
      </c>
      <c r="D712" s="67">
        <v>211.17</v>
      </c>
      <c r="E712" s="67">
        <v>610502</v>
      </c>
      <c r="F712" s="67" t="s">
        <v>1142</v>
      </c>
      <c r="G712" s="5">
        <f t="shared" si="13"/>
        <v>2.2919922337453214E-2</v>
      </c>
    </row>
    <row r="713" spans="1:7">
      <c r="A713" s="67">
        <v>212</v>
      </c>
      <c r="B713" s="67">
        <v>212.54</v>
      </c>
      <c r="C713" s="67">
        <v>206.11</v>
      </c>
      <c r="D713" s="67">
        <v>208.52</v>
      </c>
      <c r="E713" s="67">
        <v>842275</v>
      </c>
      <c r="F713" s="67" t="s">
        <v>1143</v>
      </c>
      <c r="G713" s="5">
        <f t="shared" si="13"/>
        <v>1.6689046614233538E-2</v>
      </c>
    </row>
    <row r="714" spans="1:7">
      <c r="A714" s="67">
        <v>210.85</v>
      </c>
      <c r="B714" s="67">
        <v>212.19</v>
      </c>
      <c r="C714" s="67">
        <v>206.11</v>
      </c>
      <c r="D714" s="67">
        <v>206.63</v>
      </c>
      <c r="E714" s="67">
        <v>259143</v>
      </c>
      <c r="F714" s="67" t="s">
        <v>1144</v>
      </c>
      <c r="G714" s="5">
        <f t="shared" si="13"/>
        <v>2.0422978270338232E-2</v>
      </c>
    </row>
    <row r="715" spans="1:7">
      <c r="A715" s="67">
        <v>210.11</v>
      </c>
      <c r="B715" s="67">
        <v>213.71</v>
      </c>
      <c r="C715" s="67">
        <v>207.33500000000001</v>
      </c>
      <c r="D715" s="67">
        <v>208.85</v>
      </c>
      <c r="E715" s="67">
        <v>237651</v>
      </c>
      <c r="F715" s="67" t="s">
        <v>1145</v>
      </c>
      <c r="G715" s="5">
        <f t="shared" si="13"/>
        <v>6.033038065597518E-3</v>
      </c>
    </row>
    <row r="716" spans="1:7">
      <c r="A716" s="67">
        <v>209.51</v>
      </c>
      <c r="B716" s="67">
        <v>209.54</v>
      </c>
      <c r="C716" s="67">
        <v>200.26</v>
      </c>
      <c r="D716" s="67">
        <v>200.99</v>
      </c>
      <c r="E716" s="67">
        <v>401711</v>
      </c>
      <c r="F716" s="67" t="s">
        <v>1146</v>
      </c>
      <c r="G716" s="5">
        <f t="shared" si="13"/>
        <v>4.2390168665107586E-2</v>
      </c>
    </row>
    <row r="717" spans="1:7">
      <c r="A717" s="67">
        <v>199.76</v>
      </c>
      <c r="B717" s="67">
        <v>203.86500000000001</v>
      </c>
      <c r="C717" s="67">
        <v>197.28</v>
      </c>
      <c r="D717" s="67">
        <v>199</v>
      </c>
      <c r="E717" s="67">
        <v>688985</v>
      </c>
      <c r="F717" s="67" t="s">
        <v>1147</v>
      </c>
      <c r="G717" s="5">
        <f t="shared" si="13"/>
        <v>3.8190954773869024E-3</v>
      </c>
    </row>
    <row r="718" spans="1:7">
      <c r="A718" s="67">
        <v>198.05</v>
      </c>
      <c r="B718" s="67">
        <v>198.11</v>
      </c>
      <c r="C718" s="67">
        <v>192.78</v>
      </c>
      <c r="D718" s="67">
        <v>193.84</v>
      </c>
      <c r="E718" s="67">
        <v>551552</v>
      </c>
      <c r="F718" s="67" t="s">
        <v>1148</v>
      </c>
      <c r="G718" s="5">
        <f t="shared" si="13"/>
        <v>2.1718943458522544E-2</v>
      </c>
    </row>
    <row r="719" spans="1:7">
      <c r="A719" s="67">
        <v>195.94</v>
      </c>
      <c r="B719" s="67">
        <v>197.7</v>
      </c>
      <c r="C719" s="67">
        <v>195.28</v>
      </c>
      <c r="D719" s="67">
        <v>195.61</v>
      </c>
      <c r="E719" s="67">
        <v>153460</v>
      </c>
      <c r="F719" s="67" t="s">
        <v>1149</v>
      </c>
      <c r="G719" s="5">
        <f t="shared" si="13"/>
        <v>1.6870303154234989E-3</v>
      </c>
    </row>
    <row r="720" spans="1:7">
      <c r="A720" s="67">
        <v>196.22</v>
      </c>
      <c r="B720" s="67">
        <v>196.36</v>
      </c>
      <c r="C720" s="67">
        <v>190.34</v>
      </c>
      <c r="D720" s="67">
        <v>192.72</v>
      </c>
      <c r="E720" s="67">
        <v>275239</v>
      </c>
      <c r="F720" s="67" t="s">
        <v>1150</v>
      </c>
      <c r="G720" s="5">
        <f t="shared" si="13"/>
        <v>1.8161062681610662E-2</v>
      </c>
    </row>
    <row r="721" spans="1:7">
      <c r="A721" s="67">
        <v>192.72</v>
      </c>
      <c r="B721" s="67">
        <v>193.5</v>
      </c>
      <c r="C721" s="67">
        <v>188.32</v>
      </c>
      <c r="D721" s="67">
        <v>192</v>
      </c>
      <c r="E721" s="67">
        <v>232086</v>
      </c>
      <c r="F721" s="67" t="s">
        <v>1151</v>
      </c>
      <c r="G721" s="5">
        <f t="shared" si="13"/>
        <v>3.7499999999999201E-3</v>
      </c>
    </row>
    <row r="722" spans="1:7">
      <c r="A722" s="67">
        <v>192.42</v>
      </c>
      <c r="B722" s="67">
        <v>193.44</v>
      </c>
      <c r="C722" s="67">
        <v>188.94</v>
      </c>
      <c r="D722" s="67">
        <v>189.05</v>
      </c>
      <c r="E722" s="67">
        <v>230814</v>
      </c>
      <c r="F722" s="67" t="s">
        <v>1152</v>
      </c>
      <c r="G722" s="5">
        <f t="shared" si="13"/>
        <v>1.7825971965088394E-2</v>
      </c>
    </row>
    <row r="723" spans="1:7">
      <c r="A723" s="67">
        <v>191.28</v>
      </c>
      <c r="B723" s="67">
        <v>195.49</v>
      </c>
      <c r="C723" s="67">
        <v>190.12</v>
      </c>
      <c r="D723" s="67">
        <v>195.49</v>
      </c>
      <c r="E723" s="67">
        <v>355615</v>
      </c>
      <c r="F723" s="67" t="s">
        <v>1153</v>
      </c>
      <c r="G723" s="5">
        <f t="shared" si="13"/>
        <v>-2.1535628420891184E-2</v>
      </c>
    </row>
    <row r="724" spans="1:7">
      <c r="A724" s="67">
        <v>193.18</v>
      </c>
      <c r="B724" s="67">
        <v>196.71</v>
      </c>
      <c r="C724" s="67">
        <v>190.59</v>
      </c>
      <c r="D724" s="67">
        <v>194</v>
      </c>
      <c r="E724" s="67">
        <v>214878</v>
      </c>
      <c r="F724" s="67" t="s">
        <v>1154</v>
      </c>
      <c r="G724" s="5">
        <f t="shared" si="13"/>
        <v>-4.2268041237113474E-3</v>
      </c>
    </row>
    <row r="725" spans="1:7">
      <c r="A725" s="67">
        <v>197.75</v>
      </c>
      <c r="B725" s="67">
        <v>198.57</v>
      </c>
      <c r="C725" s="67">
        <v>192.81</v>
      </c>
      <c r="D725" s="67">
        <v>193.8</v>
      </c>
      <c r="E725" s="67">
        <v>191544</v>
      </c>
      <c r="F725" s="67" t="s">
        <v>1155</v>
      </c>
      <c r="G725" s="5">
        <f t="shared" si="13"/>
        <v>2.0381836945304377E-2</v>
      </c>
    </row>
    <row r="726" spans="1:7">
      <c r="A726" s="67">
        <v>195.99</v>
      </c>
      <c r="B726" s="67">
        <v>199.78</v>
      </c>
      <c r="C726" s="67">
        <v>192.63</v>
      </c>
      <c r="D726" s="67">
        <v>197.94</v>
      </c>
      <c r="E726" s="67">
        <v>329981</v>
      </c>
      <c r="F726" s="67" t="s">
        <v>1156</v>
      </c>
      <c r="G726" s="5">
        <f t="shared" si="13"/>
        <v>-9.8514701424673445E-3</v>
      </c>
    </row>
    <row r="727" spans="1:7">
      <c r="A727" s="67">
        <v>193.48</v>
      </c>
      <c r="B727" s="67">
        <v>196.36</v>
      </c>
      <c r="C727" s="67">
        <v>192.12</v>
      </c>
      <c r="D727" s="67">
        <v>195.13</v>
      </c>
      <c r="E727" s="67">
        <v>301863</v>
      </c>
      <c r="F727" s="67" t="s">
        <v>1157</v>
      </c>
      <c r="G727" s="5">
        <f t="shared" si="13"/>
        <v>-8.4559011940757989E-3</v>
      </c>
    </row>
    <row r="728" spans="1:7">
      <c r="A728" s="67">
        <v>194.02</v>
      </c>
      <c r="B728" s="67">
        <v>201.53</v>
      </c>
      <c r="C728" s="67">
        <v>190.91</v>
      </c>
      <c r="D728" s="67">
        <v>190.91</v>
      </c>
      <c r="E728" s="67">
        <v>457211</v>
      </c>
      <c r="F728" s="67" t="s">
        <v>1158</v>
      </c>
      <c r="G728" s="5">
        <f t="shared" si="13"/>
        <v>1.6290398617149426E-2</v>
      </c>
    </row>
    <row r="729" spans="1:7">
      <c r="A729" s="67">
        <v>190.9</v>
      </c>
      <c r="B729" s="67">
        <v>194.97</v>
      </c>
      <c r="C729" s="67">
        <v>181.6</v>
      </c>
      <c r="D729" s="67">
        <v>181.6</v>
      </c>
      <c r="E729" s="67">
        <v>469872</v>
      </c>
      <c r="F729" s="67" t="s">
        <v>1159</v>
      </c>
      <c r="G729" s="5">
        <f t="shared" si="13"/>
        <v>5.1211453744493429E-2</v>
      </c>
    </row>
    <row r="730" spans="1:7">
      <c r="A730" s="67">
        <v>176</v>
      </c>
      <c r="B730" s="67">
        <v>179.79</v>
      </c>
      <c r="C730" s="67">
        <v>172.8672</v>
      </c>
      <c r="D730" s="67">
        <v>176.31</v>
      </c>
      <c r="E730" s="67">
        <v>408357</v>
      </c>
      <c r="F730" s="67" t="s">
        <v>1160</v>
      </c>
      <c r="G730" s="5">
        <f t="shared" si="13"/>
        <v>-1.7582666893539711E-3</v>
      </c>
    </row>
    <row r="731" spans="1:7">
      <c r="A731" s="67">
        <v>176.27</v>
      </c>
      <c r="B731" s="67">
        <v>176.94</v>
      </c>
      <c r="C731" s="67">
        <v>167.52</v>
      </c>
      <c r="D731" s="67">
        <v>176.41</v>
      </c>
      <c r="E731" s="67">
        <v>654490</v>
      </c>
      <c r="F731" s="67" t="s">
        <v>1161</v>
      </c>
      <c r="G731" s="5">
        <f t="shared" si="13"/>
        <v>-7.9360580465948072E-4</v>
      </c>
    </row>
    <row r="732" spans="1:7">
      <c r="A732" s="67">
        <v>178.16</v>
      </c>
      <c r="B732" s="67">
        <v>179.68</v>
      </c>
      <c r="C732" s="67">
        <v>163.68</v>
      </c>
      <c r="D732" s="67">
        <v>163.80000000000001</v>
      </c>
      <c r="E732" s="67">
        <v>643398</v>
      </c>
      <c r="F732" s="67" t="s">
        <v>1162</v>
      </c>
      <c r="G732" s="5">
        <f t="shared" si="13"/>
        <v>8.7667887667887578E-2</v>
      </c>
    </row>
    <row r="733" spans="1:7">
      <c r="A733" s="67">
        <v>162.03</v>
      </c>
      <c r="B733" s="67">
        <v>164.95</v>
      </c>
      <c r="C733" s="67">
        <v>144.76</v>
      </c>
      <c r="D733" s="67">
        <v>158.61000000000001</v>
      </c>
      <c r="E733" s="67">
        <v>1348070</v>
      </c>
      <c r="F733" s="67" t="s">
        <v>1163</v>
      </c>
      <c r="G733" s="5">
        <f t="shared" si="13"/>
        <v>2.1562322678267298E-2</v>
      </c>
    </row>
    <row r="734" spans="1:7">
      <c r="A734" s="67">
        <v>151.88</v>
      </c>
      <c r="B734" s="67">
        <v>156.065</v>
      </c>
      <c r="C734" s="67">
        <v>148.54499999999999</v>
      </c>
      <c r="D734" s="67">
        <v>154.94999999999999</v>
      </c>
      <c r="E734" s="67">
        <v>492561</v>
      </c>
      <c r="F734" s="67" t="s">
        <v>1164</v>
      </c>
      <c r="G734" s="5">
        <f t="shared" si="13"/>
        <v>-1.9812842852533041E-2</v>
      </c>
    </row>
    <row r="735" spans="1:7">
      <c r="A735" s="67">
        <v>157.38</v>
      </c>
      <c r="B735" s="67">
        <v>163.58000000000001</v>
      </c>
      <c r="C735" s="67">
        <v>156.93</v>
      </c>
      <c r="D735" s="67">
        <v>161.1</v>
      </c>
      <c r="E735" s="67">
        <v>489828</v>
      </c>
      <c r="F735" s="67" t="s">
        <v>1165</v>
      </c>
      <c r="G735" s="5">
        <f t="shared" si="13"/>
        <v>-2.3091247672253234E-2</v>
      </c>
    </row>
    <row r="736" spans="1:7">
      <c r="A736" s="67">
        <v>161.85</v>
      </c>
      <c r="B736" s="67">
        <v>175.71</v>
      </c>
      <c r="C736" s="67">
        <v>161.34</v>
      </c>
      <c r="D736" s="67">
        <v>174.83</v>
      </c>
      <c r="E736" s="67">
        <v>588414</v>
      </c>
      <c r="F736" s="67" t="s">
        <v>1166</v>
      </c>
      <c r="G736" s="5">
        <f t="shared" si="13"/>
        <v>-7.4243550877995834E-2</v>
      </c>
    </row>
    <row r="737" spans="1:7">
      <c r="A737" s="67">
        <v>171.47</v>
      </c>
      <c r="B737" s="67">
        <v>172.47</v>
      </c>
      <c r="C737" s="67">
        <v>167.65</v>
      </c>
      <c r="D737" s="67">
        <v>169.08</v>
      </c>
      <c r="E737" s="67">
        <v>294238</v>
      </c>
      <c r="F737" s="67" t="s">
        <v>1167</v>
      </c>
      <c r="G737" s="5">
        <f t="shared" si="13"/>
        <v>1.4135320558315456E-2</v>
      </c>
    </row>
    <row r="738" spans="1:7">
      <c r="A738" s="67">
        <v>169.48</v>
      </c>
      <c r="B738" s="67">
        <v>173.08</v>
      </c>
      <c r="C738" s="67">
        <v>167.13499999999999</v>
      </c>
      <c r="D738" s="67">
        <v>170.85</v>
      </c>
      <c r="E738" s="67">
        <v>440840</v>
      </c>
      <c r="F738" s="67" t="s">
        <v>1168</v>
      </c>
      <c r="G738" s="5">
        <f t="shared" si="13"/>
        <v>-8.0187298800117324E-3</v>
      </c>
    </row>
    <row r="739" spans="1:7">
      <c r="A739" s="67">
        <v>171.59</v>
      </c>
      <c r="B739" s="67">
        <v>179.24</v>
      </c>
      <c r="C739" s="67">
        <v>170.13499999999999</v>
      </c>
      <c r="D739" s="67">
        <v>177.5</v>
      </c>
      <c r="E739" s="67">
        <v>252558</v>
      </c>
      <c r="F739" s="67" t="s">
        <v>1169</v>
      </c>
      <c r="G739" s="5">
        <f t="shared" si="13"/>
        <v>-3.3295774647887355E-2</v>
      </c>
    </row>
    <row r="740" spans="1:7">
      <c r="A740" s="67">
        <v>176.82</v>
      </c>
      <c r="B740" s="67">
        <v>182.04</v>
      </c>
      <c r="C740" s="67">
        <v>175.57</v>
      </c>
      <c r="D740" s="67">
        <v>177.19</v>
      </c>
      <c r="E740" s="67">
        <v>313468</v>
      </c>
      <c r="F740" s="67" t="s">
        <v>1170</v>
      </c>
      <c r="G740" s="5">
        <f t="shared" si="13"/>
        <v>-2.0881539590270615E-3</v>
      </c>
    </row>
    <row r="741" spans="1:7">
      <c r="A741" s="67">
        <v>175.52</v>
      </c>
      <c r="B741" s="67">
        <v>177.19</v>
      </c>
      <c r="C741" s="67">
        <v>171.62</v>
      </c>
      <c r="D741" s="67">
        <v>172.22</v>
      </c>
      <c r="E741" s="67">
        <v>229648</v>
      </c>
      <c r="F741" s="67" t="s">
        <v>1171</v>
      </c>
      <c r="G741" s="5">
        <f t="shared" si="13"/>
        <v>1.9161537568226805E-2</v>
      </c>
    </row>
    <row r="742" spans="1:7">
      <c r="A742" s="67">
        <v>171.5</v>
      </c>
      <c r="B742" s="67">
        <v>172.88499999999999</v>
      </c>
      <c r="C742" s="67">
        <v>168.09</v>
      </c>
      <c r="D742" s="67">
        <v>172.41</v>
      </c>
      <c r="E742" s="67">
        <v>289245</v>
      </c>
      <c r="F742" s="67" t="s">
        <v>1172</v>
      </c>
      <c r="G742" s="5">
        <f t="shared" si="13"/>
        <v>-5.2781161185545544E-3</v>
      </c>
    </row>
    <row r="743" spans="1:7">
      <c r="A743" s="67">
        <v>171.23</v>
      </c>
      <c r="B743" s="67">
        <v>172.98</v>
      </c>
      <c r="C743" s="67">
        <v>165.995</v>
      </c>
      <c r="D743" s="67">
        <v>170.58</v>
      </c>
      <c r="E743" s="67">
        <v>405255</v>
      </c>
      <c r="F743" s="67" t="s">
        <v>1173</v>
      </c>
      <c r="G743" s="5">
        <f t="shared" si="13"/>
        <v>3.810528784148115E-3</v>
      </c>
    </row>
    <row r="744" spans="1:7">
      <c r="A744" s="67">
        <v>170.12</v>
      </c>
      <c r="B744" s="67">
        <v>177.745</v>
      </c>
      <c r="C744" s="67">
        <v>169.35</v>
      </c>
      <c r="D744" s="67">
        <v>174.29</v>
      </c>
      <c r="E744" s="67">
        <v>389121</v>
      </c>
      <c r="F744" s="67" t="s">
        <v>1174</v>
      </c>
      <c r="G744" s="5">
        <f t="shared" si="13"/>
        <v>-2.3925641172757972E-2</v>
      </c>
    </row>
    <row r="745" spans="1:7">
      <c r="A745" s="67">
        <v>175.16</v>
      </c>
      <c r="B745" s="67">
        <v>182.58</v>
      </c>
      <c r="C745" s="67">
        <v>171.14</v>
      </c>
      <c r="D745" s="67">
        <v>181.97</v>
      </c>
      <c r="E745" s="67">
        <v>420133</v>
      </c>
      <c r="F745" s="67" t="s">
        <v>1175</v>
      </c>
      <c r="G745" s="5">
        <f t="shared" si="13"/>
        <v>-3.7423751167774966E-2</v>
      </c>
    </row>
    <row r="746" spans="1:7">
      <c r="A746" s="67">
        <v>185.04</v>
      </c>
      <c r="B746" s="67">
        <v>192.89</v>
      </c>
      <c r="C746" s="67">
        <v>183.68</v>
      </c>
      <c r="D746" s="67">
        <v>189.85</v>
      </c>
      <c r="E746" s="67">
        <v>280835</v>
      </c>
      <c r="F746" s="67" t="s">
        <v>1176</v>
      </c>
      <c r="G746" s="5">
        <f t="shared" si="13"/>
        <v>-2.5335791414274444E-2</v>
      </c>
    </row>
    <row r="747" spans="1:7">
      <c r="A747" s="67">
        <v>183.67</v>
      </c>
      <c r="B747" s="67">
        <v>187.88</v>
      </c>
      <c r="C747" s="67">
        <v>182.23</v>
      </c>
      <c r="D747" s="67">
        <v>184.19</v>
      </c>
      <c r="E747" s="67">
        <v>165310</v>
      </c>
      <c r="F747" s="67" t="s">
        <v>1177</v>
      </c>
      <c r="G747" s="5">
        <f t="shared" si="13"/>
        <v>-2.8231717248493604E-3</v>
      </c>
    </row>
    <row r="748" spans="1:7">
      <c r="A748" s="67">
        <v>179.94</v>
      </c>
      <c r="B748" s="67">
        <v>187.82</v>
      </c>
      <c r="C748" s="67">
        <v>177.94</v>
      </c>
      <c r="D748" s="67">
        <v>187.61</v>
      </c>
      <c r="E748" s="67">
        <v>160354</v>
      </c>
      <c r="F748" s="67" t="s">
        <v>1178</v>
      </c>
      <c r="G748" s="5">
        <f t="shared" si="13"/>
        <v>-4.0882682159799622E-2</v>
      </c>
    </row>
    <row r="749" spans="1:7">
      <c r="A749" s="67">
        <v>185.58</v>
      </c>
      <c r="B749" s="67">
        <v>186.54499999999999</v>
      </c>
      <c r="C749" s="67">
        <v>175.91</v>
      </c>
      <c r="D749" s="67">
        <v>177.04</v>
      </c>
      <c r="E749" s="67">
        <v>167316</v>
      </c>
      <c r="F749" s="67" t="s">
        <v>1179</v>
      </c>
      <c r="G749" s="5">
        <f t="shared" si="13"/>
        <v>4.823768639855408E-2</v>
      </c>
    </row>
    <row r="750" spans="1:7">
      <c r="A750" s="67">
        <v>182.22</v>
      </c>
      <c r="B750" s="67">
        <v>182.72499999999999</v>
      </c>
      <c r="C750" s="67">
        <v>178.42</v>
      </c>
      <c r="D750" s="67">
        <v>182.28</v>
      </c>
      <c r="E750" s="67">
        <v>129727</v>
      </c>
      <c r="F750" s="67" t="s">
        <v>1180</v>
      </c>
      <c r="G750" s="5">
        <f t="shared" si="13"/>
        <v>-3.291639236340238E-4</v>
      </c>
    </row>
    <row r="751" spans="1:7">
      <c r="A751" s="67">
        <v>179.88</v>
      </c>
      <c r="B751" s="67">
        <v>183.95</v>
      </c>
      <c r="C751" s="67">
        <v>172.54</v>
      </c>
      <c r="D751" s="67">
        <v>180.09</v>
      </c>
      <c r="E751" s="67">
        <v>268481</v>
      </c>
      <c r="F751" s="67" t="s">
        <v>1181</v>
      </c>
      <c r="G751" s="5">
        <f t="shared" si="13"/>
        <v>-1.1660836248542639E-3</v>
      </c>
    </row>
    <row r="752" spans="1:7">
      <c r="A752" s="67">
        <v>180.52</v>
      </c>
      <c r="B752" s="67">
        <v>182.4</v>
      </c>
      <c r="C752" s="67">
        <v>176</v>
      </c>
      <c r="D752" s="67">
        <v>182.4</v>
      </c>
      <c r="E752" s="67">
        <v>266708</v>
      </c>
      <c r="F752" s="67" t="s">
        <v>1182</v>
      </c>
      <c r="G752" s="5">
        <f t="shared" si="13"/>
        <v>-1.0307017543859653E-2</v>
      </c>
    </row>
    <row r="753" spans="1:7">
      <c r="A753" s="67">
        <v>181.26</v>
      </c>
      <c r="B753" s="67">
        <v>191.41</v>
      </c>
      <c r="C753" s="67">
        <v>180.17</v>
      </c>
      <c r="D753" s="67">
        <v>190.41</v>
      </c>
      <c r="E753" s="67">
        <v>256358</v>
      </c>
      <c r="F753" s="67" t="s">
        <v>1183</v>
      </c>
      <c r="G753" s="5">
        <f t="shared" si="13"/>
        <v>-4.8054198834094897E-2</v>
      </c>
    </row>
    <row r="754" spans="1:7">
      <c r="A754" s="67">
        <v>194.66</v>
      </c>
      <c r="B754" s="67">
        <v>198.26499999999999</v>
      </c>
      <c r="C754" s="67">
        <v>194.23</v>
      </c>
      <c r="D754" s="67">
        <v>195.64</v>
      </c>
      <c r="E754" s="67">
        <v>250902</v>
      </c>
      <c r="F754" s="67" t="s">
        <v>1184</v>
      </c>
      <c r="G754" s="5">
        <f t="shared" ref="G754:G817" si="14">A754/D754-1</f>
        <v>-5.0092005724799993E-3</v>
      </c>
    </row>
    <row r="755" spans="1:7">
      <c r="A755" s="67">
        <v>196.23</v>
      </c>
      <c r="B755" s="67">
        <v>197.95</v>
      </c>
      <c r="C755" s="67">
        <v>191.2</v>
      </c>
      <c r="D755" s="67">
        <v>194.12</v>
      </c>
      <c r="E755" s="67">
        <v>267144</v>
      </c>
      <c r="F755" s="67" t="s">
        <v>1185</v>
      </c>
      <c r="G755" s="5">
        <f t="shared" si="14"/>
        <v>1.0869565217391131E-2</v>
      </c>
    </row>
    <row r="756" spans="1:7">
      <c r="A756" s="67">
        <v>200.92</v>
      </c>
      <c r="B756" s="67">
        <v>203.81</v>
      </c>
      <c r="C756" s="67">
        <v>198.95</v>
      </c>
      <c r="D756" s="67">
        <v>198.95</v>
      </c>
      <c r="E756" s="67">
        <v>231605</v>
      </c>
      <c r="F756" s="67" t="s">
        <v>1186</v>
      </c>
      <c r="G756" s="5">
        <f t="shared" si="14"/>
        <v>9.901985423473203E-3</v>
      </c>
    </row>
    <row r="757" spans="1:7">
      <c r="A757" s="67">
        <v>195.57</v>
      </c>
      <c r="B757" s="67">
        <v>196.33</v>
      </c>
      <c r="C757" s="67">
        <v>187.87</v>
      </c>
      <c r="D757" s="67">
        <v>191.2</v>
      </c>
      <c r="E757" s="67">
        <v>207765</v>
      </c>
      <c r="F757" s="67" t="s">
        <v>1187</v>
      </c>
      <c r="G757" s="5">
        <f t="shared" si="14"/>
        <v>2.2855648535564876E-2</v>
      </c>
    </row>
    <row r="758" spans="1:7">
      <c r="A758" s="67">
        <v>189.6</v>
      </c>
      <c r="B758" s="67">
        <v>198.65</v>
      </c>
      <c r="C758" s="67">
        <v>189.39</v>
      </c>
      <c r="D758" s="67">
        <v>192.82</v>
      </c>
      <c r="E758" s="67">
        <v>266049</v>
      </c>
      <c r="F758" s="67" t="s">
        <v>1188</v>
      </c>
      <c r="G758" s="5">
        <f t="shared" si="14"/>
        <v>-1.6699512498703495E-2</v>
      </c>
    </row>
    <row r="759" spans="1:7">
      <c r="A759" s="67">
        <v>191.82</v>
      </c>
      <c r="B759" s="67">
        <v>193.35</v>
      </c>
      <c r="C759" s="67">
        <v>187.95</v>
      </c>
      <c r="D759" s="67">
        <v>191</v>
      </c>
      <c r="E759" s="67">
        <v>245309</v>
      </c>
      <c r="F759" s="67" t="s">
        <v>1189</v>
      </c>
      <c r="G759" s="5">
        <f t="shared" si="14"/>
        <v>4.2931937172774326E-3</v>
      </c>
    </row>
    <row r="760" spans="1:7">
      <c r="A760" s="67">
        <v>193.23</v>
      </c>
      <c r="B760" s="67">
        <v>194.21</v>
      </c>
      <c r="C760" s="67">
        <v>184.9</v>
      </c>
      <c r="D760" s="67">
        <v>184.9</v>
      </c>
      <c r="E760" s="67">
        <v>269651</v>
      </c>
      <c r="F760" s="67" t="s">
        <v>1190</v>
      </c>
      <c r="G760" s="5">
        <f t="shared" si="14"/>
        <v>4.505137912385071E-2</v>
      </c>
    </row>
    <row r="761" spans="1:7">
      <c r="A761" s="67">
        <v>184.24</v>
      </c>
      <c r="B761" s="67">
        <v>188.8</v>
      </c>
      <c r="C761" s="67">
        <v>179.34</v>
      </c>
      <c r="D761" s="67">
        <v>185.73</v>
      </c>
      <c r="E761" s="67">
        <v>234515</v>
      </c>
      <c r="F761" s="67" t="s">
        <v>1191</v>
      </c>
      <c r="G761" s="5">
        <f t="shared" si="14"/>
        <v>-8.0223981047756743E-3</v>
      </c>
    </row>
    <row r="762" spans="1:7">
      <c r="A762" s="67">
        <v>182.52</v>
      </c>
      <c r="B762" s="67">
        <v>186.33</v>
      </c>
      <c r="C762" s="67">
        <v>181.09</v>
      </c>
      <c r="D762" s="67">
        <v>183.44</v>
      </c>
      <c r="E762" s="67">
        <v>259989</v>
      </c>
      <c r="F762" s="67" t="s">
        <v>1192</v>
      </c>
      <c r="G762" s="5">
        <f t="shared" si="14"/>
        <v>-5.0152638464892041E-3</v>
      </c>
    </row>
    <row r="763" spans="1:7">
      <c r="A763" s="67">
        <v>184.94</v>
      </c>
      <c r="B763" s="67">
        <v>186.2</v>
      </c>
      <c r="C763" s="67">
        <v>177.12</v>
      </c>
      <c r="D763" s="67">
        <v>179.2</v>
      </c>
      <c r="E763" s="67">
        <v>448413</v>
      </c>
      <c r="F763" s="67" t="s">
        <v>1193</v>
      </c>
      <c r="G763" s="5">
        <f t="shared" si="14"/>
        <v>3.2031249999999956E-2</v>
      </c>
    </row>
    <row r="764" spans="1:7">
      <c r="A764" s="67">
        <v>180.39</v>
      </c>
      <c r="B764" s="67">
        <v>185.23</v>
      </c>
      <c r="C764" s="67">
        <v>179.92500000000001</v>
      </c>
      <c r="D764" s="67">
        <v>185.23</v>
      </c>
      <c r="E764" s="67">
        <v>218219</v>
      </c>
      <c r="F764" s="67" t="s">
        <v>1194</v>
      </c>
      <c r="G764" s="5">
        <f t="shared" si="14"/>
        <v>-2.612967661825838E-2</v>
      </c>
    </row>
    <row r="765" spans="1:7">
      <c r="A765" s="67">
        <v>186.02</v>
      </c>
      <c r="B765" s="67">
        <v>193.38</v>
      </c>
      <c r="C765" s="67">
        <v>186.01</v>
      </c>
      <c r="D765" s="67">
        <v>193.38</v>
      </c>
      <c r="E765" s="67">
        <v>205900</v>
      </c>
      <c r="F765" s="67" t="s">
        <v>1195</v>
      </c>
      <c r="G765" s="5">
        <f t="shared" si="14"/>
        <v>-3.8059778674113032E-2</v>
      </c>
    </row>
    <row r="766" spans="1:7">
      <c r="A766" s="67">
        <v>191.95</v>
      </c>
      <c r="B766" s="67">
        <v>195.22</v>
      </c>
      <c r="C766" s="67">
        <v>189.13</v>
      </c>
      <c r="D766" s="67">
        <v>192.91</v>
      </c>
      <c r="E766" s="67">
        <v>220681</v>
      </c>
      <c r="F766" s="67" t="s">
        <v>1196</v>
      </c>
      <c r="G766" s="5">
        <f t="shared" si="14"/>
        <v>-4.9764138717537376E-3</v>
      </c>
    </row>
    <row r="767" spans="1:7">
      <c r="A767" s="67">
        <v>194.45</v>
      </c>
      <c r="B767" s="67">
        <v>195.34</v>
      </c>
      <c r="C767" s="67">
        <v>188.13499999999999</v>
      </c>
      <c r="D767" s="67">
        <v>193.82</v>
      </c>
      <c r="E767" s="67">
        <v>259234</v>
      </c>
      <c r="F767" s="67" t="s">
        <v>1197</v>
      </c>
      <c r="G767" s="5">
        <f t="shared" si="14"/>
        <v>3.2504385512330813E-3</v>
      </c>
    </row>
    <row r="768" spans="1:7">
      <c r="A768" s="67">
        <v>195.55</v>
      </c>
      <c r="B768" s="67">
        <v>198.85</v>
      </c>
      <c r="C768" s="67">
        <v>194.02</v>
      </c>
      <c r="D768" s="67">
        <v>198.85</v>
      </c>
      <c r="E768" s="67">
        <v>651465</v>
      </c>
      <c r="F768" s="67" t="s">
        <v>1198</v>
      </c>
      <c r="G768" s="5">
        <f t="shared" si="14"/>
        <v>-1.6595423686195487E-2</v>
      </c>
    </row>
    <row r="769" spans="1:7">
      <c r="A769" s="67">
        <v>202.64</v>
      </c>
      <c r="B769" s="67">
        <v>205.24</v>
      </c>
      <c r="C769" s="67">
        <v>198.15</v>
      </c>
      <c r="D769" s="67">
        <v>198.15</v>
      </c>
      <c r="E769" s="67">
        <v>219604</v>
      </c>
      <c r="F769" s="67" t="s">
        <v>1199</v>
      </c>
      <c r="G769" s="5">
        <f t="shared" si="14"/>
        <v>2.2659601312137179E-2</v>
      </c>
    </row>
    <row r="770" spans="1:7">
      <c r="A770" s="67">
        <v>200.24</v>
      </c>
      <c r="B770" s="67">
        <v>202.43</v>
      </c>
      <c r="C770" s="67">
        <v>196.6474</v>
      </c>
      <c r="D770" s="67">
        <v>198.61</v>
      </c>
      <c r="E770" s="67">
        <v>230325</v>
      </c>
      <c r="F770" s="67" t="s">
        <v>1200</v>
      </c>
      <c r="G770" s="5">
        <f t="shared" si="14"/>
        <v>8.2070389204973448E-3</v>
      </c>
    </row>
    <row r="771" spans="1:7">
      <c r="A771" s="67">
        <v>199.65</v>
      </c>
      <c r="B771" s="67">
        <v>203.13499999999999</v>
      </c>
      <c r="C771" s="67">
        <v>194.45</v>
      </c>
      <c r="D771" s="67">
        <v>198.02</v>
      </c>
      <c r="E771" s="67">
        <v>362791</v>
      </c>
      <c r="F771" s="67" t="s">
        <v>1201</v>
      </c>
      <c r="G771" s="5">
        <f t="shared" si="14"/>
        <v>8.2314917685082367E-3</v>
      </c>
    </row>
    <row r="772" spans="1:7">
      <c r="A772" s="67">
        <v>200.86</v>
      </c>
      <c r="B772" s="67">
        <v>205.88</v>
      </c>
      <c r="C772" s="67">
        <v>199.05</v>
      </c>
      <c r="D772" s="67">
        <v>204.48</v>
      </c>
      <c r="E772" s="67">
        <v>401154</v>
      </c>
      <c r="F772" s="67" t="s">
        <v>1202</v>
      </c>
      <c r="G772" s="5">
        <f t="shared" si="14"/>
        <v>-1.7703442879499098E-2</v>
      </c>
    </row>
    <row r="773" spans="1:7">
      <c r="A773" s="67">
        <v>205.88</v>
      </c>
      <c r="B773" s="67">
        <v>211.48</v>
      </c>
      <c r="C773" s="67">
        <v>200.01</v>
      </c>
      <c r="D773" s="67">
        <v>200.41</v>
      </c>
      <c r="E773" s="67">
        <v>824166</v>
      </c>
      <c r="F773" s="67" t="s">
        <v>1203</v>
      </c>
      <c r="G773" s="5">
        <f t="shared" si="14"/>
        <v>2.7294047203233474E-2</v>
      </c>
    </row>
    <row r="774" spans="1:7">
      <c r="A774" s="67">
        <v>197.49</v>
      </c>
      <c r="B774" s="67">
        <v>203.26</v>
      </c>
      <c r="C774" s="67">
        <v>183</v>
      </c>
      <c r="D774" s="67">
        <v>183.99</v>
      </c>
      <c r="E774" s="67">
        <v>1069015</v>
      </c>
      <c r="F774" s="67" t="s">
        <v>1204</v>
      </c>
      <c r="G774" s="5">
        <f t="shared" si="14"/>
        <v>7.3373552910484197E-2</v>
      </c>
    </row>
    <row r="775" spans="1:7">
      <c r="A775" s="67">
        <v>185.9</v>
      </c>
      <c r="B775" s="67">
        <v>188.43</v>
      </c>
      <c r="C775" s="67">
        <v>162.86500000000001</v>
      </c>
      <c r="D775" s="67">
        <v>164.28</v>
      </c>
      <c r="E775" s="67">
        <v>834292</v>
      </c>
      <c r="F775" s="67" t="s">
        <v>1205</v>
      </c>
      <c r="G775" s="5">
        <f t="shared" si="14"/>
        <v>0.13160457755052346</v>
      </c>
    </row>
    <row r="776" spans="1:7">
      <c r="A776" s="67">
        <v>164.25</v>
      </c>
      <c r="B776" s="67">
        <v>167.41</v>
      </c>
      <c r="C776" s="67">
        <v>162.38</v>
      </c>
      <c r="D776" s="67">
        <v>166.08</v>
      </c>
      <c r="E776" s="67">
        <v>295703</v>
      </c>
      <c r="F776" s="67" t="s">
        <v>1206</v>
      </c>
      <c r="G776" s="5">
        <f t="shared" si="14"/>
        <v>-1.1018786127167668E-2</v>
      </c>
    </row>
    <row r="777" spans="1:7">
      <c r="A777" s="67">
        <v>165.03</v>
      </c>
      <c r="B777" s="67">
        <v>170.26</v>
      </c>
      <c r="C777" s="67">
        <v>163.52000000000001</v>
      </c>
      <c r="D777" s="67">
        <v>167.67</v>
      </c>
      <c r="E777" s="67">
        <v>388898</v>
      </c>
      <c r="F777" s="67" t="s">
        <v>1207</v>
      </c>
      <c r="G777" s="5">
        <f t="shared" si="14"/>
        <v>-1.5745213812846548E-2</v>
      </c>
    </row>
    <row r="778" spans="1:7">
      <c r="A778" s="67">
        <v>166.26</v>
      </c>
      <c r="B778" s="67">
        <v>166.77</v>
      </c>
      <c r="C778" s="67">
        <v>159.155</v>
      </c>
      <c r="D778" s="67">
        <v>162.16999999999999</v>
      </c>
      <c r="E778" s="67">
        <v>435894</v>
      </c>
      <c r="F778" s="67" t="s">
        <v>1208</v>
      </c>
      <c r="G778" s="5">
        <f t="shared" si="14"/>
        <v>2.5220447678362179E-2</v>
      </c>
    </row>
    <row r="779" spans="1:7">
      <c r="A779" s="67">
        <v>164.17</v>
      </c>
      <c r="B779" s="67">
        <v>168.25370000000001</v>
      </c>
      <c r="C779" s="67">
        <v>161.56</v>
      </c>
      <c r="D779" s="67">
        <v>164.46</v>
      </c>
      <c r="E779" s="67">
        <v>338422</v>
      </c>
      <c r="F779" s="67" t="s">
        <v>1209</v>
      </c>
      <c r="G779" s="5">
        <f t="shared" si="14"/>
        <v>-1.7633467104464229E-3</v>
      </c>
    </row>
    <row r="780" spans="1:7">
      <c r="A780" s="67">
        <v>161.76</v>
      </c>
      <c r="B780" s="67">
        <v>165.06</v>
      </c>
      <c r="C780" s="67">
        <v>159.24680000000001</v>
      </c>
      <c r="D780" s="67">
        <v>163.47999999999999</v>
      </c>
      <c r="E780" s="67">
        <v>258562</v>
      </c>
      <c r="F780" s="67" t="s">
        <v>1210</v>
      </c>
      <c r="G780" s="5">
        <f t="shared" si="14"/>
        <v>-1.0521164668460981E-2</v>
      </c>
    </row>
    <row r="781" spans="1:7">
      <c r="A781" s="67">
        <v>161.88</v>
      </c>
      <c r="B781" s="67">
        <v>164.51499999999999</v>
      </c>
      <c r="C781" s="67">
        <v>160.47</v>
      </c>
      <c r="D781" s="67">
        <v>163.34</v>
      </c>
      <c r="E781" s="67">
        <v>263596</v>
      </c>
      <c r="F781" s="67" t="s">
        <v>1211</v>
      </c>
      <c r="G781" s="5">
        <f t="shared" si="14"/>
        <v>-8.938410677115316E-3</v>
      </c>
    </row>
    <row r="782" spans="1:7">
      <c r="A782" s="67">
        <v>165.87</v>
      </c>
      <c r="B782" s="67">
        <v>170.78</v>
      </c>
      <c r="C782" s="67">
        <v>164.04</v>
      </c>
      <c r="D782" s="67">
        <v>168.91</v>
      </c>
      <c r="E782" s="67">
        <v>473643</v>
      </c>
      <c r="F782" s="67" t="s">
        <v>1212</v>
      </c>
      <c r="G782" s="5">
        <f t="shared" si="14"/>
        <v>-1.7997750281214753E-2</v>
      </c>
    </row>
    <row r="783" spans="1:7">
      <c r="A783" s="67">
        <v>169.08</v>
      </c>
      <c r="B783" s="67">
        <v>169.18</v>
      </c>
      <c r="C783" s="67">
        <v>161.54</v>
      </c>
      <c r="D783" s="67">
        <v>162.85</v>
      </c>
      <c r="E783" s="67">
        <v>232488</v>
      </c>
      <c r="F783" s="67" t="s">
        <v>1213</v>
      </c>
      <c r="G783" s="5">
        <f t="shared" si="14"/>
        <v>3.8256063862450285E-2</v>
      </c>
    </row>
    <row r="784" spans="1:7">
      <c r="A784" s="67">
        <v>161.22</v>
      </c>
      <c r="B784" s="67">
        <v>162.53</v>
      </c>
      <c r="C784" s="67">
        <v>158.59</v>
      </c>
      <c r="D784" s="67">
        <v>158.59</v>
      </c>
      <c r="E784" s="67">
        <v>238661</v>
      </c>
      <c r="F784" s="67" t="s">
        <v>1214</v>
      </c>
      <c r="G784" s="5">
        <f t="shared" si="14"/>
        <v>1.6583643357084288E-2</v>
      </c>
    </row>
    <row r="785" spans="1:7">
      <c r="A785" s="67">
        <v>157.36000000000001</v>
      </c>
      <c r="B785" s="67">
        <v>157.82</v>
      </c>
      <c r="C785" s="67">
        <v>153.93</v>
      </c>
      <c r="D785" s="67">
        <v>157.79</v>
      </c>
      <c r="E785" s="67">
        <v>192147</v>
      </c>
      <c r="F785" s="67" t="s">
        <v>1215</v>
      </c>
      <c r="G785" s="5">
        <f t="shared" si="14"/>
        <v>-2.7251410102032692E-3</v>
      </c>
    </row>
    <row r="786" spans="1:7">
      <c r="A786" s="67">
        <v>157.33000000000001</v>
      </c>
      <c r="B786" s="67">
        <v>161</v>
      </c>
      <c r="C786" s="67">
        <v>155.99</v>
      </c>
      <c r="D786" s="67">
        <v>159.53</v>
      </c>
      <c r="E786" s="67">
        <v>186791</v>
      </c>
      <c r="F786" s="67" t="s">
        <v>1216</v>
      </c>
      <c r="G786" s="5">
        <f t="shared" si="14"/>
        <v>-1.3790509622014557E-2</v>
      </c>
    </row>
    <row r="787" spans="1:7">
      <c r="A787" s="67">
        <v>162.47</v>
      </c>
      <c r="B787" s="67">
        <v>165.99</v>
      </c>
      <c r="C787" s="67">
        <v>160.61000000000001</v>
      </c>
      <c r="D787" s="67">
        <v>165.95</v>
      </c>
      <c r="E787" s="67">
        <v>240110</v>
      </c>
      <c r="F787" s="67" t="s">
        <v>1217</v>
      </c>
      <c r="G787" s="5">
        <f t="shared" si="14"/>
        <v>-2.0970171738475374E-2</v>
      </c>
    </row>
    <row r="788" spans="1:7">
      <c r="A788" s="67">
        <v>167.19</v>
      </c>
      <c r="B788" s="67">
        <v>168.21</v>
      </c>
      <c r="C788" s="67">
        <v>165</v>
      </c>
      <c r="D788" s="67">
        <v>168.21</v>
      </c>
      <c r="E788" s="67">
        <v>165915</v>
      </c>
      <c r="F788" s="67" t="s">
        <v>1218</v>
      </c>
      <c r="G788" s="5">
        <f t="shared" si="14"/>
        <v>-6.0638487604780522E-3</v>
      </c>
    </row>
    <row r="789" spans="1:7">
      <c r="A789" s="67">
        <v>168.2</v>
      </c>
      <c r="B789" s="67">
        <v>169.6</v>
      </c>
      <c r="C789" s="67">
        <v>165.01</v>
      </c>
      <c r="D789" s="67">
        <v>168.05</v>
      </c>
      <c r="E789" s="67">
        <v>217726</v>
      </c>
      <c r="F789" s="67" t="s">
        <v>1219</v>
      </c>
      <c r="G789" s="5">
        <f t="shared" si="14"/>
        <v>8.9259149062770327E-4</v>
      </c>
    </row>
    <row r="790" spans="1:7">
      <c r="A790" s="67">
        <v>169.72</v>
      </c>
      <c r="B790" s="67">
        <v>172.73</v>
      </c>
      <c r="C790" s="67">
        <v>167.73</v>
      </c>
      <c r="D790" s="67">
        <v>172.55</v>
      </c>
      <c r="E790" s="67">
        <v>251434</v>
      </c>
      <c r="F790" s="67" t="s">
        <v>1220</v>
      </c>
      <c r="G790" s="5">
        <f t="shared" si="14"/>
        <v>-1.6401043175891084E-2</v>
      </c>
    </row>
    <row r="791" spans="1:7">
      <c r="A791" s="67">
        <v>174.69</v>
      </c>
      <c r="B791" s="67">
        <v>175.21</v>
      </c>
      <c r="C791" s="67">
        <v>170.51</v>
      </c>
      <c r="D791" s="67">
        <v>171.29</v>
      </c>
      <c r="E791" s="67">
        <v>173698</v>
      </c>
      <c r="F791" s="67" t="s">
        <v>1221</v>
      </c>
      <c r="G791" s="5">
        <f t="shared" si="14"/>
        <v>1.9849378247416727E-2</v>
      </c>
    </row>
    <row r="792" spans="1:7">
      <c r="A792" s="67">
        <v>172.02</v>
      </c>
      <c r="B792" s="67">
        <v>173.42</v>
      </c>
      <c r="C792" s="67">
        <v>169.35</v>
      </c>
      <c r="D792" s="67">
        <v>171.42</v>
      </c>
      <c r="E792" s="67">
        <v>193865</v>
      </c>
      <c r="F792" s="67" t="s">
        <v>1222</v>
      </c>
      <c r="G792" s="5">
        <f t="shared" si="14"/>
        <v>3.5001750087506611E-3</v>
      </c>
    </row>
    <row r="793" spans="1:7">
      <c r="A793" s="67">
        <v>169.85</v>
      </c>
      <c r="B793" s="67">
        <v>176.8</v>
      </c>
      <c r="C793" s="67">
        <v>168.7</v>
      </c>
      <c r="D793" s="67">
        <v>174</v>
      </c>
      <c r="E793" s="67">
        <v>307557</v>
      </c>
      <c r="F793" s="67" t="s">
        <v>1223</v>
      </c>
      <c r="G793" s="5">
        <f t="shared" si="14"/>
        <v>-2.3850574712643735E-2</v>
      </c>
    </row>
    <row r="794" spans="1:7">
      <c r="A794" s="67">
        <v>173.06</v>
      </c>
      <c r="B794" s="67">
        <v>173.52</v>
      </c>
      <c r="C794" s="67">
        <v>161.09</v>
      </c>
      <c r="D794" s="67">
        <v>162.13999999999999</v>
      </c>
      <c r="E794" s="67">
        <v>395060</v>
      </c>
      <c r="F794" s="67" t="s">
        <v>1224</v>
      </c>
      <c r="G794" s="5">
        <f t="shared" si="14"/>
        <v>6.7349204391266904E-2</v>
      </c>
    </row>
    <row r="795" spans="1:7">
      <c r="A795" s="67">
        <v>159.47</v>
      </c>
      <c r="B795" s="67">
        <v>166.13</v>
      </c>
      <c r="C795" s="67">
        <v>159.34</v>
      </c>
      <c r="D795" s="67">
        <v>166.13</v>
      </c>
      <c r="E795" s="67">
        <v>583035</v>
      </c>
      <c r="F795" s="67" t="s">
        <v>1225</v>
      </c>
      <c r="G795" s="5">
        <f t="shared" si="14"/>
        <v>-4.008908685968815E-2</v>
      </c>
    </row>
    <row r="796" spans="1:7">
      <c r="A796" s="67">
        <v>169.1</v>
      </c>
      <c r="B796" s="67">
        <v>173.23</v>
      </c>
      <c r="C796" s="67">
        <v>164.77</v>
      </c>
      <c r="D796" s="67">
        <v>165.42</v>
      </c>
      <c r="E796" s="67">
        <v>627791</v>
      </c>
      <c r="F796" s="67" t="s">
        <v>1226</v>
      </c>
      <c r="G796" s="5">
        <f t="shared" si="14"/>
        <v>2.224640309515169E-2</v>
      </c>
    </row>
    <row r="797" spans="1:7">
      <c r="A797" s="67">
        <v>166.83</v>
      </c>
      <c r="B797" s="67">
        <v>167.36</v>
      </c>
      <c r="C797" s="67">
        <v>139.03</v>
      </c>
      <c r="D797" s="67">
        <v>140.96</v>
      </c>
      <c r="E797" s="67">
        <v>1336347</v>
      </c>
      <c r="F797" s="67" t="s">
        <v>1227</v>
      </c>
      <c r="G797" s="5">
        <f t="shared" si="14"/>
        <v>0.18352724177071522</v>
      </c>
    </row>
    <row r="798" spans="1:7">
      <c r="A798" s="67">
        <v>143.13999999999999</v>
      </c>
      <c r="B798" s="67">
        <v>146.85</v>
      </c>
      <c r="C798" s="67">
        <v>142.595</v>
      </c>
      <c r="D798" s="67">
        <v>146.35</v>
      </c>
      <c r="E798" s="67">
        <v>462001</v>
      </c>
      <c r="F798" s="67" t="s">
        <v>1228</v>
      </c>
      <c r="G798" s="5">
        <f t="shared" si="14"/>
        <v>-2.1933720532968937E-2</v>
      </c>
    </row>
    <row r="799" spans="1:7">
      <c r="A799" s="67">
        <v>146.69</v>
      </c>
      <c r="B799" s="67">
        <v>148.78</v>
      </c>
      <c r="C799" s="67">
        <v>145.63999999999999</v>
      </c>
      <c r="D799" s="67">
        <v>147.91999999999999</v>
      </c>
      <c r="E799" s="67">
        <v>342118</v>
      </c>
      <c r="F799" s="67" t="s">
        <v>1229</v>
      </c>
      <c r="G799" s="5">
        <f t="shared" si="14"/>
        <v>-8.3153055705785794E-3</v>
      </c>
    </row>
    <row r="800" spans="1:7">
      <c r="A800" s="67">
        <v>146.46</v>
      </c>
      <c r="B800" s="67">
        <v>147.6</v>
      </c>
      <c r="C800" s="67">
        <v>140.58000000000001</v>
      </c>
      <c r="D800" s="67">
        <v>140.58000000000001</v>
      </c>
      <c r="E800" s="67">
        <v>478485</v>
      </c>
      <c r="F800" s="67" t="s">
        <v>1230</v>
      </c>
      <c r="G800" s="5">
        <f t="shared" si="14"/>
        <v>4.1826717883055808E-2</v>
      </c>
    </row>
    <row r="801" spans="1:7">
      <c r="A801" s="67">
        <v>141.09</v>
      </c>
      <c r="B801" s="67">
        <v>142.095</v>
      </c>
      <c r="C801" s="67">
        <v>136.1</v>
      </c>
      <c r="D801" s="67">
        <v>137.12</v>
      </c>
      <c r="E801" s="67">
        <v>309709</v>
      </c>
      <c r="F801" s="67" t="s">
        <v>1231</v>
      </c>
      <c r="G801" s="5">
        <f t="shared" si="14"/>
        <v>2.8952742123687258E-2</v>
      </c>
    </row>
    <row r="802" spans="1:7">
      <c r="A802" s="67">
        <v>139.38</v>
      </c>
      <c r="B802" s="67">
        <v>141.6</v>
      </c>
      <c r="C802" s="67">
        <v>139.1</v>
      </c>
      <c r="D802" s="67">
        <v>140.91</v>
      </c>
      <c r="E802" s="67">
        <v>289589</v>
      </c>
      <c r="F802" s="67" t="s">
        <v>1232</v>
      </c>
      <c r="G802" s="5">
        <f t="shared" si="14"/>
        <v>-1.0857994464551823E-2</v>
      </c>
    </row>
    <row r="803" spans="1:7">
      <c r="A803" s="67">
        <v>141.1</v>
      </c>
      <c r="B803" s="67">
        <v>141.65</v>
      </c>
      <c r="C803" s="67">
        <v>134.63</v>
      </c>
      <c r="D803" s="67">
        <v>138.02000000000001</v>
      </c>
      <c r="E803" s="67">
        <v>250509</v>
      </c>
      <c r="F803" s="67" t="s">
        <v>1233</v>
      </c>
      <c r="G803" s="5">
        <f t="shared" si="14"/>
        <v>2.231560643385011E-2</v>
      </c>
    </row>
    <row r="804" spans="1:7">
      <c r="A804" s="67">
        <v>136.52000000000001</v>
      </c>
      <c r="B804" s="67">
        <v>136.71</v>
      </c>
      <c r="C804" s="67">
        <v>131.36000000000001</v>
      </c>
      <c r="D804" s="67">
        <v>133.26</v>
      </c>
      <c r="E804" s="67">
        <v>284569</v>
      </c>
      <c r="F804" s="67" t="s">
        <v>1234</v>
      </c>
      <c r="G804" s="5">
        <f t="shared" si="14"/>
        <v>2.4463454900195192E-2</v>
      </c>
    </row>
    <row r="805" spans="1:7">
      <c r="A805" s="67">
        <v>131.6</v>
      </c>
      <c r="B805" s="67">
        <v>132.04</v>
      </c>
      <c r="C805" s="67">
        <v>127.8002</v>
      </c>
      <c r="D805" s="67">
        <v>129.29</v>
      </c>
      <c r="E805" s="67">
        <v>329114</v>
      </c>
      <c r="F805" s="67" t="s">
        <v>1235</v>
      </c>
      <c r="G805" s="5">
        <f t="shared" si="14"/>
        <v>1.7866811044937814E-2</v>
      </c>
    </row>
    <row r="806" spans="1:7">
      <c r="A806" s="67">
        <v>129.38</v>
      </c>
      <c r="B806" s="67">
        <v>132.57</v>
      </c>
      <c r="C806" s="67">
        <v>128.62</v>
      </c>
      <c r="D806" s="67">
        <v>132.57</v>
      </c>
      <c r="E806" s="67">
        <v>373045</v>
      </c>
      <c r="F806" s="67" t="s">
        <v>1236</v>
      </c>
      <c r="G806" s="5">
        <f t="shared" si="14"/>
        <v>-2.4062759296975211E-2</v>
      </c>
    </row>
    <row r="807" spans="1:7">
      <c r="A807" s="67">
        <v>131.34</v>
      </c>
      <c r="B807" s="67">
        <v>133.06</v>
      </c>
      <c r="C807" s="67">
        <v>127.44</v>
      </c>
      <c r="D807" s="67">
        <v>129.35</v>
      </c>
      <c r="E807" s="67">
        <v>344990</v>
      </c>
      <c r="F807" s="67" t="s">
        <v>1237</v>
      </c>
      <c r="G807" s="5">
        <f t="shared" si="14"/>
        <v>1.5384615384615552E-2</v>
      </c>
    </row>
    <row r="808" spans="1:7">
      <c r="A808" s="67">
        <v>129.5</v>
      </c>
      <c r="B808" s="67">
        <v>131.304</v>
      </c>
      <c r="C808" s="67">
        <v>125.181</v>
      </c>
      <c r="D808" s="67">
        <v>125.92</v>
      </c>
      <c r="E808" s="67">
        <v>1231522</v>
      </c>
      <c r="F808" s="67" t="s">
        <v>1238</v>
      </c>
      <c r="G808" s="5">
        <f t="shared" si="14"/>
        <v>2.8430749682337941E-2</v>
      </c>
    </row>
    <row r="809" spans="1:7">
      <c r="A809" s="67">
        <v>124.98</v>
      </c>
      <c r="B809" s="67">
        <v>127.56</v>
      </c>
      <c r="C809" s="67">
        <v>123.25</v>
      </c>
      <c r="D809" s="67">
        <v>124.83</v>
      </c>
      <c r="E809" s="67">
        <v>984668</v>
      </c>
      <c r="F809" s="67" t="s">
        <v>1239</v>
      </c>
      <c r="G809" s="5">
        <f t="shared" si="14"/>
        <v>1.2016342225427135E-3</v>
      </c>
    </row>
    <row r="810" spans="1:7">
      <c r="A810" s="67">
        <v>124.71</v>
      </c>
      <c r="B810" s="67">
        <v>125.85</v>
      </c>
      <c r="C810" s="67">
        <v>122.35</v>
      </c>
      <c r="D810" s="67">
        <v>123.51</v>
      </c>
      <c r="E810" s="67">
        <v>663623</v>
      </c>
      <c r="F810" s="67" t="s">
        <v>1240</v>
      </c>
      <c r="G810" s="5">
        <f t="shared" si="14"/>
        <v>9.7158124848188976E-3</v>
      </c>
    </row>
    <row r="811" spans="1:7">
      <c r="A811" s="67">
        <v>121.05</v>
      </c>
      <c r="B811" s="67">
        <v>126.68</v>
      </c>
      <c r="C811" s="67">
        <v>120.25</v>
      </c>
      <c r="D811" s="67">
        <v>126.25</v>
      </c>
      <c r="E811" s="67">
        <v>322935</v>
      </c>
      <c r="F811" s="67" t="s">
        <v>1241</v>
      </c>
      <c r="G811" s="5">
        <f t="shared" si="14"/>
        <v>-4.1188118811881225E-2</v>
      </c>
    </row>
    <row r="812" spans="1:7">
      <c r="A812" s="67">
        <v>122.5</v>
      </c>
      <c r="B812" s="67">
        <v>124.16</v>
      </c>
      <c r="C812" s="67">
        <v>120.1</v>
      </c>
      <c r="D812" s="67">
        <v>122.65</v>
      </c>
      <c r="E812" s="67">
        <v>710220</v>
      </c>
      <c r="F812" s="67" t="s">
        <v>1242</v>
      </c>
      <c r="G812" s="5">
        <f t="shared" si="14"/>
        <v>-1.2229922543823823E-3</v>
      </c>
    </row>
    <row r="813" spans="1:7">
      <c r="A813" s="67">
        <v>120.36</v>
      </c>
      <c r="B813" s="67">
        <v>121.095</v>
      </c>
      <c r="C813" s="67">
        <v>118.65</v>
      </c>
      <c r="D813" s="67">
        <v>120.29</v>
      </c>
      <c r="E813" s="67">
        <v>358734</v>
      </c>
      <c r="F813" s="67" t="s">
        <v>1243</v>
      </c>
      <c r="G813" s="5">
        <f t="shared" si="14"/>
        <v>5.8192700972647948E-4</v>
      </c>
    </row>
    <row r="814" spans="1:7">
      <c r="A814" s="67">
        <v>122.63</v>
      </c>
      <c r="B814" s="67">
        <v>124.95</v>
      </c>
      <c r="C814" s="67">
        <v>121.96</v>
      </c>
      <c r="D814" s="67">
        <v>124.07</v>
      </c>
      <c r="E814" s="67">
        <v>540872</v>
      </c>
      <c r="F814" s="67" t="s">
        <v>1244</v>
      </c>
      <c r="G814" s="5">
        <f t="shared" si="14"/>
        <v>-1.1606351253324765E-2</v>
      </c>
    </row>
    <row r="815" spans="1:7">
      <c r="A815" s="67">
        <v>126.38</v>
      </c>
      <c r="B815" s="67">
        <v>131.83000000000001</v>
      </c>
      <c r="C815" s="67">
        <v>125.09</v>
      </c>
      <c r="D815" s="67">
        <v>130.71</v>
      </c>
      <c r="E815" s="67">
        <v>242162</v>
      </c>
      <c r="F815" s="67" t="s">
        <v>1245</v>
      </c>
      <c r="G815" s="5">
        <f t="shared" si="14"/>
        <v>-3.3126769183689175E-2</v>
      </c>
    </row>
    <row r="816" spans="1:7">
      <c r="A816" s="67">
        <v>130.44999999999999</v>
      </c>
      <c r="B816" s="67">
        <v>134.57</v>
      </c>
      <c r="C816" s="67">
        <v>129.81</v>
      </c>
      <c r="D816" s="67">
        <v>132.99</v>
      </c>
      <c r="E816" s="67">
        <v>215109</v>
      </c>
      <c r="F816" s="67" t="s">
        <v>1246</v>
      </c>
      <c r="G816" s="5">
        <f t="shared" si="14"/>
        <v>-1.909918038950309E-2</v>
      </c>
    </row>
    <row r="817" spans="1:7">
      <c r="A817" s="67">
        <v>134.9</v>
      </c>
      <c r="B817" s="67">
        <v>138.095</v>
      </c>
      <c r="C817" s="67">
        <v>130.8032</v>
      </c>
      <c r="D817" s="67">
        <v>132.41999999999999</v>
      </c>
      <c r="E817" s="67">
        <v>191992</v>
      </c>
      <c r="F817" s="67" t="s">
        <v>1247</v>
      </c>
      <c r="G817" s="5">
        <f t="shared" si="14"/>
        <v>1.8728288778130375E-2</v>
      </c>
    </row>
    <row r="818" spans="1:7">
      <c r="A818" s="67">
        <v>133.68</v>
      </c>
      <c r="B818" s="67">
        <v>133.78</v>
      </c>
      <c r="C818" s="67">
        <v>124.22</v>
      </c>
      <c r="D818" s="67">
        <v>124.53</v>
      </c>
      <c r="E818" s="67">
        <v>303103</v>
      </c>
      <c r="F818" s="67" t="s">
        <v>1248</v>
      </c>
      <c r="G818" s="5">
        <f t="shared" ref="G818:G881" si="15">A818/D818-1</f>
        <v>7.3476270778125796E-2</v>
      </c>
    </row>
    <row r="819" spans="1:7">
      <c r="A819" s="67">
        <v>125.32</v>
      </c>
      <c r="B819" s="67">
        <v>127.74</v>
      </c>
      <c r="C819" s="67">
        <v>124.63</v>
      </c>
      <c r="D819" s="67">
        <v>126.63</v>
      </c>
      <c r="E819" s="67">
        <v>189223</v>
      </c>
      <c r="F819" s="67" t="s">
        <v>1249</v>
      </c>
      <c r="G819" s="5">
        <f t="shared" si="15"/>
        <v>-1.0345099897338672E-2</v>
      </c>
    </row>
    <row r="820" spans="1:7">
      <c r="A820" s="67">
        <v>126.51</v>
      </c>
      <c r="B820" s="67">
        <v>127.04</v>
      </c>
      <c r="C820" s="67">
        <v>121.18</v>
      </c>
      <c r="D820" s="67">
        <v>123.64</v>
      </c>
      <c r="E820" s="67">
        <v>304493</v>
      </c>
      <c r="F820" s="67" t="s">
        <v>1250</v>
      </c>
      <c r="G820" s="5">
        <f t="shared" si="15"/>
        <v>2.3212552571983291E-2</v>
      </c>
    </row>
    <row r="821" spans="1:7">
      <c r="A821" s="67">
        <v>125.7</v>
      </c>
      <c r="B821" s="67">
        <v>126.36</v>
      </c>
      <c r="C821" s="67">
        <v>121.85</v>
      </c>
      <c r="D821" s="67">
        <v>124.39</v>
      </c>
      <c r="E821" s="67">
        <v>298811</v>
      </c>
      <c r="F821" s="67" t="s">
        <v>1251</v>
      </c>
      <c r="G821" s="5">
        <f t="shared" si="15"/>
        <v>1.0531393198810246E-2</v>
      </c>
    </row>
    <row r="822" spans="1:7">
      <c r="A822" s="67">
        <v>124.52</v>
      </c>
      <c r="B822" s="67">
        <v>128</v>
      </c>
      <c r="C822" s="67">
        <v>122.79</v>
      </c>
      <c r="D822" s="67">
        <v>127.94</v>
      </c>
      <c r="E822" s="67">
        <v>325017</v>
      </c>
      <c r="F822" s="67" t="s">
        <v>1252</v>
      </c>
      <c r="G822" s="5">
        <f t="shared" si="15"/>
        <v>-2.6731280287634829E-2</v>
      </c>
    </row>
    <row r="823" spans="1:7">
      <c r="A823" s="67">
        <v>130.25</v>
      </c>
      <c r="B823" s="67">
        <v>130.43</v>
      </c>
      <c r="C823" s="67">
        <v>125</v>
      </c>
      <c r="D823" s="67">
        <v>127.78</v>
      </c>
      <c r="E823" s="67">
        <v>155888</v>
      </c>
      <c r="F823" s="67" t="s">
        <v>1253</v>
      </c>
      <c r="G823" s="5">
        <f t="shared" si="15"/>
        <v>1.933009860698065E-2</v>
      </c>
    </row>
    <row r="824" spans="1:7">
      <c r="A824" s="67">
        <v>128.55000000000001</v>
      </c>
      <c r="B824" s="67">
        <v>133.99</v>
      </c>
      <c r="C824" s="67">
        <v>128.32</v>
      </c>
      <c r="D824" s="67">
        <v>132.51</v>
      </c>
      <c r="E824" s="67">
        <v>659323</v>
      </c>
      <c r="F824" s="67" t="s">
        <v>1254</v>
      </c>
      <c r="G824" s="5">
        <f t="shared" si="15"/>
        <v>-2.9884537016074075E-2</v>
      </c>
    </row>
    <row r="825" spans="1:7">
      <c r="A825" s="67">
        <v>132.56</v>
      </c>
      <c r="B825" s="67">
        <v>132.94</v>
      </c>
      <c r="C825" s="67">
        <v>129.41999999999999</v>
      </c>
      <c r="D825" s="67">
        <v>132.13999999999999</v>
      </c>
      <c r="E825" s="67">
        <v>211140</v>
      </c>
      <c r="F825" s="67" t="s">
        <v>1255</v>
      </c>
      <c r="G825" s="5">
        <f t="shared" si="15"/>
        <v>3.1784471015590121E-3</v>
      </c>
    </row>
    <row r="826" spans="1:7">
      <c r="A826" s="67">
        <v>131.75</v>
      </c>
      <c r="B826" s="67">
        <v>132.38</v>
      </c>
      <c r="C826" s="67">
        <v>128.03</v>
      </c>
      <c r="D826" s="67">
        <v>129.16999999999999</v>
      </c>
      <c r="E826" s="67">
        <v>335024</v>
      </c>
      <c r="F826" s="67" t="s">
        <v>1256</v>
      </c>
      <c r="G826" s="5">
        <f t="shared" si="15"/>
        <v>1.997367809862971E-2</v>
      </c>
    </row>
    <row r="827" spans="1:7">
      <c r="A827" s="67">
        <v>127.58</v>
      </c>
      <c r="B827" s="67">
        <v>127.97</v>
      </c>
      <c r="C827" s="67">
        <v>122.94</v>
      </c>
      <c r="D827" s="67">
        <v>123.24</v>
      </c>
      <c r="E827" s="67">
        <v>258056</v>
      </c>
      <c r="F827" s="67" t="s">
        <v>1257</v>
      </c>
      <c r="G827" s="5">
        <f t="shared" si="15"/>
        <v>3.5215839013307493E-2</v>
      </c>
    </row>
    <row r="828" spans="1:7">
      <c r="A828" s="67">
        <v>122.5</v>
      </c>
      <c r="B828" s="67">
        <v>125.465</v>
      </c>
      <c r="C828" s="67">
        <v>121.27</v>
      </c>
      <c r="D828" s="67">
        <v>121.83</v>
      </c>
      <c r="E828" s="67">
        <v>386201</v>
      </c>
      <c r="F828" s="67" t="s">
        <v>1258</v>
      </c>
      <c r="G828" s="5">
        <f t="shared" si="15"/>
        <v>5.4994664696708107E-3</v>
      </c>
    </row>
    <row r="829" spans="1:7">
      <c r="A829" s="67">
        <v>122.11</v>
      </c>
      <c r="B829" s="67">
        <v>124.1</v>
      </c>
      <c r="C829" s="67">
        <v>121.75</v>
      </c>
      <c r="D829" s="67">
        <v>122.52</v>
      </c>
      <c r="E829" s="67">
        <v>348531</v>
      </c>
      <c r="F829" s="67" t="s">
        <v>1259</v>
      </c>
      <c r="G829" s="5">
        <f t="shared" si="15"/>
        <v>-3.3463924257264299E-3</v>
      </c>
    </row>
    <row r="830" spans="1:7">
      <c r="A830" s="67">
        <v>120.14</v>
      </c>
      <c r="B830" s="67">
        <v>122.45</v>
      </c>
      <c r="C830" s="67">
        <v>117</v>
      </c>
      <c r="D830" s="67">
        <v>117.23</v>
      </c>
      <c r="E830" s="67">
        <v>604684</v>
      </c>
      <c r="F830" s="67" t="s">
        <v>1260</v>
      </c>
      <c r="G830" s="5">
        <f t="shared" si="15"/>
        <v>2.4822997526230406E-2</v>
      </c>
    </row>
    <row r="831" spans="1:7">
      <c r="A831" s="67">
        <v>116.09</v>
      </c>
      <c r="B831" s="67">
        <v>119.51</v>
      </c>
      <c r="C831" s="67">
        <v>114.86499999999999</v>
      </c>
      <c r="D831" s="67">
        <v>118.92</v>
      </c>
      <c r="E831" s="67">
        <v>403875</v>
      </c>
      <c r="F831" s="67" t="s">
        <v>1261</v>
      </c>
      <c r="G831" s="5">
        <f t="shared" si="15"/>
        <v>-2.3797510931718779E-2</v>
      </c>
    </row>
    <row r="832" spans="1:7">
      <c r="A832" s="67">
        <v>122.11</v>
      </c>
      <c r="B832" s="67">
        <v>124.21</v>
      </c>
      <c r="C832" s="67">
        <v>119.14</v>
      </c>
      <c r="D832" s="67">
        <v>120.12</v>
      </c>
      <c r="E832" s="67">
        <v>389292</v>
      </c>
      <c r="F832" s="67" t="s">
        <v>1262</v>
      </c>
      <c r="G832" s="5">
        <f t="shared" si="15"/>
        <v>1.6566766566766589E-2</v>
      </c>
    </row>
    <row r="833" spans="1:7">
      <c r="A833" s="67">
        <v>118.97</v>
      </c>
      <c r="B833" s="67">
        <v>125.09</v>
      </c>
      <c r="C833" s="67">
        <v>118.83</v>
      </c>
      <c r="D833" s="67">
        <v>125.09</v>
      </c>
      <c r="E833" s="67">
        <v>431644</v>
      </c>
      <c r="F833" s="67" t="s">
        <v>1263</v>
      </c>
      <c r="G833" s="5">
        <f t="shared" si="15"/>
        <v>-4.8924774162602991E-2</v>
      </c>
    </row>
    <row r="834" spans="1:7">
      <c r="A834" s="67">
        <v>125.43</v>
      </c>
      <c r="B834" s="67">
        <v>128.28</v>
      </c>
      <c r="C834" s="67">
        <v>124.31</v>
      </c>
      <c r="D834" s="67">
        <v>126.38</v>
      </c>
      <c r="E834" s="67">
        <v>359253</v>
      </c>
      <c r="F834" s="67" t="s">
        <v>1264</v>
      </c>
      <c r="G834" s="5">
        <f t="shared" si="15"/>
        <v>-7.5170121854722938E-3</v>
      </c>
    </row>
    <row r="835" spans="1:7">
      <c r="A835" s="67">
        <v>131.56</v>
      </c>
      <c r="B835" s="67">
        <v>133.29</v>
      </c>
      <c r="C835" s="67">
        <v>129.6</v>
      </c>
      <c r="D835" s="67">
        <v>131.05000000000001</v>
      </c>
      <c r="E835" s="67">
        <v>336890</v>
      </c>
      <c r="F835" s="67" t="s">
        <v>1265</v>
      </c>
      <c r="G835" s="5">
        <f t="shared" si="15"/>
        <v>3.8916444105303594E-3</v>
      </c>
    </row>
    <row r="836" spans="1:7">
      <c r="A836" s="67">
        <v>133.74</v>
      </c>
      <c r="B836" s="67">
        <v>139.76499999999999</v>
      </c>
      <c r="C836" s="67">
        <v>133.71</v>
      </c>
      <c r="D836" s="67">
        <v>139.03</v>
      </c>
      <c r="E836" s="67">
        <v>186487</v>
      </c>
      <c r="F836" s="67" t="s">
        <v>1266</v>
      </c>
      <c r="G836" s="5">
        <f t="shared" si="15"/>
        <v>-3.8049341868661379E-2</v>
      </c>
    </row>
    <row r="837" spans="1:7">
      <c r="A837" s="67">
        <v>140.52000000000001</v>
      </c>
      <c r="B837" s="67">
        <v>144</v>
      </c>
      <c r="C837" s="67">
        <v>140.38</v>
      </c>
      <c r="D837" s="67">
        <v>141.85</v>
      </c>
      <c r="E837" s="67">
        <v>297492</v>
      </c>
      <c r="F837" s="67" t="s">
        <v>1267</v>
      </c>
      <c r="G837" s="5">
        <f t="shared" si="15"/>
        <v>-9.3761015156854643E-3</v>
      </c>
    </row>
    <row r="838" spans="1:7">
      <c r="A838" s="67">
        <v>141.85</v>
      </c>
      <c r="B838" s="67">
        <v>143.02000000000001</v>
      </c>
      <c r="C838" s="67">
        <v>138.80000000000001</v>
      </c>
      <c r="D838" s="67">
        <v>138.80000000000001</v>
      </c>
      <c r="E838" s="67">
        <v>548309</v>
      </c>
      <c r="F838" s="67" t="s">
        <v>1268</v>
      </c>
      <c r="G838" s="5">
        <f t="shared" si="15"/>
        <v>2.1974063400576282E-2</v>
      </c>
    </row>
    <row r="839" spans="1:7">
      <c r="A839" s="67">
        <v>139.93</v>
      </c>
      <c r="B839" s="67">
        <v>143.29</v>
      </c>
      <c r="C839" s="67">
        <v>138.59</v>
      </c>
      <c r="D839" s="67">
        <v>143.29</v>
      </c>
      <c r="E839" s="67">
        <v>279989</v>
      </c>
      <c r="F839" s="67" t="s">
        <v>1269</v>
      </c>
      <c r="G839" s="5">
        <f t="shared" si="15"/>
        <v>-2.3448949682462028E-2</v>
      </c>
    </row>
    <row r="840" spans="1:7">
      <c r="A840" s="67">
        <v>140.99</v>
      </c>
      <c r="B840" s="67">
        <v>144.77000000000001</v>
      </c>
      <c r="C840" s="67">
        <v>139.72</v>
      </c>
      <c r="D840" s="67">
        <v>144.19</v>
      </c>
      <c r="E840" s="67">
        <v>196669</v>
      </c>
      <c r="F840" s="67" t="s">
        <v>1270</v>
      </c>
      <c r="G840" s="5">
        <f t="shared" si="15"/>
        <v>-2.2192939871003459E-2</v>
      </c>
    </row>
    <row r="841" spans="1:7">
      <c r="A841" s="67">
        <v>146</v>
      </c>
      <c r="B841" s="67">
        <v>146.84</v>
      </c>
      <c r="C841" s="67">
        <v>139.11000000000001</v>
      </c>
      <c r="D841" s="67">
        <v>141.68</v>
      </c>
      <c r="E841" s="67">
        <v>551945</v>
      </c>
      <c r="F841" s="67" t="s">
        <v>1271</v>
      </c>
      <c r="G841" s="5">
        <f t="shared" si="15"/>
        <v>3.0491247882552086E-2</v>
      </c>
    </row>
    <row r="842" spans="1:7">
      <c r="A842" s="67">
        <v>141.27000000000001</v>
      </c>
      <c r="B842" s="67">
        <v>148.94999999999999</v>
      </c>
      <c r="C842" s="67">
        <v>136.33000000000001</v>
      </c>
      <c r="D842" s="67">
        <v>147.81</v>
      </c>
      <c r="E842" s="67">
        <v>584103</v>
      </c>
      <c r="F842" s="67" t="s">
        <v>1272</v>
      </c>
      <c r="G842" s="5">
        <f t="shared" si="15"/>
        <v>-4.4245991475542867E-2</v>
      </c>
    </row>
    <row r="843" spans="1:7">
      <c r="A843" s="67">
        <v>146.91999999999999</v>
      </c>
      <c r="B843" s="67">
        <v>149.99</v>
      </c>
      <c r="C843" s="67">
        <v>145.81</v>
      </c>
      <c r="D843" s="67">
        <v>148.01</v>
      </c>
      <c r="E843" s="67">
        <v>454011</v>
      </c>
      <c r="F843" s="67" t="s">
        <v>1273</v>
      </c>
      <c r="G843" s="5">
        <f t="shared" si="15"/>
        <v>-7.3643672724815756E-3</v>
      </c>
    </row>
    <row r="844" spans="1:7">
      <c r="A844" s="67">
        <v>149.38</v>
      </c>
      <c r="B844" s="67">
        <v>149.43</v>
      </c>
      <c r="C844" s="67">
        <v>142.26</v>
      </c>
      <c r="D844" s="67">
        <v>143.54</v>
      </c>
      <c r="E844" s="67">
        <v>223343</v>
      </c>
      <c r="F844" s="67" t="s">
        <v>1274</v>
      </c>
      <c r="G844" s="5">
        <f t="shared" si="15"/>
        <v>4.0685523199108342E-2</v>
      </c>
    </row>
    <row r="845" spans="1:7">
      <c r="A845" s="67">
        <v>141.91999999999999</v>
      </c>
      <c r="B845" s="67">
        <v>145.13999999999999</v>
      </c>
      <c r="C845" s="67">
        <v>141.80000000000001</v>
      </c>
      <c r="D845" s="67">
        <v>144.02000000000001</v>
      </c>
      <c r="E845" s="67">
        <v>127156</v>
      </c>
      <c r="F845" s="67" t="s">
        <v>1275</v>
      </c>
      <c r="G845" s="5">
        <f t="shared" si="15"/>
        <v>-1.4581308151645711E-2</v>
      </c>
    </row>
    <row r="846" spans="1:7">
      <c r="A846" s="67">
        <v>143.16999999999999</v>
      </c>
      <c r="B846" s="67">
        <v>144</v>
      </c>
      <c r="C846" s="67">
        <v>140.12</v>
      </c>
      <c r="D846" s="67">
        <v>140.12</v>
      </c>
      <c r="E846" s="67">
        <v>230689</v>
      </c>
      <c r="F846" s="67" t="s">
        <v>1276</v>
      </c>
      <c r="G846" s="5">
        <f t="shared" si="15"/>
        <v>2.1767056808449814E-2</v>
      </c>
    </row>
    <row r="847" spans="1:7">
      <c r="A847" s="67">
        <v>140.05000000000001</v>
      </c>
      <c r="B847" s="67">
        <v>140.66</v>
      </c>
      <c r="C847" s="67">
        <v>134.6</v>
      </c>
      <c r="D847" s="67">
        <v>139.32</v>
      </c>
      <c r="E847" s="67">
        <v>236286</v>
      </c>
      <c r="F847" s="67" t="s">
        <v>1277</v>
      </c>
      <c r="G847" s="5">
        <f t="shared" si="15"/>
        <v>5.2397358598910149E-3</v>
      </c>
    </row>
    <row r="848" spans="1:7">
      <c r="A848" s="67">
        <v>142.49</v>
      </c>
      <c r="B848" s="67">
        <v>143.58000000000001</v>
      </c>
      <c r="C848" s="67">
        <v>139.25</v>
      </c>
      <c r="D848" s="67">
        <v>143.05000000000001</v>
      </c>
      <c r="E848" s="67">
        <v>267966</v>
      </c>
      <c r="F848" s="67" t="s">
        <v>1278</v>
      </c>
      <c r="G848" s="5">
        <f t="shared" si="15"/>
        <v>-3.914715134568314E-3</v>
      </c>
    </row>
    <row r="849" spans="1:7">
      <c r="A849" s="67">
        <v>141.97</v>
      </c>
      <c r="B849" s="67">
        <v>143.81</v>
      </c>
      <c r="C849" s="67">
        <v>136.59</v>
      </c>
      <c r="D849" s="67">
        <v>143.81</v>
      </c>
      <c r="E849" s="67">
        <v>306089</v>
      </c>
      <c r="F849" s="67" t="s">
        <v>1279</v>
      </c>
      <c r="G849" s="5">
        <f t="shared" si="15"/>
        <v>-1.2794659620332438E-2</v>
      </c>
    </row>
    <row r="850" spans="1:7">
      <c r="A850" s="67">
        <v>142.35</v>
      </c>
      <c r="B850" s="67">
        <v>148.28</v>
      </c>
      <c r="C850" s="67">
        <v>142.03</v>
      </c>
      <c r="D850" s="67">
        <v>143.51</v>
      </c>
      <c r="E850" s="67">
        <v>353428</v>
      </c>
      <c r="F850" s="67" t="s">
        <v>1280</v>
      </c>
      <c r="G850" s="5">
        <f t="shared" si="15"/>
        <v>-8.0830604139083828E-3</v>
      </c>
    </row>
    <row r="851" spans="1:7">
      <c r="A851" s="67">
        <v>144.51</v>
      </c>
      <c r="B851" s="67">
        <v>150</v>
      </c>
      <c r="C851" s="67">
        <v>143.27010000000001</v>
      </c>
      <c r="D851" s="67">
        <v>147.91999999999999</v>
      </c>
      <c r="E851" s="67">
        <v>400032</v>
      </c>
      <c r="F851" s="67" t="s">
        <v>1281</v>
      </c>
      <c r="G851" s="5">
        <f t="shared" si="15"/>
        <v>-2.3053001622498681E-2</v>
      </c>
    </row>
    <row r="852" spans="1:7">
      <c r="A852" s="67">
        <v>150.82</v>
      </c>
      <c r="B852" s="67">
        <v>150.99</v>
      </c>
      <c r="C852" s="67">
        <v>142.41</v>
      </c>
      <c r="D852" s="67">
        <v>144.05000000000001</v>
      </c>
      <c r="E852" s="67">
        <v>448099</v>
      </c>
      <c r="F852" s="67" t="s">
        <v>1282</v>
      </c>
      <c r="G852" s="5">
        <f t="shared" si="15"/>
        <v>4.6997570288094259E-2</v>
      </c>
    </row>
    <row r="853" spans="1:7">
      <c r="A853" s="67">
        <v>140.38</v>
      </c>
      <c r="B853" s="67">
        <v>146</v>
      </c>
      <c r="C853" s="67">
        <v>140.005</v>
      </c>
      <c r="D853" s="67">
        <v>141.91999999999999</v>
      </c>
      <c r="E853" s="67">
        <v>235583</v>
      </c>
      <c r="F853" s="67" t="s">
        <v>1283</v>
      </c>
      <c r="G853" s="5">
        <f t="shared" si="15"/>
        <v>-1.0851183765501649E-2</v>
      </c>
    </row>
    <row r="854" spans="1:7">
      <c r="A854" s="67">
        <v>143.25</v>
      </c>
      <c r="B854" s="67">
        <v>145.16</v>
      </c>
      <c r="C854" s="67">
        <v>138.54</v>
      </c>
      <c r="D854" s="67">
        <v>139.18</v>
      </c>
      <c r="E854" s="67">
        <v>407805</v>
      </c>
      <c r="F854" s="67" t="s">
        <v>1284</v>
      </c>
      <c r="G854" s="5">
        <f t="shared" si="15"/>
        <v>2.9242707285529468E-2</v>
      </c>
    </row>
    <row r="855" spans="1:7">
      <c r="A855" s="67">
        <v>135.80000000000001</v>
      </c>
      <c r="B855" s="67">
        <v>137.88999999999999</v>
      </c>
      <c r="C855" s="67">
        <v>130.96</v>
      </c>
      <c r="D855" s="67">
        <v>133.33000000000001</v>
      </c>
      <c r="E855" s="67">
        <v>320271</v>
      </c>
      <c r="F855" s="67" t="s">
        <v>1285</v>
      </c>
      <c r="G855" s="5">
        <f t="shared" si="15"/>
        <v>1.8525463136578324E-2</v>
      </c>
    </row>
    <row r="856" spans="1:7">
      <c r="A856" s="67">
        <v>134.09</v>
      </c>
      <c r="B856" s="67">
        <v>143.89500000000001</v>
      </c>
      <c r="C856" s="67">
        <v>133.9</v>
      </c>
      <c r="D856" s="67">
        <v>140.62</v>
      </c>
      <c r="E856" s="67">
        <v>506175</v>
      </c>
      <c r="F856" s="67" t="s">
        <v>1286</v>
      </c>
      <c r="G856" s="5">
        <f t="shared" si="15"/>
        <v>-4.6437206656236629E-2</v>
      </c>
    </row>
    <row r="857" spans="1:7">
      <c r="A857" s="67">
        <v>141.11000000000001</v>
      </c>
      <c r="B857" s="67">
        <v>142.46</v>
      </c>
      <c r="C857" s="67">
        <v>131.72</v>
      </c>
      <c r="D857" s="67">
        <v>139.1</v>
      </c>
      <c r="E857" s="67">
        <v>674172</v>
      </c>
      <c r="F857" s="67" t="s">
        <v>1287</v>
      </c>
      <c r="G857" s="5">
        <f t="shared" si="15"/>
        <v>1.4450035945363204E-2</v>
      </c>
    </row>
    <row r="858" spans="1:7">
      <c r="A858" s="67">
        <v>136.24</v>
      </c>
      <c r="B858" s="67">
        <v>149.44999999999999</v>
      </c>
      <c r="C858" s="67">
        <v>133.79</v>
      </c>
      <c r="D858" s="67">
        <v>147.88999999999999</v>
      </c>
      <c r="E858" s="67">
        <v>492548</v>
      </c>
      <c r="F858" s="67" t="s">
        <v>1288</v>
      </c>
      <c r="G858" s="5">
        <f t="shared" si="15"/>
        <v>-7.8774765028061244E-2</v>
      </c>
    </row>
    <row r="859" spans="1:7">
      <c r="A859" s="67">
        <v>150.07</v>
      </c>
      <c r="B859" s="67">
        <v>152.94999999999999</v>
      </c>
      <c r="C859" s="67">
        <v>142.72499999999999</v>
      </c>
      <c r="D859" s="67">
        <v>152.94999999999999</v>
      </c>
      <c r="E859" s="67">
        <v>708389</v>
      </c>
      <c r="F859" s="67" t="s">
        <v>1289</v>
      </c>
      <c r="G859" s="5">
        <f t="shared" si="15"/>
        <v>-1.8829682902909428E-2</v>
      </c>
    </row>
    <row r="860" spans="1:7">
      <c r="A860" s="67">
        <v>153.74</v>
      </c>
      <c r="B860" s="67">
        <v>168.76</v>
      </c>
      <c r="C860" s="67">
        <v>151.42500000000001</v>
      </c>
      <c r="D860" s="67">
        <v>168.76</v>
      </c>
      <c r="E860" s="67">
        <v>398428</v>
      </c>
      <c r="F860" s="67" t="s">
        <v>1290</v>
      </c>
      <c r="G860" s="5">
        <f t="shared" si="15"/>
        <v>-8.9002133206920964E-2</v>
      </c>
    </row>
    <row r="861" spans="1:7">
      <c r="A861" s="67">
        <v>170.88</v>
      </c>
      <c r="B861" s="67">
        <v>174</v>
      </c>
      <c r="C861" s="67">
        <v>160.75</v>
      </c>
      <c r="D861" s="67">
        <v>169.66</v>
      </c>
      <c r="E861" s="67">
        <v>600962</v>
      </c>
      <c r="F861" s="67" t="s">
        <v>1291</v>
      </c>
      <c r="G861" s="5">
        <f t="shared" si="15"/>
        <v>7.190852292821015E-3</v>
      </c>
    </row>
    <row r="862" spans="1:7">
      <c r="A862" s="67">
        <v>174.15</v>
      </c>
      <c r="B862" s="67">
        <v>179.72</v>
      </c>
      <c r="C862" s="67">
        <v>170.78</v>
      </c>
      <c r="D862" s="67">
        <v>177.03</v>
      </c>
      <c r="E862" s="67">
        <v>302309</v>
      </c>
      <c r="F862" s="67" t="s">
        <v>1292</v>
      </c>
      <c r="G862" s="5">
        <f t="shared" si="15"/>
        <v>-1.626842907981696E-2</v>
      </c>
    </row>
    <row r="863" spans="1:7">
      <c r="A863" s="67">
        <v>177.2</v>
      </c>
      <c r="B863" s="67">
        <v>178.55</v>
      </c>
      <c r="C863" s="67">
        <v>170.23</v>
      </c>
      <c r="D863" s="67">
        <v>172.28</v>
      </c>
      <c r="E863" s="67">
        <v>242616</v>
      </c>
      <c r="F863" s="67" t="s">
        <v>1293</v>
      </c>
      <c r="G863" s="5">
        <f t="shared" si="15"/>
        <v>2.8558161133039217E-2</v>
      </c>
    </row>
    <row r="864" spans="1:7">
      <c r="A864" s="67">
        <v>172.56</v>
      </c>
      <c r="B864" s="67">
        <v>179.27</v>
      </c>
      <c r="C864" s="67">
        <v>172.36</v>
      </c>
      <c r="D864" s="67">
        <v>174.24</v>
      </c>
      <c r="E864" s="67">
        <v>211150</v>
      </c>
      <c r="F864" s="67" t="s">
        <v>1294</v>
      </c>
      <c r="G864" s="5">
        <f t="shared" si="15"/>
        <v>-9.6418732782369565E-3</v>
      </c>
    </row>
    <row r="865" spans="1:7">
      <c r="A865" s="67">
        <v>175.07</v>
      </c>
      <c r="B865" s="67">
        <v>177.0778</v>
      </c>
      <c r="C865" s="67">
        <v>166.64500000000001</v>
      </c>
      <c r="D865" s="67">
        <v>174.44</v>
      </c>
      <c r="E865" s="67">
        <v>263711</v>
      </c>
      <c r="F865" s="67" t="s">
        <v>1295</v>
      </c>
      <c r="G865" s="5">
        <f t="shared" si="15"/>
        <v>3.6115569823433891E-3</v>
      </c>
    </row>
    <row r="866" spans="1:7">
      <c r="A866" s="67">
        <v>171.84</v>
      </c>
      <c r="B866" s="67">
        <v>181.42</v>
      </c>
      <c r="C866" s="67">
        <v>171.11</v>
      </c>
      <c r="D866" s="67">
        <v>179.35</v>
      </c>
      <c r="E866" s="67">
        <v>238808</v>
      </c>
      <c r="F866" s="67" t="s">
        <v>1296</v>
      </c>
      <c r="G866" s="5">
        <f t="shared" si="15"/>
        <v>-4.1873431837189834E-2</v>
      </c>
    </row>
    <row r="867" spans="1:7">
      <c r="A867" s="67">
        <v>179.64</v>
      </c>
      <c r="B867" s="67">
        <v>187.03</v>
      </c>
      <c r="C867" s="67">
        <v>179.36500000000001</v>
      </c>
      <c r="D867" s="67">
        <v>184.65</v>
      </c>
      <c r="E867" s="67">
        <v>246854</v>
      </c>
      <c r="F867" s="67" t="s">
        <v>1297</v>
      </c>
      <c r="G867" s="5">
        <f t="shared" si="15"/>
        <v>-2.7132412672624007E-2</v>
      </c>
    </row>
    <row r="868" spans="1:7">
      <c r="A868" s="67">
        <v>187.55</v>
      </c>
      <c r="B868" s="67">
        <v>191.5</v>
      </c>
      <c r="C868" s="67">
        <v>182.99</v>
      </c>
      <c r="D868" s="67">
        <v>185.01</v>
      </c>
      <c r="E868" s="67">
        <v>251641</v>
      </c>
      <c r="F868" s="67" t="s">
        <v>1298</v>
      </c>
      <c r="G868" s="5">
        <f t="shared" si="15"/>
        <v>1.37289876222908E-2</v>
      </c>
    </row>
    <row r="869" spans="1:7">
      <c r="A869" s="67">
        <v>186.79</v>
      </c>
      <c r="B869" s="67">
        <v>196.61</v>
      </c>
      <c r="C869" s="67">
        <v>186.38</v>
      </c>
      <c r="D869" s="67">
        <v>196.18</v>
      </c>
      <c r="E869" s="67">
        <v>218678</v>
      </c>
      <c r="F869" s="67" t="s">
        <v>1299</v>
      </c>
      <c r="G869" s="5">
        <f t="shared" si="15"/>
        <v>-4.7864206341115323E-2</v>
      </c>
    </row>
    <row r="870" spans="1:7">
      <c r="A870" s="67">
        <v>197.4</v>
      </c>
      <c r="B870" s="67">
        <v>209.79</v>
      </c>
      <c r="C870" s="67">
        <v>195.42</v>
      </c>
      <c r="D870" s="67">
        <v>207.29</v>
      </c>
      <c r="E870" s="67">
        <v>190756</v>
      </c>
      <c r="F870" s="67" t="s">
        <v>1300</v>
      </c>
      <c r="G870" s="5">
        <f t="shared" si="15"/>
        <v>-4.7710936369337542E-2</v>
      </c>
    </row>
    <row r="871" spans="1:7">
      <c r="A871" s="67">
        <v>204.2</v>
      </c>
      <c r="B871" s="67">
        <v>209.542</v>
      </c>
      <c r="C871" s="67">
        <v>203.11</v>
      </c>
      <c r="D871" s="67">
        <v>207.72</v>
      </c>
      <c r="E871" s="67">
        <v>222188</v>
      </c>
      <c r="F871" s="67" t="s">
        <v>1301</v>
      </c>
      <c r="G871" s="5">
        <f t="shared" si="15"/>
        <v>-1.6945888696322076E-2</v>
      </c>
    </row>
    <row r="872" spans="1:7">
      <c r="A872" s="67">
        <v>207.74</v>
      </c>
      <c r="B872" s="67">
        <v>208.23</v>
      </c>
      <c r="C872" s="67">
        <v>195.5</v>
      </c>
      <c r="D872" s="67">
        <v>195.5</v>
      </c>
      <c r="E872" s="67">
        <v>322156</v>
      </c>
      <c r="F872" s="67" t="s">
        <v>1302</v>
      </c>
      <c r="G872" s="5">
        <f t="shared" si="15"/>
        <v>6.2608695652173862E-2</v>
      </c>
    </row>
    <row r="873" spans="1:7">
      <c r="A873" s="67">
        <v>193.45</v>
      </c>
      <c r="B873" s="67">
        <v>199.125</v>
      </c>
      <c r="C873" s="67">
        <v>191.85</v>
      </c>
      <c r="D873" s="67">
        <v>197.58</v>
      </c>
      <c r="E873" s="67">
        <v>181762</v>
      </c>
      <c r="F873" s="67" t="s">
        <v>1303</v>
      </c>
      <c r="G873" s="5">
        <f t="shared" si="15"/>
        <v>-2.0902925397307537E-2</v>
      </c>
    </row>
    <row r="874" spans="1:7">
      <c r="A874" s="67">
        <v>197.74</v>
      </c>
      <c r="B874" s="67">
        <v>205.44</v>
      </c>
      <c r="C874" s="67">
        <v>197.48</v>
      </c>
      <c r="D874" s="67">
        <v>204.4</v>
      </c>
      <c r="E874" s="67">
        <v>211397</v>
      </c>
      <c r="F874" s="67" t="s">
        <v>1304</v>
      </c>
      <c r="G874" s="5">
        <f t="shared" si="15"/>
        <v>-3.258317025440316E-2</v>
      </c>
    </row>
    <row r="875" spans="1:7">
      <c r="A875" s="67">
        <v>203.9</v>
      </c>
      <c r="B875" s="67">
        <v>205.27</v>
      </c>
      <c r="C875" s="67">
        <v>199.05</v>
      </c>
      <c r="D875" s="67">
        <v>200.67</v>
      </c>
      <c r="E875" s="67">
        <v>221565</v>
      </c>
      <c r="F875" s="67" t="s">
        <v>1305</v>
      </c>
      <c r="G875" s="5">
        <f t="shared" si="15"/>
        <v>1.6096078138237102E-2</v>
      </c>
    </row>
    <row r="876" spans="1:7">
      <c r="A876" s="67">
        <v>199.67</v>
      </c>
      <c r="B876" s="67">
        <v>206.9</v>
      </c>
      <c r="C876" s="67">
        <v>197.48</v>
      </c>
      <c r="D876" s="67">
        <v>203.56</v>
      </c>
      <c r="E876" s="67">
        <v>227094</v>
      </c>
      <c r="F876" s="67" t="s">
        <v>1306</v>
      </c>
      <c r="G876" s="5">
        <f t="shared" si="15"/>
        <v>-1.9109844763214867E-2</v>
      </c>
    </row>
    <row r="877" spans="1:7">
      <c r="A877" s="67">
        <v>200.39</v>
      </c>
      <c r="B877" s="67">
        <v>223.9</v>
      </c>
      <c r="C877" s="67">
        <v>199.72</v>
      </c>
      <c r="D877" s="67">
        <v>214.86</v>
      </c>
      <c r="E877" s="67">
        <v>285495</v>
      </c>
      <c r="F877" s="67" t="s">
        <v>1307</v>
      </c>
      <c r="G877" s="5">
        <f t="shared" si="15"/>
        <v>-6.734617890719552E-2</v>
      </c>
    </row>
    <row r="878" spans="1:7">
      <c r="A878" s="67">
        <v>217.93</v>
      </c>
      <c r="B878" s="67">
        <v>223.86</v>
      </c>
      <c r="C878" s="67">
        <v>213.17500000000001</v>
      </c>
      <c r="D878" s="67">
        <v>218.2</v>
      </c>
      <c r="E878" s="67">
        <v>325056</v>
      </c>
      <c r="F878" s="67" t="s">
        <v>1308</v>
      </c>
      <c r="G878" s="5">
        <f t="shared" si="15"/>
        <v>-1.2373968835929228E-3</v>
      </c>
    </row>
    <row r="879" spans="1:7">
      <c r="A879" s="67">
        <v>219.09</v>
      </c>
      <c r="B879" s="67">
        <v>220.27</v>
      </c>
      <c r="C879" s="67">
        <v>211.30500000000001</v>
      </c>
      <c r="D879" s="67">
        <v>211.43</v>
      </c>
      <c r="E879" s="67">
        <v>239412</v>
      </c>
      <c r="F879" s="67" t="s">
        <v>1309</v>
      </c>
      <c r="G879" s="5">
        <f t="shared" si="15"/>
        <v>3.6229484935912604E-2</v>
      </c>
    </row>
    <row r="880" spans="1:7">
      <c r="A880" s="67">
        <v>212.82</v>
      </c>
      <c r="B880" s="67">
        <v>217.92</v>
      </c>
      <c r="C880" s="67">
        <v>209.76</v>
      </c>
      <c r="D880" s="67">
        <v>217.92</v>
      </c>
      <c r="E880" s="67">
        <v>330638</v>
      </c>
      <c r="F880" s="67" t="s">
        <v>1310</v>
      </c>
      <c r="G880" s="5">
        <f t="shared" si="15"/>
        <v>-2.340308370044053E-2</v>
      </c>
    </row>
    <row r="881" spans="1:7">
      <c r="A881" s="67">
        <v>222.48</v>
      </c>
      <c r="B881" s="67">
        <v>222.74</v>
      </c>
      <c r="C881" s="67">
        <v>214.37</v>
      </c>
      <c r="D881" s="67">
        <v>220.8</v>
      </c>
      <c r="E881" s="67">
        <v>332736</v>
      </c>
      <c r="F881" s="67" t="s">
        <v>1311</v>
      </c>
      <c r="G881" s="5">
        <f t="shared" si="15"/>
        <v>7.6086956521739246E-3</v>
      </c>
    </row>
    <row r="882" spans="1:7">
      <c r="A882" s="67">
        <v>220.94</v>
      </c>
      <c r="B882" s="67">
        <v>229.44</v>
      </c>
      <c r="C882" s="67">
        <v>218.82</v>
      </c>
      <c r="D882" s="67">
        <v>226.85</v>
      </c>
      <c r="E882" s="67">
        <v>220945</v>
      </c>
      <c r="F882" s="67" t="s">
        <v>1312</v>
      </c>
      <c r="G882" s="5">
        <f t="shared" ref="G882:G945" si="16">A882/D882-1</f>
        <v>-2.605245757108221E-2</v>
      </c>
    </row>
    <row r="883" spans="1:7">
      <c r="A883" s="67">
        <v>227.33</v>
      </c>
      <c r="B883" s="67">
        <v>228.01</v>
      </c>
      <c r="C883" s="67">
        <v>220.58</v>
      </c>
      <c r="D883" s="67">
        <v>221.71</v>
      </c>
      <c r="E883" s="67">
        <v>273075</v>
      </c>
      <c r="F883" s="67" t="s">
        <v>1313</v>
      </c>
      <c r="G883" s="5">
        <f t="shared" si="16"/>
        <v>2.5348428126832356E-2</v>
      </c>
    </row>
    <row r="884" spans="1:7">
      <c r="A884" s="67">
        <v>222.13</v>
      </c>
      <c r="B884" s="67">
        <v>228.19</v>
      </c>
      <c r="C884" s="67">
        <v>216.11</v>
      </c>
      <c r="D884" s="67">
        <v>216.11</v>
      </c>
      <c r="E884" s="67">
        <v>252196</v>
      </c>
      <c r="F884" s="67" t="s">
        <v>1314</v>
      </c>
      <c r="G884" s="5">
        <f t="shared" si="16"/>
        <v>2.785618435056203E-2</v>
      </c>
    </row>
    <row r="885" spans="1:7">
      <c r="A885" s="67">
        <v>216.86</v>
      </c>
      <c r="B885" s="67">
        <v>217.34</v>
      </c>
      <c r="C885" s="67">
        <v>213.36</v>
      </c>
      <c r="D885" s="67">
        <v>215.85</v>
      </c>
      <c r="E885" s="67">
        <v>212687</v>
      </c>
      <c r="F885" s="67" t="s">
        <v>1315</v>
      </c>
      <c r="G885" s="5">
        <f t="shared" si="16"/>
        <v>4.6791753532546831E-3</v>
      </c>
    </row>
    <row r="886" spans="1:7">
      <c r="A886" s="67">
        <v>215.86</v>
      </c>
      <c r="B886" s="67">
        <v>217.07</v>
      </c>
      <c r="C886" s="67">
        <v>207.65</v>
      </c>
      <c r="D886" s="67">
        <v>208.55</v>
      </c>
      <c r="E886" s="67">
        <v>389175</v>
      </c>
      <c r="F886" s="67" t="s">
        <v>1316</v>
      </c>
      <c r="G886" s="5">
        <f t="shared" si="16"/>
        <v>3.5051546391752675E-2</v>
      </c>
    </row>
    <row r="887" spans="1:7">
      <c r="A887" s="67">
        <v>204.33</v>
      </c>
      <c r="B887" s="67">
        <v>209.3</v>
      </c>
      <c r="C887" s="67">
        <v>202.245</v>
      </c>
      <c r="D887" s="67">
        <v>205.41</v>
      </c>
      <c r="E887" s="67">
        <v>484988</v>
      </c>
      <c r="F887" s="67" t="s">
        <v>1317</v>
      </c>
      <c r="G887" s="5">
        <f t="shared" si="16"/>
        <v>-5.257777128669372E-3</v>
      </c>
    </row>
    <row r="888" spans="1:7">
      <c r="A888" s="67">
        <v>202.54</v>
      </c>
      <c r="B888" s="67">
        <v>206.52</v>
      </c>
      <c r="C888" s="67">
        <v>199.15</v>
      </c>
      <c r="D888" s="67">
        <v>206.52</v>
      </c>
      <c r="E888" s="67">
        <v>229432</v>
      </c>
      <c r="F888" s="67" t="s">
        <v>1318</v>
      </c>
      <c r="G888" s="5">
        <f t="shared" si="16"/>
        <v>-1.9271741235715734E-2</v>
      </c>
    </row>
    <row r="889" spans="1:7">
      <c r="A889" s="67">
        <v>205.68</v>
      </c>
      <c r="B889" s="67">
        <v>208.19</v>
      </c>
      <c r="C889" s="67">
        <v>203.215</v>
      </c>
      <c r="D889" s="67">
        <v>208.19</v>
      </c>
      <c r="E889" s="67">
        <v>263169</v>
      </c>
      <c r="F889" s="67" t="s">
        <v>1319</v>
      </c>
      <c r="G889" s="5">
        <f t="shared" si="16"/>
        <v>-1.2056294730774741E-2</v>
      </c>
    </row>
    <row r="890" spans="1:7">
      <c r="A890" s="67">
        <v>206.5</v>
      </c>
      <c r="B890" s="67">
        <v>210.56</v>
      </c>
      <c r="C890" s="67">
        <v>204.53</v>
      </c>
      <c r="D890" s="67">
        <v>210.27</v>
      </c>
      <c r="E890" s="67">
        <v>104510</v>
      </c>
      <c r="F890" s="67" t="s">
        <v>1320</v>
      </c>
      <c r="G890" s="5">
        <f t="shared" si="16"/>
        <v>-1.7929328958006474E-2</v>
      </c>
    </row>
    <row r="891" spans="1:7">
      <c r="A891" s="67">
        <v>212.81</v>
      </c>
      <c r="B891" s="67">
        <v>216.59</v>
      </c>
      <c r="C891" s="67">
        <v>209.71</v>
      </c>
      <c r="D891" s="67">
        <v>212.12</v>
      </c>
      <c r="E891" s="67">
        <v>131082</v>
      </c>
      <c r="F891" s="67" t="s">
        <v>1321</v>
      </c>
      <c r="G891" s="5">
        <f t="shared" si="16"/>
        <v>3.2528757307184186E-3</v>
      </c>
    </row>
    <row r="892" spans="1:7">
      <c r="A892" s="67">
        <v>210.65</v>
      </c>
      <c r="B892" s="67">
        <v>216.28</v>
      </c>
      <c r="C892" s="67">
        <v>207.27</v>
      </c>
      <c r="D892" s="67">
        <v>213.08</v>
      </c>
      <c r="E892" s="67">
        <v>78337</v>
      </c>
      <c r="F892" s="67" t="s">
        <v>1322</v>
      </c>
      <c r="G892" s="5">
        <f t="shared" si="16"/>
        <v>-1.1404167448845537E-2</v>
      </c>
    </row>
    <row r="893" spans="1:7">
      <c r="A893" s="67">
        <v>215.57</v>
      </c>
      <c r="B893" s="67">
        <v>218.7</v>
      </c>
      <c r="C893" s="67">
        <v>208.95500000000001</v>
      </c>
      <c r="D893" s="67">
        <v>210.17</v>
      </c>
      <c r="E893" s="67">
        <v>212639</v>
      </c>
      <c r="F893" s="67" t="s">
        <v>1323</v>
      </c>
      <c r="G893" s="5">
        <f t="shared" si="16"/>
        <v>2.5693486225436546E-2</v>
      </c>
    </row>
    <row r="894" spans="1:7">
      <c r="A894" s="67">
        <v>210.56</v>
      </c>
      <c r="B894" s="67">
        <v>210.68</v>
      </c>
      <c r="C894" s="67">
        <v>194.73</v>
      </c>
      <c r="D894" s="67">
        <v>199.93</v>
      </c>
      <c r="E894" s="67">
        <v>205937</v>
      </c>
      <c r="F894" s="67" t="s">
        <v>1324</v>
      </c>
      <c r="G894" s="5">
        <f t="shared" si="16"/>
        <v>5.3168609013154677E-2</v>
      </c>
    </row>
    <row r="895" spans="1:7">
      <c r="A895" s="67">
        <v>201.43</v>
      </c>
      <c r="B895" s="67">
        <v>201.935</v>
      </c>
      <c r="C895" s="67">
        <v>192.83</v>
      </c>
      <c r="D895" s="67">
        <v>194.22</v>
      </c>
      <c r="E895" s="67">
        <v>161972</v>
      </c>
      <c r="F895" s="67" t="s">
        <v>1325</v>
      </c>
      <c r="G895" s="5">
        <f t="shared" si="16"/>
        <v>3.7122850375862493E-2</v>
      </c>
    </row>
    <row r="896" spans="1:7">
      <c r="A896" s="67">
        <v>191.05</v>
      </c>
      <c r="B896" s="67">
        <v>192.27</v>
      </c>
      <c r="C896" s="67">
        <v>186.88</v>
      </c>
      <c r="D896" s="67">
        <v>189.77</v>
      </c>
      <c r="E896" s="67">
        <v>120010</v>
      </c>
      <c r="F896" s="67" t="s">
        <v>1326</v>
      </c>
      <c r="G896" s="5">
        <f t="shared" si="16"/>
        <v>6.7450071138746015E-3</v>
      </c>
    </row>
    <row r="897" spans="1:7">
      <c r="A897" s="67">
        <v>187.51</v>
      </c>
      <c r="B897" s="67">
        <v>199.03</v>
      </c>
      <c r="C897" s="67">
        <v>186.19</v>
      </c>
      <c r="D897" s="67">
        <v>192.5</v>
      </c>
      <c r="E897" s="67">
        <v>174502</v>
      </c>
      <c r="F897" s="67" t="s">
        <v>1327</v>
      </c>
      <c r="G897" s="5">
        <f t="shared" si="16"/>
        <v>-2.5922077922078013E-2</v>
      </c>
    </row>
    <row r="898" spans="1:7">
      <c r="A898" s="67">
        <v>192.2</v>
      </c>
      <c r="B898" s="67">
        <v>203.49</v>
      </c>
      <c r="C898" s="67">
        <v>192</v>
      </c>
      <c r="D898" s="67">
        <v>203.49</v>
      </c>
      <c r="E898" s="67">
        <v>140283</v>
      </c>
      <c r="F898" s="67" t="s">
        <v>1328</v>
      </c>
      <c r="G898" s="5">
        <f t="shared" si="16"/>
        <v>-5.5481841859550962E-2</v>
      </c>
    </row>
    <row r="899" spans="1:7">
      <c r="A899" s="67">
        <v>200</v>
      </c>
      <c r="B899" s="67">
        <v>202.255</v>
      </c>
      <c r="C899" s="67">
        <v>197.7</v>
      </c>
      <c r="D899" s="67">
        <v>202.16</v>
      </c>
      <c r="E899" s="67">
        <v>196056</v>
      </c>
      <c r="F899" s="67" t="s">
        <v>1329</v>
      </c>
      <c r="G899" s="5">
        <f t="shared" si="16"/>
        <v>-1.068460625247325E-2</v>
      </c>
    </row>
    <row r="900" spans="1:7">
      <c r="A900" s="67">
        <v>206.59</v>
      </c>
      <c r="B900" s="67">
        <v>209.77</v>
      </c>
      <c r="C900" s="67">
        <v>204.77</v>
      </c>
      <c r="D900" s="67">
        <v>207.37</v>
      </c>
      <c r="E900" s="67">
        <v>180228</v>
      </c>
      <c r="F900" s="67" t="s">
        <v>1330</v>
      </c>
      <c r="G900" s="5">
        <f t="shared" si="16"/>
        <v>-3.7613926797511743E-3</v>
      </c>
    </row>
    <row r="901" spans="1:7">
      <c r="A901" s="67">
        <v>202.02</v>
      </c>
      <c r="B901" s="67">
        <v>211.03</v>
      </c>
      <c r="C901" s="67">
        <v>201</v>
      </c>
      <c r="D901" s="67">
        <v>210.78</v>
      </c>
      <c r="E901" s="67">
        <v>181971</v>
      </c>
      <c r="F901" s="67" t="s">
        <v>1331</v>
      </c>
      <c r="G901" s="5">
        <f t="shared" si="16"/>
        <v>-4.1559920296043273E-2</v>
      </c>
    </row>
    <row r="902" spans="1:7">
      <c r="A902" s="67">
        <v>212.44</v>
      </c>
      <c r="B902" s="67">
        <v>224.44</v>
      </c>
      <c r="C902" s="67">
        <v>211.95</v>
      </c>
      <c r="D902" s="67">
        <v>224.44</v>
      </c>
      <c r="E902" s="67">
        <v>187060</v>
      </c>
      <c r="F902" s="67" t="s">
        <v>1332</v>
      </c>
      <c r="G902" s="5">
        <f t="shared" si="16"/>
        <v>-5.3466405275351958E-2</v>
      </c>
    </row>
    <row r="903" spans="1:7">
      <c r="A903" s="67">
        <v>222.87</v>
      </c>
      <c r="B903" s="67">
        <v>223.54</v>
      </c>
      <c r="C903" s="67">
        <v>217.52</v>
      </c>
      <c r="D903" s="67">
        <v>221.57</v>
      </c>
      <c r="E903" s="67">
        <v>142664</v>
      </c>
      <c r="F903" s="67" t="s">
        <v>1333</v>
      </c>
      <c r="G903" s="5">
        <f t="shared" si="16"/>
        <v>5.8672202915557303E-3</v>
      </c>
    </row>
    <row r="904" spans="1:7">
      <c r="A904" s="67">
        <v>222.43</v>
      </c>
      <c r="B904" s="67">
        <v>232.81</v>
      </c>
      <c r="C904" s="67">
        <v>221.25</v>
      </c>
      <c r="D904" s="67">
        <v>230.73</v>
      </c>
      <c r="E904" s="67">
        <v>148841</v>
      </c>
      <c r="F904" s="67" t="s">
        <v>1334</v>
      </c>
      <c r="G904" s="5">
        <f t="shared" si="16"/>
        <v>-3.5972782039613294E-2</v>
      </c>
    </row>
    <row r="905" spans="1:7">
      <c r="A905" s="67">
        <v>227.23</v>
      </c>
      <c r="B905" s="67">
        <v>229.37</v>
      </c>
      <c r="C905" s="67">
        <v>222.68</v>
      </c>
      <c r="D905" s="67">
        <v>226.24</v>
      </c>
      <c r="E905" s="67">
        <v>184311</v>
      </c>
      <c r="F905" s="67" t="s">
        <v>1335</v>
      </c>
      <c r="G905" s="5">
        <f t="shared" si="16"/>
        <v>4.3758840169729751E-3</v>
      </c>
    </row>
    <row r="906" spans="1:7">
      <c r="A906" s="67">
        <v>224.27</v>
      </c>
      <c r="B906" s="67">
        <v>230.66499999999999</v>
      </c>
      <c r="C906" s="67">
        <v>218.93</v>
      </c>
      <c r="D906" s="67">
        <v>219.82</v>
      </c>
      <c r="E906" s="67">
        <v>260463</v>
      </c>
      <c r="F906" s="67" t="s">
        <v>1336</v>
      </c>
      <c r="G906" s="5">
        <f t="shared" si="16"/>
        <v>2.0243835865708437E-2</v>
      </c>
    </row>
    <row r="907" spans="1:7">
      <c r="A907" s="67">
        <v>221.74</v>
      </c>
      <c r="B907" s="67">
        <v>226.9</v>
      </c>
      <c r="C907" s="67">
        <v>219.285</v>
      </c>
      <c r="D907" s="67">
        <v>221.71</v>
      </c>
      <c r="E907" s="67">
        <v>249241</v>
      </c>
      <c r="F907" s="67" t="s">
        <v>1337</v>
      </c>
      <c r="G907" s="5">
        <f t="shared" si="16"/>
        <v>1.3531189391557952E-4</v>
      </c>
    </row>
    <row r="908" spans="1:7">
      <c r="A908" s="67">
        <v>222.92</v>
      </c>
      <c r="B908" s="67">
        <v>225.92</v>
      </c>
      <c r="C908" s="67">
        <v>214.67</v>
      </c>
      <c r="D908" s="67">
        <v>215.87</v>
      </c>
      <c r="E908" s="67">
        <v>205121</v>
      </c>
      <c r="F908" s="67" t="s">
        <v>1338</v>
      </c>
      <c r="G908" s="5">
        <f t="shared" si="16"/>
        <v>3.2658544494371444E-2</v>
      </c>
    </row>
    <row r="909" spans="1:7">
      <c r="A909" s="67">
        <v>215.75</v>
      </c>
      <c r="B909" s="67">
        <v>216.44</v>
      </c>
      <c r="C909" s="67">
        <v>196.41</v>
      </c>
      <c r="D909" s="67">
        <v>196.41</v>
      </c>
      <c r="E909" s="67">
        <v>305500</v>
      </c>
      <c r="F909" s="67" t="s">
        <v>1339</v>
      </c>
      <c r="G909" s="5">
        <f t="shared" si="16"/>
        <v>9.846749147192102E-2</v>
      </c>
    </row>
    <row r="910" spans="1:7">
      <c r="A910" s="67">
        <v>204.05</v>
      </c>
      <c r="B910" s="67">
        <v>218.47</v>
      </c>
      <c r="C910" s="67">
        <v>200.001</v>
      </c>
      <c r="D910" s="67">
        <v>207.01</v>
      </c>
      <c r="E910" s="67">
        <v>606510</v>
      </c>
      <c r="F910" s="67" t="s">
        <v>1340</v>
      </c>
      <c r="G910" s="5">
        <f t="shared" si="16"/>
        <v>-1.4298826143664511E-2</v>
      </c>
    </row>
    <row r="911" spans="1:7">
      <c r="A911" s="67">
        <v>216.59</v>
      </c>
      <c r="B911" s="67">
        <v>218.95</v>
      </c>
      <c r="C911" s="67">
        <v>206.29</v>
      </c>
      <c r="D911" s="67">
        <v>206.29</v>
      </c>
      <c r="E911" s="67">
        <v>216050</v>
      </c>
      <c r="F911" s="67" t="s">
        <v>1341</v>
      </c>
      <c r="G911" s="5">
        <f t="shared" si="16"/>
        <v>4.9929710601580357E-2</v>
      </c>
    </row>
    <row r="912" spans="1:7">
      <c r="A912" s="67">
        <v>211.15</v>
      </c>
      <c r="B912" s="67">
        <v>220.52</v>
      </c>
      <c r="C912" s="67">
        <v>210.44</v>
      </c>
      <c r="D912" s="67">
        <v>217.12</v>
      </c>
      <c r="E912" s="67">
        <v>172327</v>
      </c>
      <c r="F912" s="67" t="s">
        <v>1342</v>
      </c>
      <c r="G912" s="5">
        <f t="shared" si="16"/>
        <v>-2.749631540162123E-2</v>
      </c>
    </row>
    <row r="913" spans="1:7">
      <c r="A913" s="67">
        <v>216.15</v>
      </c>
      <c r="B913" s="67">
        <v>226.97</v>
      </c>
      <c r="C913" s="67">
        <v>215.715</v>
      </c>
      <c r="D913" s="67">
        <v>226.97</v>
      </c>
      <c r="E913" s="67">
        <v>168673</v>
      </c>
      <c r="F913" s="67" t="s">
        <v>1343</v>
      </c>
      <c r="G913" s="5">
        <f t="shared" si="16"/>
        <v>-4.7671498435916559E-2</v>
      </c>
    </row>
    <row r="914" spans="1:7">
      <c r="A914" s="67">
        <v>227.87</v>
      </c>
      <c r="B914" s="67">
        <v>230.155</v>
      </c>
      <c r="C914" s="67">
        <v>222.26</v>
      </c>
      <c r="D914" s="67">
        <v>229.7</v>
      </c>
      <c r="E914" s="67">
        <v>108387</v>
      </c>
      <c r="F914" s="67" t="s">
        <v>1344</v>
      </c>
      <c r="G914" s="5">
        <f t="shared" si="16"/>
        <v>-7.9669133652590096E-3</v>
      </c>
    </row>
    <row r="915" spans="1:7">
      <c r="A915" s="67">
        <v>231.57</v>
      </c>
      <c r="B915" s="67">
        <v>232.26</v>
      </c>
      <c r="C915" s="67">
        <v>225.61</v>
      </c>
      <c r="D915" s="67">
        <v>226.35</v>
      </c>
      <c r="E915" s="67">
        <v>91667</v>
      </c>
      <c r="F915" s="67" t="s">
        <v>1345</v>
      </c>
      <c r="G915" s="5">
        <f t="shared" si="16"/>
        <v>2.3061630218687901E-2</v>
      </c>
    </row>
    <row r="916" spans="1:7">
      <c r="A916" s="67">
        <v>221.17</v>
      </c>
      <c r="B916" s="67">
        <v>228.18</v>
      </c>
      <c r="C916" s="67">
        <v>220</v>
      </c>
      <c r="D916" s="67">
        <v>224.53</v>
      </c>
      <c r="E916" s="67">
        <v>148939</v>
      </c>
      <c r="F916" s="67" t="s">
        <v>1346</v>
      </c>
      <c r="G916" s="5">
        <f t="shared" si="16"/>
        <v>-1.4964592704761137E-2</v>
      </c>
    </row>
    <row r="917" spans="1:7">
      <c r="A917" s="67">
        <v>226.06</v>
      </c>
      <c r="B917" s="67">
        <v>234.33</v>
      </c>
      <c r="C917" s="67">
        <v>223.47</v>
      </c>
      <c r="D917" s="67">
        <v>229.95</v>
      </c>
      <c r="E917" s="67">
        <v>81168</v>
      </c>
      <c r="F917" s="67" t="s">
        <v>1347</v>
      </c>
      <c r="G917" s="5">
        <f t="shared" si="16"/>
        <v>-1.6916721026310033E-2</v>
      </c>
    </row>
    <row r="918" spans="1:7">
      <c r="A918" s="67">
        <v>230.14</v>
      </c>
      <c r="B918" s="67">
        <v>239.9</v>
      </c>
      <c r="C918" s="67">
        <v>227.13</v>
      </c>
      <c r="D918" s="67">
        <v>228.54</v>
      </c>
      <c r="E918" s="67">
        <v>153968</v>
      </c>
      <c r="F918" s="67" t="s">
        <v>1348</v>
      </c>
      <c r="G918" s="5">
        <f t="shared" si="16"/>
        <v>7.0009626323619401E-3</v>
      </c>
    </row>
    <row r="919" spans="1:7">
      <c r="A919" s="67">
        <v>235.08</v>
      </c>
      <c r="B919" s="67">
        <v>235.77</v>
      </c>
      <c r="C919" s="67">
        <v>228.59</v>
      </c>
      <c r="D919" s="67">
        <v>228.59</v>
      </c>
      <c r="E919" s="67">
        <v>135752</v>
      </c>
      <c r="F919" s="67" t="s">
        <v>1349</v>
      </c>
      <c r="G919" s="5">
        <f t="shared" si="16"/>
        <v>2.839144319524034E-2</v>
      </c>
    </row>
    <row r="920" spans="1:7">
      <c r="A920" s="67">
        <v>225.4</v>
      </c>
      <c r="B920" s="67">
        <v>226.755</v>
      </c>
      <c r="C920" s="67">
        <v>217.07</v>
      </c>
      <c r="D920" s="67">
        <v>219</v>
      </c>
      <c r="E920" s="67">
        <v>110888</v>
      </c>
      <c r="F920" s="67" t="s">
        <v>1350</v>
      </c>
      <c r="G920" s="5">
        <f t="shared" si="16"/>
        <v>2.9223744292237397E-2</v>
      </c>
    </row>
    <row r="921" spans="1:7">
      <c r="A921" s="67">
        <v>221.95</v>
      </c>
      <c r="B921" s="67">
        <v>224.89</v>
      </c>
      <c r="C921" s="67">
        <v>218.66</v>
      </c>
      <c r="D921" s="67">
        <v>218.66</v>
      </c>
      <c r="E921" s="67">
        <v>95994</v>
      </c>
      <c r="F921" s="67" t="s">
        <v>1351</v>
      </c>
      <c r="G921" s="5">
        <f t="shared" si="16"/>
        <v>1.5046190432635109E-2</v>
      </c>
    </row>
    <row r="922" spans="1:7">
      <c r="A922" s="67">
        <v>219.82</v>
      </c>
      <c r="B922" s="67">
        <v>223.88</v>
      </c>
      <c r="C922" s="67">
        <v>214.815</v>
      </c>
      <c r="D922" s="67">
        <v>216.83</v>
      </c>
      <c r="E922" s="67">
        <v>145583</v>
      </c>
      <c r="F922" s="67" t="s">
        <v>1352</v>
      </c>
      <c r="G922" s="5">
        <f t="shared" si="16"/>
        <v>1.3789604759488983E-2</v>
      </c>
    </row>
    <row r="923" spans="1:7">
      <c r="A923" s="67">
        <v>217.92</v>
      </c>
      <c r="B923" s="67">
        <v>222.68</v>
      </c>
      <c r="C923" s="67">
        <v>216.56</v>
      </c>
      <c r="D923" s="67">
        <v>219.03</v>
      </c>
      <c r="E923" s="67">
        <v>143611</v>
      </c>
      <c r="F923" s="67" t="s">
        <v>1353</v>
      </c>
      <c r="G923" s="5">
        <f t="shared" si="16"/>
        <v>-5.0677989316532113E-3</v>
      </c>
    </row>
    <row r="924" spans="1:7">
      <c r="A924" s="67">
        <v>224.1</v>
      </c>
      <c r="B924" s="67">
        <v>228.14250000000001</v>
      </c>
      <c r="C924" s="67">
        <v>220.39</v>
      </c>
      <c r="D924" s="67">
        <v>226.93</v>
      </c>
      <c r="E924" s="67">
        <v>178028</v>
      </c>
      <c r="F924" s="67" t="s">
        <v>1354</v>
      </c>
      <c r="G924" s="5">
        <f t="shared" si="16"/>
        <v>-1.2470805975410948E-2</v>
      </c>
    </row>
    <row r="925" spans="1:7">
      <c r="A925" s="67">
        <v>228.15</v>
      </c>
      <c r="B925" s="67">
        <v>232.55</v>
      </c>
      <c r="C925" s="67">
        <v>221.03</v>
      </c>
      <c r="D925" s="67">
        <v>228.33</v>
      </c>
      <c r="E925" s="67">
        <v>179776</v>
      </c>
      <c r="F925" s="67" t="s">
        <v>1355</v>
      </c>
      <c r="G925" s="5">
        <f t="shared" si="16"/>
        <v>-7.8833267638944715E-4</v>
      </c>
    </row>
    <row r="926" spans="1:7">
      <c r="A926" s="67">
        <v>226.01</v>
      </c>
      <c r="B926" s="67">
        <v>226.76499999999999</v>
      </c>
      <c r="C926" s="67">
        <v>207.47</v>
      </c>
      <c r="D926" s="67">
        <v>207.47</v>
      </c>
      <c r="E926" s="67">
        <v>284637</v>
      </c>
      <c r="F926" s="67" t="s">
        <v>1356</v>
      </c>
      <c r="G926" s="5">
        <f t="shared" si="16"/>
        <v>8.9362317443485662E-2</v>
      </c>
    </row>
    <row r="927" spans="1:7">
      <c r="A927" s="67">
        <v>206.5</v>
      </c>
      <c r="B927" s="67">
        <v>206.75</v>
      </c>
      <c r="C927" s="67">
        <v>193.61500000000001</v>
      </c>
      <c r="D927" s="67">
        <v>199</v>
      </c>
      <c r="E927" s="67">
        <v>160118</v>
      </c>
      <c r="F927" s="67" t="s">
        <v>1357</v>
      </c>
      <c r="G927" s="5">
        <f t="shared" si="16"/>
        <v>3.7688442211055273E-2</v>
      </c>
    </row>
    <row r="928" spans="1:7">
      <c r="A928" s="67">
        <v>197.49</v>
      </c>
      <c r="B928" s="67">
        <v>214.46</v>
      </c>
      <c r="C928" s="67">
        <v>197.07</v>
      </c>
      <c r="D928" s="67">
        <v>211.35</v>
      </c>
      <c r="E928" s="67">
        <v>188010</v>
      </c>
      <c r="F928" s="67" t="s">
        <v>1358</v>
      </c>
      <c r="G928" s="5">
        <f t="shared" si="16"/>
        <v>-6.5578424414478254E-2</v>
      </c>
    </row>
    <row r="929" spans="1:7">
      <c r="A929" s="67">
        <v>209.29</v>
      </c>
      <c r="B929" s="67">
        <v>219.58</v>
      </c>
      <c r="C929" s="67">
        <v>206.97</v>
      </c>
      <c r="D929" s="67">
        <v>217.53</v>
      </c>
      <c r="E929" s="67">
        <v>135705</v>
      </c>
      <c r="F929" s="67" t="s">
        <v>1359</v>
      </c>
      <c r="G929" s="5">
        <f t="shared" si="16"/>
        <v>-3.787983266675865E-2</v>
      </c>
    </row>
    <row r="930" spans="1:7">
      <c r="A930" s="67">
        <v>213.07</v>
      </c>
      <c r="B930" s="67">
        <v>231.18</v>
      </c>
      <c r="C930" s="67">
        <v>211.61</v>
      </c>
      <c r="D930" s="67">
        <v>225.35</v>
      </c>
      <c r="E930" s="67">
        <v>264833</v>
      </c>
      <c r="F930" s="67" t="s">
        <v>1360</v>
      </c>
      <c r="G930" s="5">
        <f t="shared" si="16"/>
        <v>-5.4493010871976888E-2</v>
      </c>
    </row>
    <row r="931" spans="1:7">
      <c r="A931" s="67">
        <v>228.46</v>
      </c>
      <c r="B931" s="67">
        <v>229.8</v>
      </c>
      <c r="C931" s="67">
        <v>208</v>
      </c>
      <c r="D931" s="67">
        <v>214.26</v>
      </c>
      <c r="E931" s="67">
        <v>265955</v>
      </c>
      <c r="F931" s="67" t="s">
        <v>1361</v>
      </c>
      <c r="G931" s="5">
        <f t="shared" si="16"/>
        <v>6.6274619621021325E-2</v>
      </c>
    </row>
    <row r="932" spans="1:7">
      <c r="A932" s="67">
        <v>218.3</v>
      </c>
      <c r="B932" s="67">
        <v>225.13</v>
      </c>
      <c r="C932" s="67">
        <v>217</v>
      </c>
      <c r="D932" s="67">
        <v>221.6</v>
      </c>
      <c r="E932" s="67">
        <v>150501</v>
      </c>
      <c r="F932" s="67" t="s">
        <v>1362</v>
      </c>
      <c r="G932" s="5">
        <f t="shared" si="16"/>
        <v>-1.4891696750902406E-2</v>
      </c>
    </row>
    <row r="933" spans="1:7">
      <c r="A933" s="67">
        <v>223.3</v>
      </c>
      <c r="B933" s="67">
        <v>232.18</v>
      </c>
      <c r="C933" s="67">
        <v>221</v>
      </c>
      <c r="D933" s="67">
        <v>221.18</v>
      </c>
      <c r="E933" s="67">
        <v>189379</v>
      </c>
      <c r="F933" s="67" t="s">
        <v>1363</v>
      </c>
      <c r="G933" s="5">
        <f t="shared" si="16"/>
        <v>9.5849534315941565E-3</v>
      </c>
    </row>
    <row r="934" spans="1:7">
      <c r="A934" s="67">
        <v>218.65</v>
      </c>
      <c r="B934" s="67">
        <v>229.96</v>
      </c>
      <c r="C934" s="67">
        <v>218</v>
      </c>
      <c r="D934" s="67">
        <v>224.89</v>
      </c>
      <c r="E934" s="67">
        <v>147152</v>
      </c>
      <c r="F934" s="67" t="s">
        <v>1364</v>
      </c>
      <c r="G934" s="5">
        <f t="shared" si="16"/>
        <v>-2.7746898483703042E-2</v>
      </c>
    </row>
    <row r="935" spans="1:7">
      <c r="A935" s="67">
        <v>223.73</v>
      </c>
      <c r="B935" s="67">
        <v>236.02500000000001</v>
      </c>
      <c r="C935" s="67">
        <v>223.03</v>
      </c>
      <c r="D935" s="67">
        <v>234.92</v>
      </c>
      <c r="E935" s="67">
        <v>240173</v>
      </c>
      <c r="F935" s="67" t="s">
        <v>1365</v>
      </c>
      <c r="G935" s="5">
        <f t="shared" si="16"/>
        <v>-4.7633236846586047E-2</v>
      </c>
    </row>
    <row r="936" spans="1:7">
      <c r="A936" s="67">
        <v>237.58</v>
      </c>
      <c r="B936" s="67">
        <v>247.12</v>
      </c>
      <c r="C936" s="67">
        <v>236.33</v>
      </c>
      <c r="D936" s="67">
        <v>243.7</v>
      </c>
      <c r="E936" s="67">
        <v>287309</v>
      </c>
      <c r="F936" s="67" t="s">
        <v>1366</v>
      </c>
      <c r="G936" s="5">
        <f t="shared" si="16"/>
        <v>-2.5112843660237916E-2</v>
      </c>
    </row>
    <row r="937" spans="1:7">
      <c r="A937" s="67">
        <v>247.16</v>
      </c>
      <c r="B937" s="67">
        <v>260.60000000000002</v>
      </c>
      <c r="C937" s="67">
        <v>245.55009999999999</v>
      </c>
      <c r="D937" s="67">
        <v>258.08</v>
      </c>
      <c r="E937" s="67">
        <v>188556</v>
      </c>
      <c r="F937" s="67" t="s">
        <v>1367</v>
      </c>
      <c r="G937" s="5">
        <f t="shared" si="16"/>
        <v>-4.2312461252324796E-2</v>
      </c>
    </row>
    <row r="938" spans="1:7">
      <c r="A938" s="67">
        <v>258.79000000000002</v>
      </c>
      <c r="B938" s="67">
        <v>269.25</v>
      </c>
      <c r="C938" s="67">
        <v>256.42</v>
      </c>
      <c r="D938" s="67">
        <v>260.49</v>
      </c>
      <c r="E938" s="67">
        <v>224527</v>
      </c>
      <c r="F938" s="67" t="s">
        <v>1368</v>
      </c>
      <c r="G938" s="5">
        <f t="shared" si="16"/>
        <v>-6.5261622327151825E-3</v>
      </c>
    </row>
    <row r="939" spans="1:7">
      <c r="A939" s="67">
        <v>259.89</v>
      </c>
      <c r="B939" s="67">
        <v>260.13990000000001</v>
      </c>
      <c r="C939" s="67">
        <v>244.59</v>
      </c>
      <c r="D939" s="67">
        <v>246.64</v>
      </c>
      <c r="E939" s="67">
        <v>274171</v>
      </c>
      <c r="F939" s="67" t="s">
        <v>1369</v>
      </c>
      <c r="G939" s="5">
        <f t="shared" si="16"/>
        <v>5.3722024002594848E-2</v>
      </c>
    </row>
    <row r="940" spans="1:7">
      <c r="A940" s="67">
        <v>245.59</v>
      </c>
      <c r="B940" s="67">
        <v>252</v>
      </c>
      <c r="C940" s="67">
        <v>236.87</v>
      </c>
      <c r="D940" s="67">
        <v>251.71</v>
      </c>
      <c r="E940" s="67">
        <v>326631</v>
      </c>
      <c r="F940" s="67" t="s">
        <v>1370</v>
      </c>
      <c r="G940" s="5">
        <f t="shared" si="16"/>
        <v>-2.4313694330777458E-2</v>
      </c>
    </row>
    <row r="941" spans="1:7">
      <c r="A941" s="67">
        <v>254.5</v>
      </c>
      <c r="B941" s="67">
        <v>263.12</v>
      </c>
      <c r="C941" s="67">
        <v>249.36</v>
      </c>
      <c r="D941" s="67">
        <v>253.74</v>
      </c>
      <c r="E941" s="67">
        <v>177126</v>
      </c>
      <c r="F941" s="67" t="s">
        <v>1371</v>
      </c>
      <c r="G941" s="5">
        <f t="shared" si="16"/>
        <v>2.9951919287458662E-3</v>
      </c>
    </row>
    <row r="942" spans="1:7">
      <c r="A942" s="67">
        <v>255.93</v>
      </c>
      <c r="B942" s="67">
        <v>263.49</v>
      </c>
      <c r="C942" s="67">
        <v>254.26</v>
      </c>
      <c r="D942" s="67">
        <v>257.39999999999998</v>
      </c>
      <c r="E942" s="67">
        <v>204819</v>
      </c>
      <c r="F942" s="67" t="s">
        <v>1372</v>
      </c>
      <c r="G942" s="5">
        <f t="shared" si="16"/>
        <v>-5.7109557109555897E-3</v>
      </c>
    </row>
    <row r="943" spans="1:7">
      <c r="A943" s="67">
        <v>260.01</v>
      </c>
      <c r="B943" s="67">
        <v>276.48</v>
      </c>
      <c r="C943" s="67">
        <v>258.8</v>
      </c>
      <c r="D943" s="67">
        <v>274.22000000000003</v>
      </c>
      <c r="E943" s="67">
        <v>250852</v>
      </c>
      <c r="F943" s="67" t="s">
        <v>1373</v>
      </c>
      <c r="G943" s="5">
        <f t="shared" si="16"/>
        <v>-5.181970680475545E-2</v>
      </c>
    </row>
    <row r="944" spans="1:7">
      <c r="A944" s="67">
        <v>276.69</v>
      </c>
      <c r="B944" s="67">
        <v>286.97989999999999</v>
      </c>
      <c r="C944" s="67">
        <v>275.56</v>
      </c>
      <c r="D944" s="67">
        <v>283.99</v>
      </c>
      <c r="E944" s="67">
        <v>178930</v>
      </c>
      <c r="F944" s="67" t="s">
        <v>1374</v>
      </c>
      <c r="G944" s="5">
        <f t="shared" si="16"/>
        <v>-2.5705130462340242E-2</v>
      </c>
    </row>
    <row r="945" spans="1:7">
      <c r="A945" s="67">
        <v>283.98</v>
      </c>
      <c r="B945" s="67">
        <v>287.52999999999997</v>
      </c>
      <c r="C945" s="67">
        <v>277.36</v>
      </c>
      <c r="D945" s="67">
        <v>285.33999999999997</v>
      </c>
      <c r="E945" s="67">
        <v>223553</v>
      </c>
      <c r="F945" s="67" t="s">
        <v>1375</v>
      </c>
      <c r="G945" s="5">
        <f t="shared" si="16"/>
        <v>-4.7662437793507539E-3</v>
      </c>
    </row>
    <row r="946" spans="1:7">
      <c r="A946" s="67">
        <v>287.32</v>
      </c>
      <c r="B946" s="67">
        <v>290.36</v>
      </c>
      <c r="C946" s="67">
        <v>284.77</v>
      </c>
      <c r="D946" s="67">
        <v>286.70999999999998</v>
      </c>
      <c r="E946" s="67">
        <v>185776</v>
      </c>
      <c r="F946" s="67" t="s">
        <v>1376</v>
      </c>
      <c r="G946" s="5">
        <f t="shared" ref="G946:G1009" si="17">A946/D946-1</f>
        <v>2.1275853650029042E-3</v>
      </c>
    </row>
    <row r="947" spans="1:7">
      <c r="A947" s="67">
        <v>286.5</v>
      </c>
      <c r="B947" s="67">
        <v>287.83</v>
      </c>
      <c r="C947" s="67">
        <v>279.95999999999998</v>
      </c>
      <c r="D947" s="67">
        <v>281</v>
      </c>
      <c r="E947" s="67">
        <v>178152</v>
      </c>
      <c r="F947" s="67" t="s">
        <v>1377</v>
      </c>
      <c r="G947" s="5">
        <f t="shared" si="17"/>
        <v>1.9572953736654908E-2</v>
      </c>
    </row>
    <row r="948" spans="1:7">
      <c r="A948" s="67">
        <v>280.89</v>
      </c>
      <c r="B948" s="67">
        <v>280.95</v>
      </c>
      <c r="C948" s="67">
        <v>276.58999999999997</v>
      </c>
      <c r="D948" s="67">
        <v>278.06</v>
      </c>
      <c r="E948" s="67">
        <v>98694</v>
      </c>
      <c r="F948" s="67" t="s">
        <v>1378</v>
      </c>
      <c r="G948" s="5">
        <f t="shared" si="17"/>
        <v>1.0177659497950131E-2</v>
      </c>
    </row>
    <row r="949" spans="1:7">
      <c r="A949" s="67">
        <v>276.47000000000003</v>
      </c>
      <c r="B949" s="67">
        <v>280.60000000000002</v>
      </c>
      <c r="C949" s="67">
        <v>274.2</v>
      </c>
      <c r="D949" s="67">
        <v>279.87</v>
      </c>
      <c r="E949" s="67">
        <v>90614</v>
      </c>
      <c r="F949" s="67" t="s">
        <v>1379</v>
      </c>
      <c r="G949" s="5">
        <f t="shared" si="17"/>
        <v>-1.2148497516704104E-2</v>
      </c>
    </row>
    <row r="950" spans="1:7">
      <c r="A950" s="67">
        <v>279.35000000000002</v>
      </c>
      <c r="B950" s="67">
        <v>280</v>
      </c>
      <c r="C950" s="67">
        <v>268.81</v>
      </c>
      <c r="D950" s="67">
        <v>274.85000000000002</v>
      </c>
      <c r="E950" s="67">
        <v>103060</v>
      </c>
      <c r="F950" s="67" t="s">
        <v>1380</v>
      </c>
      <c r="G950" s="5">
        <f t="shared" si="17"/>
        <v>1.6372566854647941E-2</v>
      </c>
    </row>
    <row r="951" spans="1:7">
      <c r="A951" s="67">
        <v>275.55</v>
      </c>
      <c r="B951" s="67">
        <v>279.88</v>
      </c>
      <c r="C951" s="67">
        <v>270.8</v>
      </c>
      <c r="D951" s="67">
        <v>273.89999999999998</v>
      </c>
      <c r="E951" s="67">
        <v>208525</v>
      </c>
      <c r="F951" s="67" t="s">
        <v>1381</v>
      </c>
      <c r="G951" s="5">
        <f t="shared" si="17"/>
        <v>6.0240963855422436E-3</v>
      </c>
    </row>
    <row r="952" spans="1:7">
      <c r="A952" s="67">
        <v>271.08</v>
      </c>
      <c r="B952" s="67">
        <v>271.5</v>
      </c>
      <c r="C952" s="67">
        <v>259.98</v>
      </c>
      <c r="D952" s="67">
        <v>259.98</v>
      </c>
      <c r="E952" s="67">
        <v>170479</v>
      </c>
      <c r="F952" s="67" t="s">
        <v>1382</v>
      </c>
      <c r="G952" s="5">
        <f t="shared" si="17"/>
        <v>4.2695591968612945E-2</v>
      </c>
    </row>
    <row r="953" spans="1:7">
      <c r="A953" s="67">
        <v>259.66000000000003</v>
      </c>
      <c r="B953" s="67">
        <v>262.62</v>
      </c>
      <c r="C953" s="67">
        <v>251.92850000000001</v>
      </c>
      <c r="D953" s="67">
        <v>252.79</v>
      </c>
      <c r="E953" s="67">
        <v>145326</v>
      </c>
      <c r="F953" s="67" t="s">
        <v>1383</v>
      </c>
      <c r="G953" s="5">
        <f t="shared" si="17"/>
        <v>2.7176707939396527E-2</v>
      </c>
    </row>
    <row r="954" spans="1:7">
      <c r="A954" s="67">
        <v>250.82</v>
      </c>
      <c r="B954" s="67">
        <v>252.75</v>
      </c>
      <c r="C954" s="67">
        <v>246.78</v>
      </c>
      <c r="D954" s="67">
        <v>249.69</v>
      </c>
      <c r="E954" s="67">
        <v>117502</v>
      </c>
      <c r="F954" s="67" t="s">
        <v>1384</v>
      </c>
      <c r="G954" s="5">
        <f t="shared" si="17"/>
        <v>4.5256117585805722E-3</v>
      </c>
    </row>
    <row r="955" spans="1:7">
      <c r="A955" s="67">
        <v>253.2</v>
      </c>
      <c r="B955" s="67">
        <v>256.74</v>
      </c>
      <c r="C955" s="67">
        <v>245.35</v>
      </c>
      <c r="D955" s="67">
        <v>247.43</v>
      </c>
      <c r="E955" s="67">
        <v>412747</v>
      </c>
      <c r="F955" s="67" t="s">
        <v>1385</v>
      </c>
      <c r="G955" s="5">
        <f t="shared" si="17"/>
        <v>2.3319726791415585E-2</v>
      </c>
    </row>
    <row r="956" spans="1:7">
      <c r="A956" s="67">
        <v>247.1</v>
      </c>
      <c r="B956" s="67">
        <v>255.28829999999999</v>
      </c>
      <c r="C956" s="67">
        <v>246.51</v>
      </c>
      <c r="D956" s="67">
        <v>253.94</v>
      </c>
      <c r="E956" s="67">
        <v>161465</v>
      </c>
      <c r="F956" s="67" t="s">
        <v>1386</v>
      </c>
      <c r="G956" s="5">
        <f t="shared" si="17"/>
        <v>-2.6935496573993856E-2</v>
      </c>
    </row>
    <row r="957" spans="1:7">
      <c r="A957" s="67">
        <v>253.94</v>
      </c>
      <c r="B957" s="67">
        <v>255</v>
      </c>
      <c r="C957" s="67">
        <v>245.45</v>
      </c>
      <c r="D957" s="67">
        <v>245.45</v>
      </c>
      <c r="E957" s="67">
        <v>183750</v>
      </c>
      <c r="F957" s="67" t="s">
        <v>1387</v>
      </c>
      <c r="G957" s="5">
        <f t="shared" si="17"/>
        <v>3.4589529435730348E-2</v>
      </c>
    </row>
    <row r="958" spans="1:7">
      <c r="A958" s="67">
        <v>247.83</v>
      </c>
      <c r="B958" s="67">
        <v>251.29</v>
      </c>
      <c r="C958" s="67">
        <v>245.245</v>
      </c>
      <c r="D958" s="67">
        <v>248.45</v>
      </c>
      <c r="E958" s="67">
        <v>121922</v>
      </c>
      <c r="F958" s="67" t="s">
        <v>1388</v>
      </c>
      <c r="G958" s="5">
        <f t="shared" si="17"/>
        <v>-2.4954719259406843E-3</v>
      </c>
    </row>
    <row r="959" spans="1:7">
      <c r="A959" s="67">
        <v>252.7</v>
      </c>
      <c r="B959" s="67">
        <v>254.17</v>
      </c>
      <c r="C959" s="67">
        <v>243.2</v>
      </c>
      <c r="D959" s="67">
        <v>245.8</v>
      </c>
      <c r="E959" s="67">
        <v>570107</v>
      </c>
      <c r="F959" s="67" t="s">
        <v>1389</v>
      </c>
      <c r="G959" s="5">
        <f t="shared" si="17"/>
        <v>2.8071602929210737E-2</v>
      </c>
    </row>
    <row r="960" spans="1:7">
      <c r="A960" s="67">
        <v>244.95</v>
      </c>
      <c r="B960" s="67">
        <v>254.17</v>
      </c>
      <c r="C960" s="67">
        <v>244.52</v>
      </c>
      <c r="D960" s="67">
        <v>250.3</v>
      </c>
      <c r="E960" s="67">
        <v>101801</v>
      </c>
      <c r="F960" s="67" t="s">
        <v>1390</v>
      </c>
      <c r="G960" s="5">
        <f t="shared" si="17"/>
        <v>-2.1374350779065243E-2</v>
      </c>
    </row>
    <row r="961" spans="1:7">
      <c r="A961" s="67">
        <v>249.78</v>
      </c>
      <c r="B961" s="67">
        <v>264.61</v>
      </c>
      <c r="C961" s="67">
        <v>249.3</v>
      </c>
      <c r="D961" s="67">
        <v>260.7</v>
      </c>
      <c r="E961" s="67">
        <v>93300</v>
      </c>
      <c r="F961" s="67" t="s">
        <v>1391</v>
      </c>
      <c r="G961" s="5">
        <f t="shared" si="17"/>
        <v>-4.188722669735323E-2</v>
      </c>
    </row>
    <row r="962" spans="1:7">
      <c r="A962" s="67">
        <v>261.58</v>
      </c>
      <c r="B962" s="67">
        <v>265</v>
      </c>
      <c r="C962" s="67">
        <v>252.99</v>
      </c>
      <c r="D962" s="67">
        <v>256.88</v>
      </c>
      <c r="E962" s="67">
        <v>155500</v>
      </c>
      <c r="F962" s="67" t="s">
        <v>1392</v>
      </c>
      <c r="G962" s="5">
        <f t="shared" si="17"/>
        <v>1.8296480847088015E-2</v>
      </c>
    </row>
    <row r="963" spans="1:7">
      <c r="A963" s="67">
        <v>255.87</v>
      </c>
      <c r="B963" s="67">
        <v>259.69</v>
      </c>
      <c r="C963" s="67">
        <v>252.92</v>
      </c>
      <c r="D963" s="67">
        <v>253.01</v>
      </c>
      <c r="E963" s="67">
        <v>118581</v>
      </c>
      <c r="F963" s="67" t="s">
        <v>1393</v>
      </c>
      <c r="G963" s="5">
        <f t="shared" si="17"/>
        <v>1.1303901031579855E-2</v>
      </c>
    </row>
    <row r="964" spans="1:7">
      <c r="A964" s="67">
        <v>248.99</v>
      </c>
      <c r="B964" s="67">
        <v>250.29</v>
      </c>
      <c r="C964" s="67">
        <v>236.38</v>
      </c>
      <c r="D964" s="67">
        <v>238.82</v>
      </c>
      <c r="E964" s="67">
        <v>191089</v>
      </c>
      <c r="F964" s="67" t="s">
        <v>1394</v>
      </c>
      <c r="G964" s="5">
        <f t="shared" si="17"/>
        <v>4.2584373168076395E-2</v>
      </c>
    </row>
    <row r="965" spans="1:7">
      <c r="A965" s="67">
        <v>238.08</v>
      </c>
      <c r="B965" s="67">
        <v>249.02500000000001</v>
      </c>
      <c r="C965" s="67">
        <v>235.14</v>
      </c>
      <c r="D965" s="67">
        <v>248.22</v>
      </c>
      <c r="E965" s="67">
        <v>182764</v>
      </c>
      <c r="F965" s="67" t="s">
        <v>1395</v>
      </c>
      <c r="G965" s="5">
        <f t="shared" si="17"/>
        <v>-4.0850858109741317E-2</v>
      </c>
    </row>
    <row r="966" spans="1:7">
      <c r="A966" s="67">
        <v>247.58</v>
      </c>
      <c r="B966" s="67">
        <v>247.85</v>
      </c>
      <c r="C966" s="67">
        <v>239.60499999999999</v>
      </c>
      <c r="D966" s="67">
        <v>243</v>
      </c>
      <c r="E966" s="67">
        <v>127856</v>
      </c>
      <c r="F966" s="67" t="s">
        <v>1396</v>
      </c>
      <c r="G966" s="5">
        <f t="shared" si="17"/>
        <v>1.8847736625514422E-2</v>
      </c>
    </row>
    <row r="967" spans="1:7">
      <c r="A967" s="67">
        <v>243.51</v>
      </c>
      <c r="B967" s="67">
        <v>250.74</v>
      </c>
      <c r="C967" s="67">
        <v>243.32</v>
      </c>
      <c r="D967" s="67">
        <v>248.54</v>
      </c>
      <c r="E967" s="67">
        <v>188836</v>
      </c>
      <c r="F967" s="67" t="s">
        <v>1397</v>
      </c>
      <c r="G967" s="5">
        <f t="shared" si="17"/>
        <v>-2.0238191035648168E-2</v>
      </c>
    </row>
    <row r="968" spans="1:7">
      <c r="A968" s="67">
        <v>245.65</v>
      </c>
      <c r="B968" s="67">
        <v>248.9821</v>
      </c>
      <c r="C968" s="67">
        <v>243.14</v>
      </c>
      <c r="D968" s="67">
        <v>243.64</v>
      </c>
      <c r="E968" s="67">
        <v>257633</v>
      </c>
      <c r="F968" s="67" t="s">
        <v>1398</v>
      </c>
      <c r="G968" s="5">
        <f t="shared" si="17"/>
        <v>8.2498768675094425E-3</v>
      </c>
    </row>
    <row r="969" spans="1:7">
      <c r="A969" s="67">
        <v>245.89</v>
      </c>
      <c r="B969" s="67">
        <v>253.97</v>
      </c>
      <c r="C969" s="67">
        <v>245.5</v>
      </c>
      <c r="D969" s="67">
        <v>253.25</v>
      </c>
      <c r="E969" s="67">
        <v>129847</v>
      </c>
      <c r="F969" s="67" t="s">
        <v>1399</v>
      </c>
      <c r="G969" s="5">
        <f t="shared" si="17"/>
        <v>-2.9062191510365265E-2</v>
      </c>
    </row>
    <row r="970" spans="1:7">
      <c r="A970" s="67">
        <v>250.16</v>
      </c>
      <c r="B970" s="67">
        <v>260.14</v>
      </c>
      <c r="C970" s="67">
        <v>250</v>
      </c>
      <c r="D970" s="67">
        <v>256.91000000000003</v>
      </c>
      <c r="E970" s="67">
        <v>92857</v>
      </c>
      <c r="F970" s="67" t="s">
        <v>1400</v>
      </c>
      <c r="G970" s="5">
        <f t="shared" si="17"/>
        <v>-2.6273792378654126E-2</v>
      </c>
    </row>
    <row r="971" spans="1:7">
      <c r="A971" s="67">
        <v>259.98</v>
      </c>
      <c r="B971" s="67">
        <v>263.08999999999997</v>
      </c>
      <c r="C971" s="67">
        <v>253.93</v>
      </c>
      <c r="D971" s="67">
        <v>255.15</v>
      </c>
      <c r="E971" s="67">
        <v>92055</v>
      </c>
      <c r="F971" s="67" t="s">
        <v>1401</v>
      </c>
      <c r="G971" s="5">
        <f t="shared" si="17"/>
        <v>1.8930041152263488E-2</v>
      </c>
    </row>
    <row r="972" spans="1:7">
      <c r="A972" s="67">
        <v>256.61</v>
      </c>
      <c r="B972" s="67">
        <v>259.13</v>
      </c>
      <c r="C972" s="67">
        <v>251.565</v>
      </c>
      <c r="D972" s="67">
        <v>258.83</v>
      </c>
      <c r="E972" s="67">
        <v>100189</v>
      </c>
      <c r="F972" s="67" t="s">
        <v>1402</v>
      </c>
      <c r="G972" s="5">
        <f t="shared" si="17"/>
        <v>-8.5770583008151213E-3</v>
      </c>
    </row>
    <row r="973" spans="1:7">
      <c r="A973" s="67">
        <v>259.72000000000003</v>
      </c>
      <c r="B973" s="67">
        <v>263</v>
      </c>
      <c r="C973" s="67">
        <v>257.5</v>
      </c>
      <c r="D973" s="67">
        <v>260.56</v>
      </c>
      <c r="E973" s="67">
        <v>112092</v>
      </c>
      <c r="F973" s="67" t="s">
        <v>1403</v>
      </c>
      <c r="G973" s="5">
        <f t="shared" si="17"/>
        <v>-3.2238256063861215E-3</v>
      </c>
    </row>
    <row r="974" spans="1:7">
      <c r="A974" s="67">
        <v>262.02</v>
      </c>
      <c r="B974" s="67">
        <v>266.10000000000002</v>
      </c>
      <c r="C974" s="67">
        <v>260.25229999999999</v>
      </c>
      <c r="D974" s="67">
        <v>261.33999999999997</v>
      </c>
      <c r="E974" s="67">
        <v>144173</v>
      </c>
      <c r="F974" s="67" t="s">
        <v>1404</v>
      </c>
      <c r="G974" s="5">
        <f t="shared" si="17"/>
        <v>2.6019744394276678E-3</v>
      </c>
    </row>
    <row r="975" spans="1:7">
      <c r="A975" s="67">
        <v>260.17</v>
      </c>
      <c r="B975" s="67">
        <v>266.24</v>
      </c>
      <c r="C975" s="67">
        <v>255.37</v>
      </c>
      <c r="D975" s="67">
        <v>266.24</v>
      </c>
      <c r="E975" s="67">
        <v>123580</v>
      </c>
      <c r="F975" s="67" t="s">
        <v>1405</v>
      </c>
      <c r="G975" s="5">
        <f t="shared" si="17"/>
        <v>-2.2798978365384581E-2</v>
      </c>
    </row>
    <row r="976" spans="1:7">
      <c r="A976" s="67">
        <v>266.51</v>
      </c>
      <c r="B976" s="67">
        <v>272.38</v>
      </c>
      <c r="C976" s="67">
        <v>263.04000000000002</v>
      </c>
      <c r="D976" s="67">
        <v>266.89999999999998</v>
      </c>
      <c r="E976" s="67">
        <v>112425</v>
      </c>
      <c r="F976" s="67" t="s">
        <v>1406</v>
      </c>
      <c r="G976" s="5">
        <f t="shared" si="17"/>
        <v>-1.4612214312476057E-3</v>
      </c>
    </row>
    <row r="977" spans="1:7">
      <c r="A977" s="67">
        <v>265.42</v>
      </c>
      <c r="B977" s="67">
        <v>266.185</v>
      </c>
      <c r="C977" s="67">
        <v>256.77999999999997</v>
      </c>
      <c r="D977" s="67">
        <v>256.77999999999997</v>
      </c>
      <c r="E977" s="67">
        <v>105569</v>
      </c>
      <c r="F977" s="67" t="s">
        <v>1407</v>
      </c>
      <c r="G977" s="5">
        <f t="shared" si="17"/>
        <v>3.3647480333359514E-2</v>
      </c>
    </row>
    <row r="978" spans="1:7">
      <c r="A978" s="67">
        <v>257.47000000000003</v>
      </c>
      <c r="B978" s="67">
        <v>266.83</v>
      </c>
      <c r="C978" s="67">
        <v>256.74</v>
      </c>
      <c r="D978" s="67">
        <v>265.36</v>
      </c>
      <c r="E978" s="67">
        <v>123034</v>
      </c>
      <c r="F978" s="67" t="s">
        <v>1408</v>
      </c>
      <c r="G978" s="5">
        <f t="shared" si="17"/>
        <v>-2.9733192643955353E-2</v>
      </c>
    </row>
    <row r="979" spans="1:7">
      <c r="A979" s="67">
        <v>266.69</v>
      </c>
      <c r="B979" s="67">
        <v>266.91000000000003</v>
      </c>
      <c r="C979" s="67">
        <v>262.94009999999997</v>
      </c>
      <c r="D979" s="67">
        <v>265.83</v>
      </c>
      <c r="E979" s="67">
        <v>106722</v>
      </c>
      <c r="F979" s="67" t="s">
        <v>1409</v>
      </c>
      <c r="G979" s="5">
        <f t="shared" si="17"/>
        <v>3.2351502840162194E-3</v>
      </c>
    </row>
    <row r="980" spans="1:7">
      <c r="A980" s="67">
        <v>264.62</v>
      </c>
      <c r="B980" s="67">
        <v>268.70999999999998</v>
      </c>
      <c r="C980" s="67">
        <v>258.54500000000002</v>
      </c>
      <c r="D980" s="67">
        <v>267.64999999999998</v>
      </c>
      <c r="E980" s="67">
        <v>138280</v>
      </c>
      <c r="F980" s="67" t="s">
        <v>1410</v>
      </c>
      <c r="G980" s="5">
        <f t="shared" si="17"/>
        <v>-1.1320754716981019E-2</v>
      </c>
    </row>
    <row r="981" spans="1:7">
      <c r="A981" s="67">
        <v>269.64999999999998</v>
      </c>
      <c r="B981" s="67">
        <v>276.87</v>
      </c>
      <c r="C981" s="67">
        <v>268.36</v>
      </c>
      <c r="D981" s="67">
        <v>273.08</v>
      </c>
      <c r="E981" s="67">
        <v>119177</v>
      </c>
      <c r="F981" s="67" t="s">
        <v>1411</v>
      </c>
      <c r="G981" s="5">
        <f t="shared" si="17"/>
        <v>-1.2560421854401649E-2</v>
      </c>
    </row>
    <row r="982" spans="1:7">
      <c r="A982" s="67">
        <v>274.77999999999997</v>
      </c>
      <c r="B982" s="67">
        <v>278</v>
      </c>
      <c r="C982" s="67">
        <v>270.97500000000002</v>
      </c>
      <c r="D982" s="67">
        <v>273</v>
      </c>
      <c r="E982" s="67">
        <v>112903</v>
      </c>
      <c r="F982" s="67" t="s">
        <v>1412</v>
      </c>
      <c r="G982" s="5">
        <f t="shared" si="17"/>
        <v>6.5201465201463193E-3</v>
      </c>
    </row>
    <row r="983" spans="1:7">
      <c r="A983" s="67">
        <v>274.51</v>
      </c>
      <c r="B983" s="67">
        <v>284.98</v>
      </c>
      <c r="C983" s="67">
        <v>273.47000000000003</v>
      </c>
      <c r="D983" s="67">
        <v>284.37</v>
      </c>
      <c r="E983" s="67">
        <v>150820</v>
      </c>
      <c r="F983" s="67" t="s">
        <v>1413</v>
      </c>
      <c r="G983" s="5">
        <f t="shared" si="17"/>
        <v>-3.4673137110103114E-2</v>
      </c>
    </row>
    <row r="984" spans="1:7">
      <c r="A984" s="67">
        <v>285.24</v>
      </c>
      <c r="B984" s="67">
        <v>289.52499999999998</v>
      </c>
      <c r="C984" s="67">
        <v>281.37</v>
      </c>
      <c r="D984" s="67">
        <v>286.63</v>
      </c>
      <c r="E984" s="67">
        <v>229226</v>
      </c>
      <c r="F984" s="67" t="s">
        <v>1414</v>
      </c>
      <c r="G984" s="5">
        <f t="shared" si="17"/>
        <v>-4.8494574887485431E-3</v>
      </c>
    </row>
    <row r="985" spans="1:7">
      <c r="A985" s="67">
        <v>288</v>
      </c>
      <c r="B985" s="67">
        <v>289.81</v>
      </c>
      <c r="C985" s="67">
        <v>278</v>
      </c>
      <c r="D985" s="67">
        <v>278.54000000000002</v>
      </c>
      <c r="E985" s="67">
        <v>346626</v>
      </c>
      <c r="F985" s="67" t="s">
        <v>1415</v>
      </c>
      <c r="G985" s="5">
        <f t="shared" si="17"/>
        <v>3.396280606017088E-2</v>
      </c>
    </row>
    <row r="986" spans="1:7">
      <c r="A986" s="67">
        <v>277.33999999999997</v>
      </c>
      <c r="B986" s="67">
        <v>280.815</v>
      </c>
      <c r="C986" s="67">
        <v>272.68</v>
      </c>
      <c r="D986" s="67">
        <v>278.27</v>
      </c>
      <c r="E986" s="67">
        <v>158014</v>
      </c>
      <c r="F986" s="67" t="s">
        <v>1416</v>
      </c>
      <c r="G986" s="5">
        <f t="shared" si="17"/>
        <v>-3.3420778380709448E-3</v>
      </c>
    </row>
    <row r="987" spans="1:7">
      <c r="A987" s="67">
        <v>279.48</v>
      </c>
      <c r="B987" s="67">
        <v>281.79000000000002</v>
      </c>
      <c r="C987" s="67">
        <v>276.16000000000003</v>
      </c>
      <c r="D987" s="67">
        <v>281.79000000000002</v>
      </c>
      <c r="E987" s="67">
        <v>139495</v>
      </c>
      <c r="F987" s="67" t="s">
        <v>1417</v>
      </c>
      <c r="G987" s="5">
        <f t="shared" si="17"/>
        <v>-8.1975939529437269E-3</v>
      </c>
    </row>
    <row r="988" spans="1:7">
      <c r="A988" s="67">
        <v>279.54000000000002</v>
      </c>
      <c r="B988" s="67">
        <v>280.66000000000003</v>
      </c>
      <c r="C988" s="67">
        <v>274.77</v>
      </c>
      <c r="D988" s="67">
        <v>278.06</v>
      </c>
      <c r="E988" s="67">
        <v>135396</v>
      </c>
      <c r="F988" s="67" t="s">
        <v>1418</v>
      </c>
      <c r="G988" s="5">
        <f t="shared" si="17"/>
        <v>5.3225922462778463E-3</v>
      </c>
    </row>
    <row r="989" spans="1:7">
      <c r="A989" s="67">
        <v>276.55</v>
      </c>
      <c r="B989" s="67">
        <v>279.505</v>
      </c>
      <c r="C989" s="67">
        <v>273.32499999999999</v>
      </c>
      <c r="D989" s="67">
        <v>277.04000000000002</v>
      </c>
      <c r="E989" s="67">
        <v>149772</v>
      </c>
      <c r="F989" s="67" t="s">
        <v>1419</v>
      </c>
      <c r="G989" s="5">
        <f t="shared" si="17"/>
        <v>-1.7686976609876393E-3</v>
      </c>
    </row>
    <row r="990" spans="1:7">
      <c r="A990" s="67">
        <v>277.91000000000003</v>
      </c>
      <c r="B990" s="67">
        <v>278.37</v>
      </c>
      <c r="C990" s="67">
        <v>272.13</v>
      </c>
      <c r="D990" s="67">
        <v>272.13</v>
      </c>
      <c r="E990" s="67">
        <v>68572</v>
      </c>
      <c r="F990" s="67" t="s">
        <v>1420</v>
      </c>
      <c r="G990" s="5">
        <f t="shared" si="17"/>
        <v>2.1239848601771305E-2</v>
      </c>
    </row>
    <row r="991" spans="1:7">
      <c r="A991" s="67">
        <v>271.41000000000003</v>
      </c>
      <c r="B991" s="67">
        <v>275.33999999999997</v>
      </c>
      <c r="C991" s="67">
        <v>267.24</v>
      </c>
      <c r="D991" s="67">
        <v>275.33999999999997</v>
      </c>
      <c r="E991" s="67">
        <v>69796</v>
      </c>
      <c r="F991" s="67" t="s">
        <v>1421</v>
      </c>
      <c r="G991" s="5">
        <f t="shared" si="17"/>
        <v>-1.4273262148616128E-2</v>
      </c>
    </row>
    <row r="992" spans="1:7">
      <c r="A992" s="67">
        <v>275.54000000000002</v>
      </c>
      <c r="B992" s="67">
        <v>280.24</v>
      </c>
      <c r="C992" s="67">
        <v>275.08</v>
      </c>
      <c r="D992" s="67">
        <v>277.58</v>
      </c>
      <c r="E992" s="67">
        <v>131029</v>
      </c>
      <c r="F992" s="67" t="s">
        <v>1422</v>
      </c>
      <c r="G992" s="5">
        <f t="shared" si="17"/>
        <v>-7.3492326536492847E-3</v>
      </c>
    </row>
    <row r="993" spans="1:7">
      <c r="A993" s="67">
        <v>278.19</v>
      </c>
      <c r="B993" s="67">
        <v>284.14499999999998</v>
      </c>
      <c r="C993" s="67">
        <v>277.83999999999997</v>
      </c>
      <c r="D993" s="67">
        <v>280.08999999999997</v>
      </c>
      <c r="E993" s="67">
        <v>97849</v>
      </c>
      <c r="F993" s="67" t="s">
        <v>1423</v>
      </c>
      <c r="G993" s="5">
        <f t="shared" si="17"/>
        <v>-6.78353386411501E-3</v>
      </c>
    </row>
    <row r="994" spans="1:7">
      <c r="A994" s="67">
        <v>279</v>
      </c>
      <c r="B994" s="67">
        <v>282.68</v>
      </c>
      <c r="C994" s="67">
        <v>277.29500000000002</v>
      </c>
      <c r="D994" s="67">
        <v>280.3</v>
      </c>
      <c r="E994" s="67">
        <v>57314</v>
      </c>
      <c r="F994" s="67" t="s">
        <v>1424</v>
      </c>
      <c r="G994" s="5">
        <f t="shared" si="17"/>
        <v>-4.6378879771673542E-3</v>
      </c>
    </row>
    <row r="995" spans="1:7">
      <c r="A995" s="67">
        <v>278.5</v>
      </c>
      <c r="B995" s="67">
        <v>278.70999999999998</v>
      </c>
      <c r="C995" s="67">
        <v>271.99</v>
      </c>
      <c r="D995" s="67">
        <v>272.16000000000003</v>
      </c>
      <c r="E995" s="67">
        <v>72618</v>
      </c>
      <c r="F995" s="67" t="s">
        <v>1425</v>
      </c>
      <c r="G995" s="5">
        <f t="shared" si="17"/>
        <v>2.3295120517342616E-2</v>
      </c>
    </row>
    <row r="996" spans="1:7">
      <c r="A996" s="67">
        <v>273.77999999999997</v>
      </c>
      <c r="B996" s="67">
        <v>276.30279999999999</v>
      </c>
      <c r="C996" s="67">
        <v>270.81</v>
      </c>
      <c r="D996" s="67">
        <v>275.02</v>
      </c>
      <c r="E996" s="67">
        <v>103626</v>
      </c>
      <c r="F996" s="67" t="s">
        <v>1426</v>
      </c>
      <c r="G996" s="5">
        <f t="shared" si="17"/>
        <v>-4.5087629990546718E-3</v>
      </c>
    </row>
    <row r="997" spans="1:7">
      <c r="A997" s="67">
        <v>272.33</v>
      </c>
      <c r="B997" s="67">
        <v>275.48</v>
      </c>
      <c r="C997" s="67">
        <v>266.33999999999997</v>
      </c>
      <c r="D997" s="67">
        <v>268.04000000000002</v>
      </c>
      <c r="E997" s="67">
        <v>101876</v>
      </c>
      <c r="F997" s="67" t="s">
        <v>1427</v>
      </c>
      <c r="G997" s="5">
        <f t="shared" si="17"/>
        <v>1.6005073869571618E-2</v>
      </c>
    </row>
    <row r="998" spans="1:7">
      <c r="A998" s="67">
        <v>265.75</v>
      </c>
      <c r="B998" s="67">
        <v>268.59500000000003</v>
      </c>
      <c r="C998" s="67">
        <v>264.33100000000002</v>
      </c>
      <c r="D998" s="67">
        <v>266.45999999999998</v>
      </c>
      <c r="E998" s="67">
        <v>79567</v>
      </c>
      <c r="F998" s="67" t="s">
        <v>1428</v>
      </c>
      <c r="G998" s="5">
        <f t="shared" si="17"/>
        <v>-2.664565037904354E-3</v>
      </c>
    </row>
    <row r="999" spans="1:7">
      <c r="A999" s="67">
        <v>267.75</v>
      </c>
      <c r="B999" s="67">
        <v>271.22000000000003</v>
      </c>
      <c r="C999" s="67">
        <v>265.93</v>
      </c>
      <c r="D999" s="67">
        <v>271.22000000000003</v>
      </c>
      <c r="E999" s="67">
        <v>117639</v>
      </c>
      <c r="F999" s="67" t="s">
        <v>1429</v>
      </c>
      <c r="G999" s="5">
        <f t="shared" si="17"/>
        <v>-1.2794041737335116E-2</v>
      </c>
    </row>
    <row r="1000" spans="1:7">
      <c r="A1000" s="67">
        <v>269.70999999999998</v>
      </c>
      <c r="B1000" s="67">
        <v>272.68</v>
      </c>
      <c r="C1000" s="67">
        <v>265.39</v>
      </c>
      <c r="D1000" s="67">
        <v>266.43</v>
      </c>
      <c r="E1000" s="67">
        <v>86800</v>
      </c>
      <c r="F1000" s="67" t="s">
        <v>1430</v>
      </c>
      <c r="G1000" s="5">
        <f t="shared" si="17"/>
        <v>1.231092594677774E-2</v>
      </c>
    </row>
    <row r="1001" spans="1:7">
      <c r="A1001" s="67">
        <v>263.45</v>
      </c>
      <c r="B1001" s="67">
        <v>265.07</v>
      </c>
      <c r="C1001" s="67">
        <v>260.89</v>
      </c>
      <c r="D1001" s="67">
        <v>260.89</v>
      </c>
      <c r="E1001" s="67">
        <v>70345</v>
      </c>
      <c r="F1001" s="67" t="s">
        <v>1431</v>
      </c>
      <c r="G1001" s="5">
        <f t="shared" si="17"/>
        <v>9.8125646824331891E-3</v>
      </c>
    </row>
    <row r="1002" spans="1:7">
      <c r="A1002" s="67">
        <v>261.62</v>
      </c>
      <c r="B1002" s="67">
        <v>264.62</v>
      </c>
      <c r="C1002" s="67">
        <v>255</v>
      </c>
      <c r="D1002" s="67">
        <v>255</v>
      </c>
      <c r="E1002" s="67">
        <v>99603</v>
      </c>
      <c r="F1002" s="67" t="s">
        <v>1432</v>
      </c>
      <c r="G1002" s="5">
        <f t="shared" si="17"/>
        <v>2.5960784313725505E-2</v>
      </c>
    </row>
    <row r="1003" spans="1:7">
      <c r="A1003" s="67">
        <v>253</v>
      </c>
      <c r="B1003" s="67">
        <v>256.95999999999998</v>
      </c>
      <c r="C1003" s="67">
        <v>252.77</v>
      </c>
      <c r="D1003" s="67">
        <v>252.83</v>
      </c>
      <c r="E1003" s="67">
        <v>87790</v>
      </c>
      <c r="F1003" s="67" t="s">
        <v>1433</v>
      </c>
      <c r="G1003" s="5">
        <f t="shared" si="17"/>
        <v>6.7238856148388315E-4</v>
      </c>
    </row>
    <row r="1004" spans="1:7">
      <c r="A1004" s="67">
        <v>255.22</v>
      </c>
      <c r="B1004" s="67">
        <v>263.67</v>
      </c>
      <c r="C1004" s="67">
        <v>254.3</v>
      </c>
      <c r="D1004" s="67">
        <v>263.67</v>
      </c>
      <c r="E1004" s="67">
        <v>72098</v>
      </c>
      <c r="F1004" s="67" t="s">
        <v>1434</v>
      </c>
      <c r="G1004" s="5">
        <f t="shared" si="17"/>
        <v>-3.2047635301702959E-2</v>
      </c>
    </row>
    <row r="1005" spans="1:7">
      <c r="A1005" s="67">
        <v>261.60000000000002</v>
      </c>
      <c r="B1005" s="67">
        <v>270.88</v>
      </c>
      <c r="C1005" s="67">
        <v>260.17</v>
      </c>
      <c r="D1005" s="67">
        <v>260.17</v>
      </c>
      <c r="E1005" s="67">
        <v>123132</v>
      </c>
      <c r="F1005" s="67" t="s">
        <v>1435</v>
      </c>
      <c r="G1005" s="5">
        <f t="shared" si="17"/>
        <v>5.496406195948822E-3</v>
      </c>
    </row>
    <row r="1006" spans="1:7">
      <c r="A1006" s="67">
        <v>259.44</v>
      </c>
      <c r="B1006" s="67">
        <v>259.61</v>
      </c>
      <c r="C1006" s="67">
        <v>252.01499999999999</v>
      </c>
      <c r="D1006" s="67">
        <v>255.85</v>
      </c>
      <c r="E1006" s="67">
        <v>145285</v>
      </c>
      <c r="F1006" s="67" t="s">
        <v>1436</v>
      </c>
      <c r="G1006" s="5">
        <f t="shared" si="17"/>
        <v>1.4031659175298028E-2</v>
      </c>
    </row>
    <row r="1007" spans="1:7">
      <c r="A1007" s="67">
        <v>258.69</v>
      </c>
      <c r="B1007" s="67">
        <v>263.61</v>
      </c>
      <c r="C1007" s="67">
        <v>256</v>
      </c>
      <c r="D1007" s="67">
        <v>256</v>
      </c>
      <c r="E1007" s="67">
        <v>196741</v>
      </c>
      <c r="F1007" s="67" t="s">
        <v>1437</v>
      </c>
      <c r="G1007" s="5">
        <f t="shared" si="17"/>
        <v>1.0507812499999991E-2</v>
      </c>
    </row>
    <row r="1008" spans="1:7">
      <c r="A1008" s="67">
        <v>255.42</v>
      </c>
      <c r="B1008" s="67">
        <v>262.89999999999998</v>
      </c>
      <c r="C1008" s="67">
        <v>252.6515</v>
      </c>
      <c r="D1008" s="67">
        <v>262.57</v>
      </c>
      <c r="E1008" s="67">
        <v>198325</v>
      </c>
      <c r="F1008" s="67" t="s">
        <v>1438</v>
      </c>
      <c r="G1008" s="5">
        <f t="shared" si="17"/>
        <v>-2.7230833682446609E-2</v>
      </c>
    </row>
    <row r="1009" spans="1:7">
      <c r="A1009" s="67">
        <v>263.08999999999997</v>
      </c>
      <c r="B1009" s="67">
        <v>269.58</v>
      </c>
      <c r="C1009" s="67">
        <v>258.52999999999997</v>
      </c>
      <c r="D1009" s="67">
        <v>267.06</v>
      </c>
      <c r="E1009" s="67">
        <v>144704</v>
      </c>
      <c r="F1009" s="67" t="s">
        <v>1439</v>
      </c>
      <c r="G1009" s="5">
        <f t="shared" si="17"/>
        <v>-1.4865573279412958E-2</v>
      </c>
    </row>
    <row r="1010" spans="1:7">
      <c r="A1010" s="67">
        <v>266.5</v>
      </c>
      <c r="B1010" s="67">
        <v>271.77999999999997</v>
      </c>
      <c r="C1010" s="67">
        <v>265.29000000000002</v>
      </c>
      <c r="D1010" s="67">
        <v>267.70999999999998</v>
      </c>
      <c r="E1010" s="67">
        <v>165230</v>
      </c>
      <c r="F1010" s="67" t="s">
        <v>1440</v>
      </c>
      <c r="G1010" s="5">
        <f t="shared" ref="G1010:G1073" si="18">A1010/D1010-1</f>
        <v>-4.5198162190429603E-3</v>
      </c>
    </row>
    <row r="1011" spans="1:7">
      <c r="A1011" s="67">
        <v>265.10000000000002</v>
      </c>
      <c r="B1011" s="67">
        <v>269.96499999999997</v>
      </c>
      <c r="C1011" s="67">
        <v>262.48</v>
      </c>
      <c r="D1011" s="67">
        <v>262.99</v>
      </c>
      <c r="E1011" s="67">
        <v>122689</v>
      </c>
      <c r="F1011" s="67" t="s">
        <v>1441</v>
      </c>
      <c r="G1011" s="5">
        <f t="shared" si="18"/>
        <v>8.0231187497623591E-3</v>
      </c>
    </row>
    <row r="1012" spans="1:7">
      <c r="A1012" s="67">
        <v>262.02</v>
      </c>
      <c r="B1012" s="67">
        <v>268.07</v>
      </c>
      <c r="C1012" s="67">
        <v>257.35000000000002</v>
      </c>
      <c r="D1012" s="67">
        <v>268.07</v>
      </c>
      <c r="E1012" s="67">
        <v>181402</v>
      </c>
      <c r="F1012" s="67" t="s">
        <v>1442</v>
      </c>
      <c r="G1012" s="5">
        <f t="shared" si="18"/>
        <v>-2.2568732047599571E-2</v>
      </c>
    </row>
    <row r="1013" spans="1:7">
      <c r="A1013" s="67">
        <v>271.22000000000003</v>
      </c>
      <c r="B1013" s="67">
        <v>278.64999999999998</v>
      </c>
      <c r="C1013" s="67">
        <v>269.20999999999998</v>
      </c>
      <c r="D1013" s="67">
        <v>278.64999999999998</v>
      </c>
      <c r="E1013" s="67">
        <v>86752</v>
      </c>
      <c r="F1013" s="67" t="s">
        <v>1443</v>
      </c>
      <c r="G1013" s="5">
        <f t="shared" si="18"/>
        <v>-2.6664274179077574E-2</v>
      </c>
    </row>
    <row r="1014" spans="1:7">
      <c r="A1014" s="67">
        <v>278.73</v>
      </c>
      <c r="B1014" s="67">
        <v>285.75</v>
      </c>
      <c r="C1014" s="67">
        <v>278.60000000000002</v>
      </c>
      <c r="D1014" s="67">
        <v>282.13</v>
      </c>
      <c r="E1014" s="67">
        <v>82689</v>
      </c>
      <c r="F1014" s="67" t="s">
        <v>1444</v>
      </c>
      <c r="G1014" s="5">
        <f t="shared" si="18"/>
        <v>-1.205118207918332E-2</v>
      </c>
    </row>
    <row r="1015" spans="1:7">
      <c r="A1015" s="67">
        <v>282.58999999999997</v>
      </c>
      <c r="B1015" s="67">
        <v>286</v>
      </c>
      <c r="C1015" s="67">
        <v>281.495</v>
      </c>
      <c r="D1015" s="67">
        <v>285.89999999999998</v>
      </c>
      <c r="E1015" s="67">
        <v>85636</v>
      </c>
      <c r="F1015" s="67" t="s">
        <v>1445</v>
      </c>
      <c r="G1015" s="5">
        <f t="shared" si="18"/>
        <v>-1.1577474641483065E-2</v>
      </c>
    </row>
    <row r="1016" spans="1:7">
      <c r="A1016" s="67">
        <v>286.48</v>
      </c>
      <c r="B1016" s="67">
        <v>292.83999999999997</v>
      </c>
      <c r="C1016" s="67">
        <v>282.88</v>
      </c>
      <c r="D1016" s="67">
        <v>285</v>
      </c>
      <c r="E1016" s="67">
        <v>229325</v>
      </c>
      <c r="F1016" s="67" t="s">
        <v>1446</v>
      </c>
      <c r="G1016" s="5">
        <f t="shared" si="18"/>
        <v>5.1929824561403048E-3</v>
      </c>
    </row>
    <row r="1017" spans="1:7">
      <c r="A1017" s="67">
        <v>283.25</v>
      </c>
      <c r="B1017" s="67">
        <v>284.57</v>
      </c>
      <c r="C1017" s="67">
        <v>276.26</v>
      </c>
      <c r="D1017" s="67">
        <v>279.79000000000002</v>
      </c>
      <c r="E1017" s="67">
        <v>234597</v>
      </c>
      <c r="F1017" s="67" t="s">
        <v>1447</v>
      </c>
      <c r="G1017" s="5">
        <f t="shared" si="18"/>
        <v>1.236641767039548E-2</v>
      </c>
    </row>
    <row r="1018" spans="1:7">
      <c r="A1018" s="67">
        <v>277.68</v>
      </c>
      <c r="B1018" s="67">
        <v>283.89</v>
      </c>
      <c r="C1018" s="67">
        <v>274.06</v>
      </c>
      <c r="D1018" s="67">
        <v>281.95999999999998</v>
      </c>
      <c r="E1018" s="67">
        <v>159646</v>
      </c>
      <c r="F1018" s="67" t="s">
        <v>1448</v>
      </c>
      <c r="G1018" s="5">
        <f t="shared" si="18"/>
        <v>-1.5179458079160102E-2</v>
      </c>
    </row>
    <row r="1019" spans="1:7">
      <c r="A1019" s="67">
        <v>284.73</v>
      </c>
      <c r="B1019" s="67">
        <v>292.83499999999998</v>
      </c>
      <c r="C1019" s="67">
        <v>281.85000000000002</v>
      </c>
      <c r="D1019" s="67">
        <v>292.08</v>
      </c>
      <c r="E1019" s="67">
        <v>306574</v>
      </c>
      <c r="F1019" s="67" t="s">
        <v>1449</v>
      </c>
      <c r="G1019" s="5">
        <f t="shared" si="18"/>
        <v>-2.5164338537386866E-2</v>
      </c>
    </row>
    <row r="1020" spans="1:7">
      <c r="A1020" s="67">
        <v>291.24</v>
      </c>
      <c r="B1020" s="67">
        <v>293.19499999999999</v>
      </c>
      <c r="C1020" s="67">
        <v>285.64</v>
      </c>
      <c r="D1020" s="67">
        <v>292.19</v>
      </c>
      <c r="E1020" s="67">
        <v>129760</v>
      </c>
      <c r="F1020" s="67" t="s">
        <v>1450</v>
      </c>
      <c r="G1020" s="5">
        <f t="shared" si="18"/>
        <v>-3.2513090797083866E-3</v>
      </c>
    </row>
    <row r="1021" spans="1:7">
      <c r="A1021" s="67">
        <v>288.88</v>
      </c>
      <c r="B1021" s="67">
        <v>290.99</v>
      </c>
      <c r="C1021" s="67">
        <v>282.45</v>
      </c>
      <c r="D1021" s="67">
        <v>286.8</v>
      </c>
      <c r="E1021" s="67">
        <v>206159</v>
      </c>
      <c r="F1021" s="67" t="s">
        <v>1451</v>
      </c>
      <c r="G1021" s="5">
        <f t="shared" si="18"/>
        <v>7.2524407252441137E-3</v>
      </c>
    </row>
    <row r="1022" spans="1:7">
      <c r="A1022" s="67">
        <v>287.77999999999997</v>
      </c>
      <c r="B1022" s="67">
        <v>289.14</v>
      </c>
      <c r="C1022" s="67">
        <v>277.7</v>
      </c>
      <c r="D1022" s="67">
        <v>281.08</v>
      </c>
      <c r="E1022" s="67">
        <v>183232</v>
      </c>
      <c r="F1022" s="67" t="s">
        <v>1452</v>
      </c>
      <c r="G1022" s="5">
        <f t="shared" si="18"/>
        <v>2.3836630140885218E-2</v>
      </c>
    </row>
    <row r="1023" spans="1:7">
      <c r="A1023" s="67">
        <v>279.31</v>
      </c>
      <c r="B1023" s="67">
        <v>284.45</v>
      </c>
      <c r="C1023" s="67">
        <v>275.72000000000003</v>
      </c>
      <c r="D1023" s="67">
        <v>283.20999999999998</v>
      </c>
      <c r="E1023" s="67">
        <v>266303</v>
      </c>
      <c r="F1023" s="67" t="s">
        <v>1453</v>
      </c>
      <c r="G1023" s="5">
        <f t="shared" si="18"/>
        <v>-1.3770700187140217E-2</v>
      </c>
    </row>
    <row r="1024" spans="1:7">
      <c r="A1024" s="67">
        <v>282.23</v>
      </c>
      <c r="B1024" s="67">
        <v>283.86</v>
      </c>
      <c r="C1024" s="67">
        <v>271.89999999999998</v>
      </c>
      <c r="D1024" s="67">
        <v>273.87</v>
      </c>
      <c r="E1024" s="67">
        <v>215844</v>
      </c>
      <c r="F1024" s="67" t="s">
        <v>1454</v>
      </c>
      <c r="G1024" s="5">
        <f t="shared" si="18"/>
        <v>3.0525431774199419E-2</v>
      </c>
    </row>
    <row r="1025" spans="1:7">
      <c r="A1025" s="67">
        <v>271.48</v>
      </c>
      <c r="B1025" s="67">
        <v>275.51499999999999</v>
      </c>
      <c r="C1025" s="67">
        <v>271.04000000000002</v>
      </c>
      <c r="D1025" s="67">
        <v>271.99</v>
      </c>
      <c r="E1025" s="67">
        <v>193029</v>
      </c>
      <c r="F1025" s="67" t="s">
        <v>1455</v>
      </c>
      <c r="G1025" s="5">
        <f t="shared" si="18"/>
        <v>-1.8750689363579154E-3</v>
      </c>
    </row>
    <row r="1026" spans="1:7">
      <c r="A1026" s="67">
        <v>271.92</v>
      </c>
      <c r="B1026" s="67">
        <v>274.69600000000003</v>
      </c>
      <c r="C1026" s="67">
        <v>270.31</v>
      </c>
      <c r="D1026" s="67">
        <v>271.83999999999997</v>
      </c>
      <c r="E1026" s="67">
        <v>235859</v>
      </c>
      <c r="F1026" s="67" t="s">
        <v>1456</v>
      </c>
      <c r="G1026" s="5">
        <f t="shared" si="18"/>
        <v>2.9429075927023263E-4</v>
      </c>
    </row>
    <row r="1027" spans="1:7">
      <c r="A1027" s="67">
        <v>270.17</v>
      </c>
      <c r="B1027" s="67">
        <v>277</v>
      </c>
      <c r="C1027" s="67">
        <v>268.13010000000003</v>
      </c>
      <c r="D1027" s="67">
        <v>277</v>
      </c>
      <c r="E1027" s="67">
        <v>134053</v>
      </c>
      <c r="F1027" s="67" t="s">
        <v>1457</v>
      </c>
      <c r="G1027" s="5">
        <f t="shared" si="18"/>
        <v>-2.4657039711191264E-2</v>
      </c>
    </row>
    <row r="1028" spans="1:7">
      <c r="A1028" s="67">
        <v>277.5</v>
      </c>
      <c r="B1028" s="67">
        <v>278.55</v>
      </c>
      <c r="C1028" s="67">
        <v>274.69</v>
      </c>
      <c r="D1028" s="67">
        <v>276.93</v>
      </c>
      <c r="E1028" s="67">
        <v>197964</v>
      </c>
      <c r="F1028" s="67" t="s">
        <v>1458</v>
      </c>
      <c r="G1028" s="5">
        <f t="shared" si="18"/>
        <v>2.0582818762864274E-3</v>
      </c>
    </row>
    <row r="1029" spans="1:7">
      <c r="A1029" s="67">
        <v>277.66000000000003</v>
      </c>
      <c r="B1029" s="67">
        <v>280.69</v>
      </c>
      <c r="C1029" s="67">
        <v>270.72000000000003</v>
      </c>
      <c r="D1029" s="67">
        <v>272</v>
      </c>
      <c r="E1029" s="67">
        <v>127731</v>
      </c>
      <c r="F1029" s="67" t="s">
        <v>1459</v>
      </c>
      <c r="G1029" s="5">
        <f t="shared" si="18"/>
        <v>2.0808823529411935E-2</v>
      </c>
    </row>
    <row r="1030" spans="1:7">
      <c r="A1030" s="67">
        <v>271.99</v>
      </c>
      <c r="B1030" s="67">
        <v>277.84710000000001</v>
      </c>
      <c r="C1030" s="67">
        <v>269.45</v>
      </c>
      <c r="D1030" s="67">
        <v>274.74</v>
      </c>
      <c r="E1030" s="67">
        <v>301679</v>
      </c>
      <c r="F1030" s="67" t="s">
        <v>1460</v>
      </c>
      <c r="G1030" s="5">
        <f t="shared" si="18"/>
        <v>-1.0009463492756776E-2</v>
      </c>
    </row>
    <row r="1031" spans="1:7">
      <c r="A1031" s="67">
        <v>274.95</v>
      </c>
      <c r="B1031" s="67">
        <v>277.41500000000002</v>
      </c>
      <c r="C1031" s="67">
        <v>268.13</v>
      </c>
      <c r="D1031" s="67">
        <v>271.20999999999998</v>
      </c>
      <c r="E1031" s="67">
        <v>162948</v>
      </c>
      <c r="F1031" s="67" t="s">
        <v>1461</v>
      </c>
      <c r="G1031" s="5">
        <f t="shared" si="18"/>
        <v>1.3790051989233554E-2</v>
      </c>
    </row>
    <row r="1032" spans="1:7">
      <c r="A1032" s="67">
        <v>270.52999999999997</v>
      </c>
      <c r="B1032" s="67">
        <v>275.85000000000002</v>
      </c>
      <c r="C1032" s="67">
        <v>270.43</v>
      </c>
      <c r="D1032" s="67">
        <v>273.12</v>
      </c>
      <c r="E1032" s="67">
        <v>167865</v>
      </c>
      <c r="F1032" s="67" t="s">
        <v>1462</v>
      </c>
      <c r="G1032" s="5">
        <f t="shared" si="18"/>
        <v>-9.4830111306386522E-3</v>
      </c>
    </row>
    <row r="1033" spans="1:7">
      <c r="A1033" s="67">
        <v>271.81</v>
      </c>
      <c r="B1033" s="67">
        <v>275.95</v>
      </c>
      <c r="C1033" s="67">
        <v>270.2</v>
      </c>
      <c r="D1033" s="67">
        <v>270.2</v>
      </c>
      <c r="E1033" s="67">
        <v>127941</v>
      </c>
      <c r="F1033" s="67" t="s">
        <v>1463</v>
      </c>
      <c r="G1033" s="5">
        <f t="shared" si="18"/>
        <v>5.9585492227980374E-3</v>
      </c>
    </row>
    <row r="1034" spans="1:7">
      <c r="A1034" s="67">
        <v>269.38</v>
      </c>
      <c r="B1034" s="67">
        <v>272.27499999999998</v>
      </c>
      <c r="C1034" s="67">
        <v>268.10000000000002</v>
      </c>
      <c r="D1034" s="67">
        <v>269.02999999999997</v>
      </c>
      <c r="E1034" s="67">
        <v>71291</v>
      </c>
      <c r="F1034" s="67" t="s">
        <v>1464</v>
      </c>
      <c r="G1034" s="5">
        <f t="shared" si="18"/>
        <v>1.3009701520276806E-3</v>
      </c>
    </row>
    <row r="1035" spans="1:7">
      <c r="A1035" s="67">
        <v>269.38</v>
      </c>
      <c r="B1035" s="67">
        <v>279.20999999999998</v>
      </c>
      <c r="C1035" s="67">
        <v>268.86</v>
      </c>
      <c r="D1035" s="67">
        <v>275.82</v>
      </c>
      <c r="E1035" s="67">
        <v>132196</v>
      </c>
      <c r="F1035" s="67" t="s">
        <v>1465</v>
      </c>
      <c r="G1035" s="5">
        <f t="shared" si="18"/>
        <v>-2.334856065549995E-2</v>
      </c>
    </row>
    <row r="1036" spans="1:7">
      <c r="A1036" s="67">
        <v>275.77</v>
      </c>
      <c r="B1036" s="67">
        <v>276</v>
      </c>
      <c r="C1036" s="67">
        <v>264.94</v>
      </c>
      <c r="D1036" s="67">
        <v>265</v>
      </c>
      <c r="E1036" s="67">
        <v>157657</v>
      </c>
      <c r="F1036" s="67" t="s">
        <v>1466</v>
      </c>
      <c r="G1036" s="5">
        <f t="shared" si="18"/>
        <v>4.0641509433962275E-2</v>
      </c>
    </row>
    <row r="1037" spans="1:7">
      <c r="A1037" s="67">
        <v>264.43</v>
      </c>
      <c r="B1037" s="67">
        <v>269.89</v>
      </c>
      <c r="C1037" s="67">
        <v>259.74</v>
      </c>
      <c r="D1037" s="67">
        <v>261.89999999999998</v>
      </c>
      <c r="E1037" s="67">
        <v>351420</v>
      </c>
      <c r="F1037" s="67" t="s">
        <v>1467</v>
      </c>
      <c r="G1037" s="5">
        <f t="shared" si="18"/>
        <v>9.6601756395571226E-3</v>
      </c>
    </row>
    <row r="1038" spans="1:7">
      <c r="A1038" s="67">
        <v>261.3</v>
      </c>
      <c r="B1038" s="67">
        <v>262.64</v>
      </c>
      <c r="C1038" s="67">
        <v>254.09</v>
      </c>
      <c r="D1038" s="67">
        <v>255.27</v>
      </c>
      <c r="E1038" s="67">
        <v>122309</v>
      </c>
      <c r="F1038" s="67" t="s">
        <v>1468</v>
      </c>
      <c r="G1038" s="5">
        <f t="shared" si="18"/>
        <v>2.3622047244094446E-2</v>
      </c>
    </row>
    <row r="1039" spans="1:7">
      <c r="A1039" s="67">
        <v>255.26</v>
      </c>
      <c r="B1039" s="67">
        <v>256.5</v>
      </c>
      <c r="C1039" s="67">
        <v>253.48</v>
      </c>
      <c r="D1039" s="67">
        <v>255.48</v>
      </c>
      <c r="E1039" s="67">
        <v>74651</v>
      </c>
      <c r="F1039" s="67" t="s">
        <v>1469</v>
      </c>
      <c r="G1039" s="5">
        <f t="shared" si="18"/>
        <v>-8.6112415844685763E-4</v>
      </c>
    </row>
    <row r="1040" spans="1:7">
      <c r="A1040" s="67">
        <v>254.42</v>
      </c>
      <c r="B1040" s="67">
        <v>256.64999999999998</v>
      </c>
      <c r="C1040" s="67">
        <v>251.52</v>
      </c>
      <c r="D1040" s="67">
        <v>254.53</v>
      </c>
      <c r="E1040" s="67">
        <v>84563</v>
      </c>
      <c r="F1040" s="67" t="s">
        <v>1470</v>
      </c>
      <c r="G1040" s="5">
        <f t="shared" si="18"/>
        <v>-4.3216909598087216E-4</v>
      </c>
    </row>
    <row r="1041" spans="1:7">
      <c r="A1041" s="67">
        <v>254.23</v>
      </c>
      <c r="B1041" s="67">
        <v>254.88900000000001</v>
      </c>
      <c r="C1041" s="67">
        <v>247.75</v>
      </c>
      <c r="D1041" s="67">
        <v>250.91</v>
      </c>
      <c r="E1041" s="67">
        <v>136789</v>
      </c>
      <c r="F1041" s="67" t="s">
        <v>1471</v>
      </c>
      <c r="G1041" s="5">
        <f t="shared" si="18"/>
        <v>1.3231836116535778E-2</v>
      </c>
    </row>
    <row r="1042" spans="1:7">
      <c r="A1042" s="67">
        <v>252.83</v>
      </c>
      <c r="B1042" s="67">
        <v>256.33</v>
      </c>
      <c r="C1042" s="67">
        <v>249.69</v>
      </c>
      <c r="D1042" s="67">
        <v>255.6</v>
      </c>
      <c r="E1042" s="67">
        <v>132197</v>
      </c>
      <c r="F1042" s="67" t="s">
        <v>1472</v>
      </c>
      <c r="G1042" s="5">
        <f t="shared" si="18"/>
        <v>-1.0837245696400544E-2</v>
      </c>
    </row>
    <row r="1043" spans="1:7">
      <c r="A1043" s="67">
        <v>257.66000000000003</v>
      </c>
      <c r="B1043" s="67">
        <v>262.36</v>
      </c>
      <c r="C1043" s="67">
        <v>257.08999999999997</v>
      </c>
      <c r="D1043" s="67">
        <v>260.14</v>
      </c>
      <c r="E1043" s="67">
        <v>102902</v>
      </c>
      <c r="F1043" s="67" t="s">
        <v>1473</v>
      </c>
      <c r="G1043" s="5">
        <f t="shared" si="18"/>
        <v>-9.5333282078878812E-3</v>
      </c>
    </row>
    <row r="1044" spans="1:7">
      <c r="A1044" s="67">
        <v>261.83</v>
      </c>
      <c r="B1044" s="67">
        <v>262.62</v>
      </c>
      <c r="C1044" s="67">
        <v>252.76009999999999</v>
      </c>
      <c r="D1044" s="67">
        <v>253.92</v>
      </c>
      <c r="E1044" s="67">
        <v>133470</v>
      </c>
      <c r="F1044" s="67" t="s">
        <v>1474</v>
      </c>
      <c r="G1044" s="5">
        <f t="shared" si="18"/>
        <v>3.1151543793320746E-2</v>
      </c>
    </row>
    <row r="1045" spans="1:7">
      <c r="A1045" s="67">
        <v>255.96</v>
      </c>
      <c r="B1045" s="67">
        <v>260.13</v>
      </c>
      <c r="C1045" s="67">
        <v>243.79</v>
      </c>
      <c r="D1045" s="67">
        <v>257.27999999999997</v>
      </c>
      <c r="E1045" s="67">
        <v>325082</v>
      </c>
      <c r="F1045" s="67" t="s">
        <v>1475</v>
      </c>
      <c r="G1045" s="5">
        <f t="shared" si="18"/>
        <v>-5.1305970149252422E-3</v>
      </c>
    </row>
    <row r="1046" spans="1:7">
      <c r="A1046" s="67">
        <v>258.39</v>
      </c>
      <c r="B1046" s="67">
        <v>284.99</v>
      </c>
      <c r="C1046" s="67">
        <v>257.97000000000003</v>
      </c>
      <c r="D1046" s="67">
        <v>272</v>
      </c>
      <c r="E1046" s="67">
        <v>587266</v>
      </c>
      <c r="F1046" s="67" t="s">
        <v>1476</v>
      </c>
      <c r="G1046" s="5">
        <f t="shared" si="18"/>
        <v>-5.0036764705882364E-2</v>
      </c>
    </row>
    <row r="1047" spans="1:7">
      <c r="A1047" s="67">
        <v>263.64999999999998</v>
      </c>
      <c r="B1047" s="67">
        <v>265.62</v>
      </c>
      <c r="C1047" s="67">
        <v>257.91000000000003</v>
      </c>
      <c r="D1047" s="67">
        <v>265.33999999999997</v>
      </c>
      <c r="E1047" s="67">
        <v>227170</v>
      </c>
      <c r="F1047" s="67" t="s">
        <v>1477</v>
      </c>
      <c r="G1047" s="5">
        <f t="shared" si="18"/>
        <v>-6.3691867038516703E-3</v>
      </c>
    </row>
    <row r="1048" spans="1:7">
      <c r="A1048" s="67">
        <v>263.94</v>
      </c>
      <c r="B1048" s="67">
        <v>270.54000000000002</v>
      </c>
      <c r="C1048" s="67">
        <v>260.27999999999997</v>
      </c>
      <c r="D1048" s="67">
        <v>270.54000000000002</v>
      </c>
      <c r="E1048" s="67">
        <v>106964</v>
      </c>
      <c r="F1048" s="67" t="s">
        <v>1478</v>
      </c>
      <c r="G1048" s="5">
        <f t="shared" si="18"/>
        <v>-2.4395653138168161E-2</v>
      </c>
    </row>
    <row r="1049" spans="1:7">
      <c r="A1049" s="67">
        <v>270.14999999999998</v>
      </c>
      <c r="B1049" s="67">
        <v>271.22500000000002</v>
      </c>
      <c r="C1049" s="67">
        <v>260.13</v>
      </c>
      <c r="D1049" s="67">
        <v>262.8</v>
      </c>
      <c r="E1049" s="67">
        <v>126694</v>
      </c>
      <c r="F1049" s="67" t="s">
        <v>1479</v>
      </c>
      <c r="G1049" s="5">
        <f t="shared" si="18"/>
        <v>2.7968036529680163E-2</v>
      </c>
    </row>
    <row r="1050" spans="1:7">
      <c r="A1050" s="67">
        <v>262.88</v>
      </c>
      <c r="B1050" s="67">
        <v>268.54000000000002</v>
      </c>
      <c r="C1050" s="67">
        <v>261.61</v>
      </c>
      <c r="D1050" s="67">
        <v>261.61</v>
      </c>
      <c r="E1050" s="67">
        <v>149937</v>
      </c>
      <c r="F1050" s="67" t="s">
        <v>1480</v>
      </c>
      <c r="G1050" s="5">
        <f t="shared" si="18"/>
        <v>4.8545544895071124E-3</v>
      </c>
    </row>
    <row r="1051" spans="1:7">
      <c r="A1051" s="67">
        <v>262.17</v>
      </c>
      <c r="B1051" s="67">
        <v>266.04000000000002</v>
      </c>
      <c r="C1051" s="67">
        <v>260.68</v>
      </c>
      <c r="D1051" s="67">
        <v>265.47000000000003</v>
      </c>
      <c r="E1051" s="67">
        <v>174386</v>
      </c>
      <c r="F1051" s="67" t="s">
        <v>1481</v>
      </c>
      <c r="G1051" s="5">
        <f t="shared" si="18"/>
        <v>-1.2430783139337764E-2</v>
      </c>
    </row>
    <row r="1052" spans="1:7">
      <c r="A1052" s="67">
        <v>265.29000000000002</v>
      </c>
      <c r="B1052" s="67">
        <v>270.04500000000002</v>
      </c>
      <c r="C1052" s="67">
        <v>265.08999999999997</v>
      </c>
      <c r="D1052" s="67">
        <v>268.22000000000003</v>
      </c>
      <c r="E1052" s="67">
        <v>177080</v>
      </c>
      <c r="F1052" s="67" t="s">
        <v>1482</v>
      </c>
      <c r="G1052" s="5">
        <f t="shared" si="18"/>
        <v>-1.0923868466184539E-2</v>
      </c>
    </row>
    <row r="1053" spans="1:7">
      <c r="A1053" s="67">
        <v>266.23</v>
      </c>
      <c r="B1053" s="67">
        <v>270</v>
      </c>
      <c r="C1053" s="67">
        <v>262.45999999999998</v>
      </c>
      <c r="D1053" s="67">
        <v>262.45999999999998</v>
      </c>
      <c r="E1053" s="67">
        <v>168738</v>
      </c>
      <c r="F1053" s="67" t="s">
        <v>1483</v>
      </c>
      <c r="G1053" s="5">
        <f t="shared" si="18"/>
        <v>1.4364093576164194E-2</v>
      </c>
    </row>
    <row r="1054" spans="1:7">
      <c r="A1054" s="67">
        <v>264.43</v>
      </c>
      <c r="B1054" s="67">
        <v>270.26</v>
      </c>
      <c r="C1054" s="67">
        <v>261.86</v>
      </c>
      <c r="D1054" s="67">
        <v>262.51</v>
      </c>
      <c r="E1054" s="67">
        <v>160963</v>
      </c>
      <c r="F1054" s="67" t="s">
        <v>1484</v>
      </c>
      <c r="G1054" s="5">
        <f t="shared" si="18"/>
        <v>7.3140070854444961E-3</v>
      </c>
    </row>
    <row r="1055" spans="1:7">
      <c r="A1055" s="67">
        <v>262.10000000000002</v>
      </c>
      <c r="B1055" s="67">
        <v>265</v>
      </c>
      <c r="C1055" s="67">
        <v>260.0915</v>
      </c>
      <c r="D1055" s="67">
        <v>263.31</v>
      </c>
      <c r="E1055" s="67">
        <v>392322</v>
      </c>
      <c r="F1055" s="67" t="s">
        <v>1485</v>
      </c>
      <c r="G1055" s="5">
        <f t="shared" si="18"/>
        <v>-4.5953438912308409E-3</v>
      </c>
    </row>
    <row r="1056" spans="1:7">
      <c r="A1056" s="67">
        <v>261.23</v>
      </c>
      <c r="B1056" s="67">
        <v>261.64499999999998</v>
      </c>
      <c r="C1056" s="67">
        <v>256.08999999999997</v>
      </c>
      <c r="D1056" s="67">
        <v>261.56</v>
      </c>
      <c r="E1056" s="67">
        <v>119581</v>
      </c>
      <c r="F1056" s="67" t="s">
        <v>1486</v>
      </c>
      <c r="G1056" s="5">
        <f t="shared" si="18"/>
        <v>-1.2616608044042632E-3</v>
      </c>
    </row>
    <row r="1057" spans="1:7">
      <c r="A1057" s="67">
        <v>262.08999999999997</v>
      </c>
      <c r="B1057" s="67">
        <v>265.24</v>
      </c>
      <c r="C1057" s="67">
        <v>261.52999999999997</v>
      </c>
      <c r="D1057" s="67">
        <v>265.24</v>
      </c>
      <c r="E1057" s="67">
        <v>86837</v>
      </c>
      <c r="F1057" s="67" t="s">
        <v>1487</v>
      </c>
      <c r="G1057" s="5">
        <f t="shared" si="18"/>
        <v>-1.1876036796863332E-2</v>
      </c>
    </row>
    <row r="1058" spans="1:7">
      <c r="A1058" s="67">
        <v>266.39999999999998</v>
      </c>
      <c r="B1058" s="67">
        <v>271.43</v>
      </c>
      <c r="C1058" s="67">
        <v>265.24</v>
      </c>
      <c r="D1058" s="67">
        <v>268.48</v>
      </c>
      <c r="E1058" s="67">
        <v>154140</v>
      </c>
      <c r="F1058" s="67" t="s">
        <v>1488</v>
      </c>
      <c r="G1058" s="5">
        <f t="shared" si="18"/>
        <v>-7.7473182359953929E-3</v>
      </c>
    </row>
    <row r="1059" spans="1:7">
      <c r="A1059" s="67">
        <v>267.14</v>
      </c>
      <c r="B1059" s="67">
        <v>268.06</v>
      </c>
      <c r="C1059" s="67">
        <v>263.64999999999998</v>
      </c>
      <c r="D1059" s="67">
        <v>265.64999999999998</v>
      </c>
      <c r="E1059" s="67">
        <v>130128</v>
      </c>
      <c r="F1059" s="67" t="s">
        <v>1489</v>
      </c>
      <c r="G1059" s="5">
        <f t="shared" si="18"/>
        <v>5.6088838697534449E-3</v>
      </c>
    </row>
    <row r="1060" spans="1:7">
      <c r="A1060" s="67">
        <v>264.66000000000003</v>
      </c>
      <c r="B1060" s="67">
        <v>265.77999999999997</v>
      </c>
      <c r="C1060" s="67">
        <v>259.01</v>
      </c>
      <c r="D1060" s="67">
        <v>263.87</v>
      </c>
      <c r="E1060" s="67">
        <v>241253</v>
      </c>
      <c r="F1060" s="67" t="s">
        <v>1490</v>
      </c>
      <c r="G1060" s="5">
        <f t="shared" si="18"/>
        <v>2.9938985106303662E-3</v>
      </c>
    </row>
    <row r="1061" spans="1:7">
      <c r="A1061" s="67">
        <v>261.95</v>
      </c>
      <c r="B1061" s="67">
        <v>264.25</v>
      </c>
      <c r="C1061" s="67">
        <v>257.37</v>
      </c>
      <c r="D1061" s="67">
        <v>257.37</v>
      </c>
      <c r="E1061" s="67">
        <v>154677</v>
      </c>
      <c r="F1061" s="67" t="s">
        <v>1491</v>
      </c>
      <c r="G1061" s="5">
        <f t="shared" si="18"/>
        <v>1.7795391848311803E-2</v>
      </c>
    </row>
    <row r="1062" spans="1:7">
      <c r="A1062" s="67">
        <v>256.38</v>
      </c>
      <c r="B1062" s="67">
        <v>258.37</v>
      </c>
      <c r="C1062" s="67">
        <v>250.28</v>
      </c>
      <c r="D1062" s="67">
        <v>250.6</v>
      </c>
      <c r="E1062" s="67">
        <v>118853</v>
      </c>
      <c r="F1062" s="67" t="s">
        <v>1492</v>
      </c>
      <c r="G1062" s="5">
        <f t="shared" si="18"/>
        <v>2.3064644852354377E-2</v>
      </c>
    </row>
    <row r="1063" spans="1:7">
      <c r="A1063" s="67">
        <v>254.22</v>
      </c>
      <c r="B1063" s="67">
        <v>255.55</v>
      </c>
      <c r="C1063" s="67">
        <v>248.51</v>
      </c>
      <c r="D1063" s="67">
        <v>252.5</v>
      </c>
      <c r="E1063" s="67">
        <v>119418</v>
      </c>
      <c r="F1063" s="67" t="s">
        <v>1493</v>
      </c>
      <c r="G1063" s="5">
        <f t="shared" si="18"/>
        <v>6.8118811881188179E-3</v>
      </c>
    </row>
    <row r="1064" spans="1:7">
      <c r="A1064" s="67">
        <v>250.72</v>
      </c>
      <c r="B1064" s="67">
        <v>253.94</v>
      </c>
      <c r="C1064" s="67">
        <v>249.02</v>
      </c>
      <c r="D1064" s="67">
        <v>250.94</v>
      </c>
      <c r="E1064" s="67">
        <v>127400</v>
      </c>
      <c r="F1064" s="67" t="s">
        <v>1494</v>
      </c>
      <c r="G1064" s="5">
        <f t="shared" si="18"/>
        <v>-8.7670359448477342E-4</v>
      </c>
    </row>
    <row r="1065" spans="1:7">
      <c r="A1065" s="67">
        <v>253.83</v>
      </c>
      <c r="B1065" s="67">
        <v>268.005</v>
      </c>
      <c r="C1065" s="67">
        <v>252.37</v>
      </c>
      <c r="D1065" s="67">
        <v>266.45</v>
      </c>
      <c r="E1065" s="67">
        <v>148744</v>
      </c>
      <c r="F1065" s="67" t="s">
        <v>1495</v>
      </c>
      <c r="G1065" s="5">
        <f t="shared" si="18"/>
        <v>-4.7363482829799075E-2</v>
      </c>
    </row>
    <row r="1066" spans="1:7">
      <c r="A1066" s="67">
        <v>264.11</v>
      </c>
      <c r="B1066" s="67">
        <v>271.02999999999997</v>
      </c>
      <c r="C1066" s="67">
        <v>263.61</v>
      </c>
      <c r="D1066" s="67">
        <v>270</v>
      </c>
      <c r="E1066" s="67">
        <v>91697</v>
      </c>
      <c r="F1066" s="67" t="s">
        <v>1496</v>
      </c>
      <c r="G1066" s="5">
        <f t="shared" si="18"/>
        <v>-2.1814814814814731E-2</v>
      </c>
    </row>
    <row r="1067" spans="1:7">
      <c r="A1067" s="67">
        <v>271.60000000000002</v>
      </c>
      <c r="B1067" s="67">
        <v>275.08999999999997</v>
      </c>
      <c r="C1067" s="67">
        <v>270.02999999999997</v>
      </c>
      <c r="D1067" s="67">
        <v>275.08999999999997</v>
      </c>
      <c r="E1067" s="67">
        <v>84024</v>
      </c>
      <c r="F1067" s="67" t="s">
        <v>1497</v>
      </c>
      <c r="G1067" s="5">
        <f t="shared" si="18"/>
        <v>-1.268675706132516E-2</v>
      </c>
    </row>
    <row r="1068" spans="1:7">
      <c r="A1068" s="67">
        <v>276.55</v>
      </c>
      <c r="B1068" s="67">
        <v>277.60000000000002</v>
      </c>
      <c r="C1068" s="67">
        <v>271.64</v>
      </c>
      <c r="D1068" s="67">
        <v>273.77999999999997</v>
      </c>
      <c r="E1068" s="67">
        <v>78071</v>
      </c>
      <c r="F1068" s="67" t="s">
        <v>1498</v>
      </c>
      <c r="G1068" s="5">
        <f t="shared" si="18"/>
        <v>1.0117612681715293E-2</v>
      </c>
    </row>
    <row r="1069" spans="1:7">
      <c r="A1069" s="67">
        <v>273.2</v>
      </c>
      <c r="B1069" s="67">
        <v>275.44</v>
      </c>
      <c r="C1069" s="67">
        <v>268.19</v>
      </c>
      <c r="D1069" s="67">
        <v>270.31</v>
      </c>
      <c r="E1069" s="67">
        <v>131483</v>
      </c>
      <c r="F1069" s="67" t="s">
        <v>1499</v>
      </c>
      <c r="G1069" s="5">
        <f t="shared" si="18"/>
        <v>1.0691428360031008E-2</v>
      </c>
    </row>
    <row r="1070" spans="1:7">
      <c r="A1070" s="67">
        <v>275.37</v>
      </c>
      <c r="B1070" s="67">
        <v>279.35000000000002</v>
      </c>
      <c r="C1070" s="67">
        <v>273.45999999999998</v>
      </c>
      <c r="D1070" s="67">
        <v>278.2</v>
      </c>
      <c r="E1070" s="67">
        <v>80150</v>
      </c>
      <c r="F1070" s="67" t="s">
        <v>1500</v>
      </c>
      <c r="G1070" s="5">
        <f t="shared" si="18"/>
        <v>-1.017253774263116E-2</v>
      </c>
    </row>
    <row r="1071" spans="1:7">
      <c r="A1071" s="67">
        <v>275.89999999999998</v>
      </c>
      <c r="B1071" s="67">
        <v>276.77</v>
      </c>
      <c r="C1071" s="67">
        <v>269.79500000000002</v>
      </c>
      <c r="D1071" s="67">
        <v>275.29000000000002</v>
      </c>
      <c r="E1071" s="67">
        <v>125112</v>
      </c>
      <c r="F1071" s="67" t="s">
        <v>1501</v>
      </c>
      <c r="G1071" s="5">
        <f t="shared" si="18"/>
        <v>2.2158451087941344E-3</v>
      </c>
    </row>
    <row r="1072" spans="1:7">
      <c r="A1072" s="67">
        <v>273.52999999999997</v>
      </c>
      <c r="B1072" s="67">
        <v>277.25</v>
      </c>
      <c r="C1072" s="67">
        <v>271.5</v>
      </c>
      <c r="D1072" s="67">
        <v>277.25</v>
      </c>
      <c r="E1072" s="67">
        <v>81353</v>
      </c>
      <c r="F1072" s="67" t="s">
        <v>1502</v>
      </c>
      <c r="G1072" s="5">
        <f t="shared" si="18"/>
        <v>-1.3417493237150691E-2</v>
      </c>
    </row>
    <row r="1073" spans="1:7">
      <c r="A1073" s="67">
        <v>276.3</v>
      </c>
      <c r="B1073" s="67">
        <v>277.88499999999999</v>
      </c>
      <c r="C1073" s="67">
        <v>271.17340000000002</v>
      </c>
      <c r="D1073" s="67">
        <v>273.33</v>
      </c>
      <c r="E1073" s="67">
        <v>138263</v>
      </c>
      <c r="F1073" s="67" t="s">
        <v>1503</v>
      </c>
      <c r="G1073" s="5">
        <f t="shared" si="18"/>
        <v>1.0865986170563113E-2</v>
      </c>
    </row>
    <row r="1074" spans="1:7">
      <c r="A1074" s="67">
        <v>274.06</v>
      </c>
      <c r="B1074" s="67">
        <v>279.60000000000002</v>
      </c>
      <c r="C1074" s="67">
        <v>272.95</v>
      </c>
      <c r="D1074" s="67">
        <v>275.62</v>
      </c>
      <c r="E1074" s="67">
        <v>130015</v>
      </c>
      <c r="F1074" s="67" t="s">
        <v>1504</v>
      </c>
      <c r="G1074" s="5">
        <f t="shared" ref="G1074:G1116" si="19">A1074/D1074-1</f>
        <v>-5.6599666207096666E-3</v>
      </c>
    </row>
    <row r="1075" spans="1:7">
      <c r="A1075" s="67">
        <v>276.88</v>
      </c>
      <c r="B1075" s="67">
        <v>282.72000000000003</v>
      </c>
      <c r="C1075" s="67">
        <v>275.67</v>
      </c>
      <c r="D1075" s="67">
        <v>280.45999999999998</v>
      </c>
      <c r="E1075" s="67">
        <v>133532</v>
      </c>
      <c r="F1075" s="67" t="s">
        <v>1505</v>
      </c>
      <c r="G1075" s="5">
        <f t="shared" si="19"/>
        <v>-1.2764743635455988E-2</v>
      </c>
    </row>
    <row r="1076" spans="1:7">
      <c r="A1076" s="67">
        <v>280.92</v>
      </c>
      <c r="B1076" s="67">
        <v>288.10000000000002</v>
      </c>
      <c r="C1076" s="67">
        <v>279.64</v>
      </c>
      <c r="D1076" s="67">
        <v>285.14999999999998</v>
      </c>
      <c r="E1076" s="67">
        <v>101781</v>
      </c>
      <c r="F1076" s="67" t="s">
        <v>1506</v>
      </c>
      <c r="G1076" s="5">
        <f t="shared" si="19"/>
        <v>-1.4834297738032465E-2</v>
      </c>
    </row>
    <row r="1077" spans="1:7">
      <c r="A1077" s="67">
        <v>283.27999999999997</v>
      </c>
      <c r="B1077" s="67">
        <v>283.8</v>
      </c>
      <c r="C1077" s="67">
        <v>278.33</v>
      </c>
      <c r="D1077" s="67">
        <v>278.62</v>
      </c>
      <c r="E1077" s="67">
        <v>365423</v>
      </c>
      <c r="F1077" s="67" t="s">
        <v>1507</v>
      </c>
      <c r="G1077" s="5">
        <f t="shared" si="19"/>
        <v>1.6725288923982395E-2</v>
      </c>
    </row>
    <row r="1078" spans="1:7">
      <c r="A1078" s="67">
        <v>279.42</v>
      </c>
      <c r="B1078" s="67">
        <v>285.86500000000001</v>
      </c>
      <c r="C1078" s="67">
        <v>279.13</v>
      </c>
      <c r="D1078" s="67">
        <v>284.47000000000003</v>
      </c>
      <c r="E1078" s="67">
        <v>136689</v>
      </c>
      <c r="F1078" s="67" t="s">
        <v>1508</v>
      </c>
      <c r="G1078" s="5">
        <f t="shared" si="19"/>
        <v>-1.7752311315780256E-2</v>
      </c>
    </row>
    <row r="1079" spans="1:7">
      <c r="A1079" s="67">
        <v>279.91000000000003</v>
      </c>
      <c r="B1079" s="67">
        <v>281.05</v>
      </c>
      <c r="C1079" s="67">
        <v>272.58999999999997</v>
      </c>
      <c r="D1079" s="67">
        <v>272.58999999999997</v>
      </c>
      <c r="E1079" s="67">
        <v>159400</v>
      </c>
      <c r="F1079" s="67" t="s">
        <v>1509</v>
      </c>
      <c r="G1079" s="5">
        <f t="shared" si="19"/>
        <v>2.6853516269855993E-2</v>
      </c>
    </row>
    <row r="1080" spans="1:7">
      <c r="A1080" s="67">
        <v>273.7</v>
      </c>
      <c r="B1080" s="67">
        <v>275.38499999999999</v>
      </c>
      <c r="C1080" s="67">
        <v>271.81</v>
      </c>
      <c r="D1080" s="67">
        <v>275.11</v>
      </c>
      <c r="E1080" s="67">
        <v>125441</v>
      </c>
      <c r="F1080" s="67" t="s">
        <v>1510</v>
      </c>
      <c r="G1080" s="5">
        <f t="shared" si="19"/>
        <v>-5.1252226382175747E-3</v>
      </c>
    </row>
    <row r="1081" spans="1:7">
      <c r="A1081" s="67">
        <v>273.69</v>
      </c>
      <c r="B1081" s="67">
        <v>274.02</v>
      </c>
      <c r="C1081" s="67">
        <v>263.24</v>
      </c>
      <c r="D1081" s="67">
        <v>268.73</v>
      </c>
      <c r="E1081" s="67">
        <v>412945</v>
      </c>
      <c r="F1081" s="67" t="s">
        <v>1511</v>
      </c>
      <c r="G1081" s="5">
        <f t="shared" si="19"/>
        <v>1.8457187511628614E-2</v>
      </c>
    </row>
    <row r="1082" spans="1:7">
      <c r="A1082" s="67">
        <v>267.57</v>
      </c>
      <c r="B1082" s="67">
        <v>275.33999999999997</v>
      </c>
      <c r="C1082" s="67">
        <v>265.55</v>
      </c>
      <c r="D1082" s="67">
        <v>274.18</v>
      </c>
      <c r="E1082" s="67">
        <v>502192</v>
      </c>
      <c r="F1082" s="67" t="s">
        <v>1512</v>
      </c>
      <c r="G1082" s="5">
        <f t="shared" si="19"/>
        <v>-2.4108250054708624E-2</v>
      </c>
    </row>
    <row r="1083" spans="1:7">
      <c r="A1083" s="67">
        <v>273.26</v>
      </c>
      <c r="B1083" s="67">
        <v>278.27</v>
      </c>
      <c r="C1083" s="67">
        <v>271.77499999999998</v>
      </c>
      <c r="D1083" s="67">
        <v>275</v>
      </c>
      <c r="E1083" s="67">
        <v>236668</v>
      </c>
      <c r="F1083" s="67" t="s">
        <v>1513</v>
      </c>
      <c r="G1083" s="5">
        <f t="shared" si="19"/>
        <v>-6.3272727272727369E-3</v>
      </c>
    </row>
    <row r="1084" spans="1:7">
      <c r="A1084" s="67">
        <v>275.37</v>
      </c>
      <c r="B1084" s="67">
        <v>278.51</v>
      </c>
      <c r="C1084" s="67">
        <v>271.27</v>
      </c>
      <c r="D1084" s="67">
        <v>277.98</v>
      </c>
      <c r="E1084" s="67">
        <v>137776</v>
      </c>
      <c r="F1084" s="67" t="s">
        <v>1514</v>
      </c>
      <c r="G1084" s="5">
        <f t="shared" si="19"/>
        <v>-9.3891646881071322E-3</v>
      </c>
    </row>
    <row r="1085" spans="1:7">
      <c r="A1085" s="67">
        <v>276.27</v>
      </c>
      <c r="B1085" s="67">
        <v>279.27999999999997</v>
      </c>
      <c r="C1085" s="67">
        <v>272.55</v>
      </c>
      <c r="D1085" s="67">
        <v>277.19</v>
      </c>
      <c r="E1085" s="67">
        <v>226218</v>
      </c>
      <c r="F1085" s="67" t="s">
        <v>1515</v>
      </c>
      <c r="G1085" s="5">
        <f t="shared" si="19"/>
        <v>-3.3190230527797571E-3</v>
      </c>
    </row>
    <row r="1086" spans="1:7">
      <c r="A1086" s="67">
        <v>277.42</v>
      </c>
      <c r="B1086" s="67">
        <v>291.10000000000002</v>
      </c>
      <c r="C1086" s="67">
        <v>276.87</v>
      </c>
      <c r="D1086" s="67">
        <v>291.10000000000002</v>
      </c>
      <c r="E1086" s="67">
        <v>370695</v>
      </c>
      <c r="F1086" s="67" t="s">
        <v>1516</v>
      </c>
      <c r="G1086" s="5">
        <f t="shared" si="19"/>
        <v>-4.6994160082445946E-2</v>
      </c>
    </row>
    <row r="1087" spans="1:7">
      <c r="A1087" s="67">
        <v>289.77999999999997</v>
      </c>
      <c r="B1087" s="67">
        <v>290</v>
      </c>
      <c r="C1087" s="67">
        <v>285.23</v>
      </c>
      <c r="D1087" s="67">
        <v>286.47000000000003</v>
      </c>
      <c r="E1087" s="67">
        <v>119909</v>
      </c>
      <c r="F1087" s="67" t="s">
        <v>1517</v>
      </c>
      <c r="G1087" s="5">
        <f t="shared" si="19"/>
        <v>1.1554438510140486E-2</v>
      </c>
    </row>
    <row r="1088" spans="1:7">
      <c r="A1088" s="67">
        <v>286.20999999999998</v>
      </c>
      <c r="B1088" s="67">
        <v>286.85000000000002</v>
      </c>
      <c r="C1088" s="67">
        <v>280.75</v>
      </c>
      <c r="D1088" s="67">
        <v>283.77</v>
      </c>
      <c r="E1088" s="67">
        <v>128477</v>
      </c>
      <c r="F1088" s="67" t="s">
        <v>1518</v>
      </c>
      <c r="G1088" s="5">
        <f t="shared" si="19"/>
        <v>8.5985128801493449E-3</v>
      </c>
    </row>
    <row r="1089" spans="1:7">
      <c r="A1089" s="67">
        <v>283.77999999999997</v>
      </c>
      <c r="B1089" s="67">
        <v>287.95999999999998</v>
      </c>
      <c r="C1089" s="67">
        <v>282.76</v>
      </c>
      <c r="D1089" s="67">
        <v>287.95999999999998</v>
      </c>
      <c r="E1089" s="67">
        <v>204944</v>
      </c>
      <c r="F1089" s="67" t="s">
        <v>1519</v>
      </c>
      <c r="G1089" s="5">
        <f t="shared" si="19"/>
        <v>-1.4515904986803774E-2</v>
      </c>
    </row>
    <row r="1090" spans="1:7">
      <c r="A1090" s="67">
        <v>285.42</v>
      </c>
      <c r="B1090" s="67">
        <v>286.04000000000002</v>
      </c>
      <c r="C1090" s="67">
        <v>278.53500000000003</v>
      </c>
      <c r="D1090" s="67">
        <v>281.81</v>
      </c>
      <c r="E1090" s="67">
        <v>209848</v>
      </c>
      <c r="F1090" s="67" t="s">
        <v>1520</v>
      </c>
      <c r="G1090" s="5">
        <f t="shared" si="19"/>
        <v>1.281004932401264E-2</v>
      </c>
    </row>
    <row r="1091" spans="1:7">
      <c r="A1091" s="67">
        <v>278.12</v>
      </c>
      <c r="B1091" s="67">
        <v>279.41000000000003</v>
      </c>
      <c r="C1091" s="67">
        <v>267</v>
      </c>
      <c r="D1091" s="67">
        <v>268.25</v>
      </c>
      <c r="E1091" s="67">
        <v>190277</v>
      </c>
      <c r="F1091" s="67" t="s">
        <v>1521</v>
      </c>
      <c r="G1091" s="5">
        <f t="shared" si="19"/>
        <v>3.6794035414725146E-2</v>
      </c>
    </row>
    <row r="1092" spans="1:7">
      <c r="A1092" s="67">
        <v>269.64999999999998</v>
      </c>
      <c r="B1092" s="67">
        <v>272.52</v>
      </c>
      <c r="C1092" s="67">
        <v>262.95999999999998</v>
      </c>
      <c r="D1092" s="67">
        <v>269.64</v>
      </c>
      <c r="E1092" s="67">
        <v>281610</v>
      </c>
      <c r="F1092" s="67" t="s">
        <v>1522</v>
      </c>
      <c r="G1092" s="5">
        <f t="shared" si="19"/>
        <v>3.7086485684678649E-5</v>
      </c>
    </row>
    <row r="1093" spans="1:7">
      <c r="A1093" s="67">
        <v>256.66000000000003</v>
      </c>
      <c r="B1093" s="67">
        <v>257.26</v>
      </c>
      <c r="C1093" s="67">
        <v>248.64</v>
      </c>
      <c r="D1093" s="67">
        <v>251.5</v>
      </c>
      <c r="E1093" s="67">
        <v>300658</v>
      </c>
      <c r="F1093" s="67" t="s">
        <v>1523</v>
      </c>
      <c r="G1093" s="5">
        <f t="shared" si="19"/>
        <v>2.0516898608349932E-2</v>
      </c>
    </row>
    <row r="1094" spans="1:7">
      <c r="A1094" s="67">
        <v>253.56</v>
      </c>
      <c r="B1094" s="67">
        <v>254.44</v>
      </c>
      <c r="C1094" s="67">
        <v>247.41</v>
      </c>
      <c r="D1094" s="67">
        <v>249.62</v>
      </c>
      <c r="E1094" s="67">
        <v>288116</v>
      </c>
      <c r="F1094" s="67" t="s">
        <v>1524</v>
      </c>
      <c r="G1094" s="5">
        <f t="shared" si="19"/>
        <v>1.5783991667334352E-2</v>
      </c>
    </row>
    <row r="1095" spans="1:7">
      <c r="A1095" s="67">
        <v>250.61</v>
      </c>
      <c r="B1095" s="67">
        <v>252.09</v>
      </c>
      <c r="C1095" s="67">
        <v>245.66</v>
      </c>
      <c r="D1095" s="67">
        <v>250.46</v>
      </c>
      <c r="E1095" s="67">
        <v>196669</v>
      </c>
      <c r="F1095" s="67" t="s">
        <v>1525</v>
      </c>
      <c r="G1095" s="5">
        <f t="shared" si="19"/>
        <v>5.988980276292466E-4</v>
      </c>
    </row>
    <row r="1096" spans="1:7">
      <c r="A1096" s="67">
        <v>249.11</v>
      </c>
      <c r="B1096" s="67">
        <v>254.79</v>
      </c>
      <c r="C1096" s="67">
        <v>247.9</v>
      </c>
      <c r="D1096" s="67">
        <v>251.7</v>
      </c>
      <c r="E1096" s="67">
        <v>361583</v>
      </c>
      <c r="F1096" s="67" t="s">
        <v>1526</v>
      </c>
      <c r="G1096" s="5">
        <f t="shared" si="19"/>
        <v>-1.0290027810885838E-2</v>
      </c>
    </row>
    <row r="1097" spans="1:7">
      <c r="A1097" s="67">
        <v>248.49</v>
      </c>
      <c r="B1097" s="67">
        <v>249.75</v>
      </c>
      <c r="C1097" s="67">
        <v>242.67</v>
      </c>
      <c r="D1097" s="67">
        <v>248.14</v>
      </c>
      <c r="E1097" s="67">
        <v>261086</v>
      </c>
      <c r="F1097" s="67" t="s">
        <v>1527</v>
      </c>
      <c r="G1097" s="5">
        <f t="shared" si="19"/>
        <v>1.4104940759249729E-3</v>
      </c>
    </row>
    <row r="1098" spans="1:7">
      <c r="A1098" s="67">
        <v>247.26</v>
      </c>
      <c r="B1098" s="67">
        <v>254.43</v>
      </c>
      <c r="C1098" s="67">
        <v>246.59</v>
      </c>
      <c r="D1098" s="67">
        <v>249.99</v>
      </c>
      <c r="E1098" s="67">
        <v>868736</v>
      </c>
      <c r="F1098" s="67" t="s">
        <v>1528</v>
      </c>
      <c r="G1098" s="5">
        <f t="shared" si="19"/>
        <v>-1.0920436817472789E-2</v>
      </c>
    </row>
    <row r="1099" spans="1:7">
      <c r="A1099" s="67">
        <v>250.05</v>
      </c>
      <c r="B1099" s="67">
        <v>251.8</v>
      </c>
      <c r="C1099" s="67">
        <v>246</v>
      </c>
      <c r="D1099" s="67">
        <v>247.87</v>
      </c>
      <c r="E1099" s="67">
        <v>793170</v>
      </c>
      <c r="F1099" s="67" t="s">
        <v>1529</v>
      </c>
      <c r="G1099" s="5">
        <f t="shared" si="19"/>
        <v>8.7949328276919481E-3</v>
      </c>
    </row>
    <row r="1100" spans="1:7">
      <c r="A1100" s="67">
        <v>246.83</v>
      </c>
      <c r="B1100" s="67">
        <v>256.54000000000002</v>
      </c>
      <c r="C1100" s="67">
        <v>245.79</v>
      </c>
      <c r="D1100" s="67">
        <v>256.43</v>
      </c>
      <c r="E1100" s="67">
        <v>241809</v>
      </c>
      <c r="F1100" s="67" t="s">
        <v>1530</v>
      </c>
      <c r="G1100" s="5">
        <f t="shared" si="19"/>
        <v>-3.7437117341964643E-2</v>
      </c>
    </row>
    <row r="1101" spans="1:7">
      <c r="A1101" s="67">
        <v>255.16</v>
      </c>
      <c r="B1101" s="67">
        <v>262.9683</v>
      </c>
      <c r="C1101" s="67">
        <v>252.42</v>
      </c>
      <c r="D1101" s="67">
        <v>254.49</v>
      </c>
      <c r="E1101" s="67">
        <v>323660</v>
      </c>
      <c r="F1101" s="67" t="s">
        <v>1531</v>
      </c>
      <c r="G1101" s="5">
        <f t="shared" si="19"/>
        <v>2.6327164132184944E-3</v>
      </c>
    </row>
    <row r="1102" spans="1:7">
      <c r="A1102" s="67">
        <v>252.16</v>
      </c>
      <c r="B1102" s="67">
        <v>254.57</v>
      </c>
      <c r="C1102" s="67">
        <v>245.7</v>
      </c>
      <c r="D1102" s="67">
        <v>246.12</v>
      </c>
      <c r="E1102" s="67">
        <v>181472</v>
      </c>
      <c r="F1102" s="67" t="s">
        <v>1532</v>
      </c>
      <c r="G1102" s="5">
        <f t="shared" si="19"/>
        <v>2.4540874370225785E-2</v>
      </c>
    </row>
    <row r="1103" spans="1:7">
      <c r="A1103" s="67">
        <v>245.63</v>
      </c>
      <c r="B1103" s="67">
        <v>245.84</v>
      </c>
      <c r="C1103" s="67">
        <v>238.33</v>
      </c>
      <c r="D1103" s="67">
        <v>242.74</v>
      </c>
      <c r="E1103" s="67">
        <v>229022</v>
      </c>
      <c r="F1103" s="67" t="s">
        <v>1533</v>
      </c>
      <c r="G1103" s="5">
        <f t="shared" si="19"/>
        <v>1.1905742770041972E-2</v>
      </c>
    </row>
    <row r="1104" spans="1:7">
      <c r="A1104" s="67">
        <v>250.06</v>
      </c>
      <c r="B1104" s="67">
        <v>252.28</v>
      </c>
      <c r="C1104" s="67">
        <v>235.2</v>
      </c>
      <c r="D1104" s="67">
        <v>235.73</v>
      </c>
      <c r="E1104" s="67">
        <v>424411</v>
      </c>
      <c r="F1104" s="67" t="s">
        <v>1534</v>
      </c>
      <c r="G1104" s="5">
        <f t="shared" si="19"/>
        <v>6.0789886734823773E-2</v>
      </c>
    </row>
    <row r="1105" spans="1:7">
      <c r="A1105" s="67">
        <v>235</v>
      </c>
      <c r="B1105" s="67">
        <v>243.54</v>
      </c>
      <c r="C1105" s="67">
        <v>232.29499999999999</v>
      </c>
      <c r="D1105" s="67">
        <v>240.33</v>
      </c>
      <c r="E1105" s="67">
        <v>314267</v>
      </c>
      <c r="F1105" s="67" t="s">
        <v>1535</v>
      </c>
      <c r="G1105" s="5">
        <f t="shared" si="19"/>
        <v>-2.2177838804976591E-2</v>
      </c>
    </row>
    <row r="1106" spans="1:7">
      <c r="A1106" s="67">
        <v>240.54</v>
      </c>
      <c r="B1106" s="67">
        <v>245</v>
      </c>
      <c r="C1106" s="67">
        <v>239.15</v>
      </c>
      <c r="D1106" s="67">
        <v>242.45</v>
      </c>
      <c r="E1106" s="67">
        <v>330058</v>
      </c>
      <c r="F1106" s="67" t="s">
        <v>1536</v>
      </c>
      <c r="G1106" s="5">
        <f t="shared" si="19"/>
        <v>-7.8779129717467811E-3</v>
      </c>
    </row>
    <row r="1107" spans="1:7">
      <c r="A1107" s="67">
        <v>240.8</v>
      </c>
      <c r="B1107" s="67">
        <v>253.155</v>
      </c>
      <c r="C1107" s="67">
        <v>239.28</v>
      </c>
      <c r="D1107" s="67">
        <v>250.65</v>
      </c>
      <c r="E1107" s="67">
        <v>347951</v>
      </c>
      <c r="F1107" s="67" t="s">
        <v>1537</v>
      </c>
      <c r="G1107" s="5">
        <f t="shared" si="19"/>
        <v>-3.9297825653301421E-2</v>
      </c>
    </row>
    <row r="1108" spans="1:7">
      <c r="A1108" s="67">
        <v>247.81</v>
      </c>
      <c r="B1108" s="67">
        <v>265.29000000000002</v>
      </c>
      <c r="C1108" s="67">
        <v>247.73</v>
      </c>
      <c r="D1108" s="67">
        <v>260</v>
      </c>
      <c r="E1108" s="67">
        <v>388742</v>
      </c>
      <c r="F1108" s="67" t="s">
        <v>1538</v>
      </c>
      <c r="G1108" s="5">
        <f t="shared" si="19"/>
        <v>-4.6884615384615413E-2</v>
      </c>
    </row>
    <row r="1109" spans="1:7">
      <c r="A1109" s="67">
        <v>264.74</v>
      </c>
      <c r="B1109" s="67">
        <v>273.68</v>
      </c>
      <c r="C1109" s="67">
        <v>257.70999999999998</v>
      </c>
      <c r="D1109" s="67">
        <v>258.01</v>
      </c>
      <c r="E1109" s="67">
        <v>297433</v>
      </c>
      <c r="F1109" s="67" t="s">
        <v>1539</v>
      </c>
      <c r="G1109" s="5">
        <f t="shared" si="19"/>
        <v>2.6084260299988449E-2</v>
      </c>
    </row>
    <row r="1110" spans="1:7">
      <c r="A1110" s="67">
        <v>263.37</v>
      </c>
      <c r="B1110" s="67">
        <v>269.83999999999997</v>
      </c>
      <c r="C1110" s="67">
        <v>263.28500000000003</v>
      </c>
      <c r="D1110" s="67">
        <v>269.8</v>
      </c>
      <c r="E1110" s="67">
        <v>226041</v>
      </c>
      <c r="F1110" s="67" t="s">
        <v>1540</v>
      </c>
      <c r="G1110" s="5">
        <f t="shared" si="19"/>
        <v>-2.3832468495181613E-2</v>
      </c>
    </row>
    <row r="1111" spans="1:7">
      <c r="A1111" s="67">
        <v>271.43</v>
      </c>
      <c r="B1111" s="67">
        <v>280</v>
      </c>
      <c r="C1111" s="67">
        <v>268.85449999999997</v>
      </c>
      <c r="D1111" s="67">
        <v>274.02999999999997</v>
      </c>
      <c r="E1111" s="67">
        <v>189463</v>
      </c>
      <c r="F1111" s="67" t="s">
        <v>1541</v>
      </c>
      <c r="G1111" s="5">
        <f t="shared" si="19"/>
        <v>-9.4880122614311446E-3</v>
      </c>
    </row>
    <row r="1112" spans="1:7">
      <c r="A1112" s="67">
        <v>274.63</v>
      </c>
      <c r="B1112" s="67">
        <v>275.98</v>
      </c>
      <c r="C1112" s="67">
        <v>265.62</v>
      </c>
      <c r="D1112" s="67">
        <v>271.62</v>
      </c>
      <c r="E1112" s="67">
        <v>288242</v>
      </c>
      <c r="F1112" s="67" t="s">
        <v>1542</v>
      </c>
      <c r="G1112" s="5">
        <f t="shared" si="19"/>
        <v>1.1081658198954347E-2</v>
      </c>
    </row>
    <row r="1113" spans="1:7">
      <c r="A1113" s="67">
        <v>273.41000000000003</v>
      </c>
      <c r="B1113" s="67">
        <v>296.64999999999998</v>
      </c>
      <c r="C1113" s="67">
        <v>269.02</v>
      </c>
      <c r="D1113" s="67">
        <v>315</v>
      </c>
      <c r="E1113" s="67">
        <v>503798</v>
      </c>
      <c r="F1113" s="67" t="s">
        <v>1543</v>
      </c>
      <c r="G1113" s="5">
        <f t="shared" si="19"/>
        <v>-0.13203174603174594</v>
      </c>
    </row>
    <row r="1114" spans="1:7">
      <c r="A1114" s="67">
        <v>288.93</v>
      </c>
      <c r="B1114" s="67">
        <v>295.04000000000002</v>
      </c>
      <c r="C1114" s="67">
        <v>284.39</v>
      </c>
      <c r="D1114" s="67">
        <v>294.76</v>
      </c>
      <c r="E1114" s="67">
        <v>264477</v>
      </c>
      <c r="F1114" s="67" t="s">
        <v>1544</v>
      </c>
      <c r="G1114" s="5">
        <f t="shared" si="19"/>
        <v>-1.9778803094042563E-2</v>
      </c>
    </row>
    <row r="1115" spans="1:7">
      <c r="A1115" s="67">
        <v>298.10000000000002</v>
      </c>
      <c r="B1115" s="67">
        <v>306.32</v>
      </c>
      <c r="C1115" s="67">
        <v>294.57150000000001</v>
      </c>
      <c r="D1115" s="67">
        <v>306.32</v>
      </c>
      <c r="E1115" s="67">
        <v>235864</v>
      </c>
      <c r="F1115" s="67" t="s">
        <v>1545</v>
      </c>
      <c r="G1115" s="5">
        <f t="shared" si="19"/>
        <v>-2.6834682684773958E-2</v>
      </c>
    </row>
    <row r="1116" spans="1:7">
      <c r="A1116" s="67">
        <v>305.99</v>
      </c>
      <c r="B1116" s="67">
        <v>309.32</v>
      </c>
      <c r="C1116" s="67">
        <v>303.15499999999997</v>
      </c>
      <c r="D1116" s="67">
        <v>309.32</v>
      </c>
      <c r="E1116" s="67">
        <v>246549</v>
      </c>
      <c r="F1116" s="67" t="s">
        <v>1546</v>
      </c>
      <c r="G1116" s="5">
        <f t="shared" si="19"/>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Z58"/>
  <sheetViews>
    <sheetView zoomScale="85" zoomScaleNormal="85" workbookViewId="0">
      <selection activeCell="D47" sqref="D47"/>
    </sheetView>
  </sheetViews>
  <sheetFormatPr defaultRowHeight="15"/>
  <cols>
    <col min="1" max="1" width="3" customWidth="1"/>
    <col min="2" max="2" width="24.5703125" customWidth="1"/>
    <col min="6" max="6" width="10.85546875" customWidth="1"/>
    <col min="12" max="12" width="9" customWidth="1"/>
    <col min="25" max="25" width="3.42578125" customWidth="1"/>
  </cols>
  <sheetData>
    <row r="2" spans="2:26">
      <c r="B2" s="1" t="s">
        <v>754</v>
      </c>
      <c r="C2" s="2"/>
      <c r="D2" s="2"/>
      <c r="E2" s="2"/>
      <c r="F2" s="2"/>
      <c r="G2" s="2"/>
      <c r="H2" s="2"/>
      <c r="I2" s="2"/>
      <c r="J2" s="2"/>
      <c r="K2" s="2"/>
      <c r="L2" s="2"/>
      <c r="Z2" s="1" t="s">
        <v>1639</v>
      </c>
    </row>
    <row r="3" spans="2:26">
      <c r="B3" s="54"/>
      <c r="C3" s="55" t="s">
        <v>400</v>
      </c>
      <c r="D3" s="18"/>
      <c r="E3" s="19"/>
      <c r="F3" s="60"/>
      <c r="G3" s="49"/>
      <c r="H3" s="50" t="s">
        <v>403</v>
      </c>
      <c r="I3" s="49"/>
      <c r="J3" s="49"/>
      <c r="K3" s="61"/>
      <c r="L3" s="2"/>
    </row>
    <row r="4" spans="2:26">
      <c r="B4" s="26"/>
      <c r="C4" s="80"/>
      <c r="D4" s="81"/>
      <c r="E4" s="81"/>
      <c r="F4" s="142" t="s">
        <v>404</v>
      </c>
      <c r="G4" s="143"/>
      <c r="H4" s="84"/>
      <c r="I4" s="84"/>
      <c r="J4" s="84"/>
      <c r="K4" s="85"/>
      <c r="L4" s="2"/>
    </row>
    <row r="5" spans="2:26">
      <c r="B5" s="26"/>
      <c r="C5" s="86"/>
      <c r="D5" s="87" t="s">
        <v>431</v>
      </c>
      <c r="E5" s="81"/>
      <c r="F5" s="144" t="s">
        <v>405</v>
      </c>
      <c r="G5" s="145"/>
      <c r="H5" s="81"/>
      <c r="I5" s="81"/>
      <c r="J5" s="81"/>
      <c r="K5" s="82"/>
      <c r="L5" s="2"/>
    </row>
    <row r="6" spans="2:26">
      <c r="B6" s="26"/>
      <c r="C6" s="80"/>
      <c r="D6" s="88"/>
      <c r="E6" s="81"/>
      <c r="F6" s="144" t="s">
        <v>406</v>
      </c>
      <c r="G6" s="145"/>
      <c r="H6" s="81"/>
      <c r="I6" s="81"/>
      <c r="J6" s="81"/>
      <c r="K6" s="82"/>
      <c r="L6" s="2"/>
    </row>
    <row r="7" spans="2:26">
      <c r="B7" s="27" t="s">
        <v>278</v>
      </c>
      <c r="C7" s="89"/>
      <c r="D7" s="90"/>
      <c r="E7" s="92"/>
      <c r="F7" s="146" t="s">
        <v>407</v>
      </c>
      <c r="G7" s="147"/>
      <c r="H7" s="92"/>
      <c r="I7" s="92"/>
      <c r="J7" s="92"/>
      <c r="K7" s="91"/>
      <c r="L7" s="2"/>
    </row>
    <row r="8" spans="2:26">
      <c r="B8" s="26"/>
      <c r="C8" s="83"/>
      <c r="D8" s="93"/>
      <c r="E8" s="85"/>
      <c r="F8" s="142" t="s">
        <v>408</v>
      </c>
      <c r="G8" s="143"/>
      <c r="H8" s="143"/>
      <c r="I8" s="84"/>
      <c r="J8" s="84"/>
      <c r="K8" s="85"/>
      <c r="L8" s="2"/>
    </row>
    <row r="9" spans="2:26">
      <c r="B9" s="26"/>
      <c r="C9" s="86"/>
      <c r="D9" s="87" t="s">
        <v>432</v>
      </c>
      <c r="E9" s="82"/>
      <c r="F9" s="144" t="s">
        <v>409</v>
      </c>
      <c r="G9" s="145"/>
      <c r="H9" s="145"/>
      <c r="I9" s="81"/>
      <c r="J9" s="81"/>
      <c r="K9" s="82"/>
      <c r="L9" s="2"/>
    </row>
    <row r="10" spans="2:26">
      <c r="B10" s="26"/>
      <c r="C10" s="80"/>
      <c r="D10" s="88"/>
      <c r="E10" s="82"/>
      <c r="F10" s="144" t="s">
        <v>410</v>
      </c>
      <c r="G10" s="145"/>
      <c r="H10" s="145"/>
      <c r="I10" s="81"/>
      <c r="J10" s="81"/>
      <c r="K10" s="82"/>
      <c r="L10" s="2"/>
    </row>
    <row r="11" spans="2:26">
      <c r="B11" s="26"/>
      <c r="C11" s="89"/>
      <c r="D11" s="90"/>
      <c r="E11" s="91"/>
      <c r="F11" s="146" t="s">
        <v>411</v>
      </c>
      <c r="G11" s="147"/>
      <c r="H11" s="147"/>
      <c r="I11" s="92"/>
      <c r="J11" s="92"/>
      <c r="K11" s="91"/>
      <c r="L11" s="2"/>
    </row>
    <row r="12" spans="2:26">
      <c r="B12" s="28"/>
      <c r="C12" s="83"/>
      <c r="D12" s="93"/>
      <c r="E12" s="85"/>
      <c r="F12" s="142" t="s">
        <v>412</v>
      </c>
      <c r="G12" s="143"/>
      <c r="H12" s="84"/>
      <c r="I12" s="84"/>
      <c r="J12" s="84"/>
      <c r="K12" s="85"/>
      <c r="L12" s="2"/>
    </row>
    <row r="13" spans="2:26">
      <c r="B13" s="29"/>
      <c r="C13" s="80"/>
      <c r="D13" s="88"/>
      <c r="E13" s="82"/>
      <c r="F13" s="144" t="s">
        <v>413</v>
      </c>
      <c r="G13" s="145"/>
      <c r="H13" s="81"/>
      <c r="I13" s="81"/>
      <c r="J13" s="81"/>
      <c r="K13" s="82"/>
      <c r="L13" s="2"/>
    </row>
    <row r="14" spans="2:26">
      <c r="B14" s="29"/>
      <c r="C14" s="94"/>
      <c r="D14" s="87" t="s">
        <v>433</v>
      </c>
      <c r="E14" s="95"/>
      <c r="F14" s="144" t="s">
        <v>414</v>
      </c>
      <c r="G14" s="145"/>
      <c r="H14" s="81"/>
      <c r="I14" s="81"/>
      <c r="J14" s="81"/>
      <c r="K14" s="82"/>
      <c r="L14" s="2"/>
    </row>
    <row r="15" spans="2:26">
      <c r="B15" s="29"/>
      <c r="C15" s="94"/>
      <c r="D15" s="87" t="s">
        <v>434</v>
      </c>
      <c r="E15" s="95"/>
      <c r="F15" s="144" t="s">
        <v>415</v>
      </c>
      <c r="G15" s="145"/>
      <c r="H15" s="81"/>
      <c r="I15" s="81"/>
      <c r="J15" s="81"/>
      <c r="K15" s="82"/>
      <c r="L15" s="2"/>
    </row>
    <row r="16" spans="2:26">
      <c r="B16" s="29"/>
      <c r="C16" s="80"/>
      <c r="D16" s="88"/>
      <c r="E16" s="96"/>
      <c r="F16" s="144" t="s">
        <v>416</v>
      </c>
      <c r="G16" s="145"/>
      <c r="H16" s="81"/>
      <c r="I16" s="81"/>
      <c r="J16" s="81"/>
      <c r="K16" s="82"/>
      <c r="L16" s="2"/>
    </row>
    <row r="17" spans="2:12">
      <c r="B17" s="29"/>
      <c r="C17" s="89"/>
      <c r="D17" s="90"/>
      <c r="E17" s="91"/>
      <c r="F17" s="146" t="s">
        <v>417</v>
      </c>
      <c r="G17" s="147"/>
      <c r="H17" s="92"/>
      <c r="I17" s="92"/>
      <c r="J17" s="92"/>
      <c r="K17" s="91"/>
      <c r="L17" s="2"/>
    </row>
    <row r="18" spans="2:12">
      <c r="B18" s="29"/>
      <c r="C18" s="83"/>
      <c r="D18" s="93"/>
      <c r="E18" s="85"/>
      <c r="F18" s="142" t="s">
        <v>418</v>
      </c>
      <c r="G18" s="143"/>
      <c r="H18" s="84"/>
      <c r="I18" s="84"/>
      <c r="J18" s="84"/>
      <c r="K18" s="85"/>
      <c r="L18" s="2"/>
    </row>
    <row r="19" spans="2:12">
      <c r="B19" s="29"/>
      <c r="C19" s="86"/>
      <c r="D19" s="87" t="s">
        <v>432</v>
      </c>
      <c r="E19" s="82"/>
      <c r="F19" s="144" t="s">
        <v>419</v>
      </c>
      <c r="G19" s="145"/>
      <c r="H19" s="81"/>
      <c r="I19" s="81"/>
      <c r="J19" s="81"/>
      <c r="K19" s="82"/>
      <c r="L19" s="2"/>
    </row>
    <row r="20" spans="2:12">
      <c r="B20" s="30" t="s">
        <v>469</v>
      </c>
      <c r="C20" s="86"/>
      <c r="D20" s="87" t="s">
        <v>434</v>
      </c>
      <c r="E20" s="82"/>
      <c r="F20" s="144" t="s">
        <v>420</v>
      </c>
      <c r="G20" s="145"/>
      <c r="H20" s="81"/>
      <c r="I20" s="81"/>
      <c r="J20" s="81"/>
      <c r="K20" s="82"/>
      <c r="L20" s="2"/>
    </row>
    <row r="21" spans="2:12">
      <c r="B21" s="30" t="s">
        <v>470</v>
      </c>
      <c r="C21" s="80"/>
      <c r="D21" s="88"/>
      <c r="E21" s="82"/>
      <c r="F21" s="144" t="s">
        <v>421</v>
      </c>
      <c r="G21" s="145"/>
      <c r="H21" s="81"/>
      <c r="I21" s="81"/>
      <c r="J21" s="81"/>
      <c r="K21" s="82"/>
      <c r="L21" s="2"/>
    </row>
    <row r="22" spans="2:12">
      <c r="B22" s="29"/>
      <c r="C22" s="89"/>
      <c r="D22" s="90"/>
      <c r="E22" s="91"/>
      <c r="F22" s="146" t="s">
        <v>422</v>
      </c>
      <c r="G22" s="147"/>
      <c r="H22" s="92"/>
      <c r="I22" s="92"/>
      <c r="J22" s="92"/>
      <c r="K22" s="91"/>
      <c r="L22" s="2"/>
    </row>
    <row r="23" spans="2:12">
      <c r="B23" s="29"/>
      <c r="C23" s="83"/>
      <c r="D23" s="93"/>
      <c r="E23" s="85"/>
      <c r="F23" s="142" t="s">
        <v>423</v>
      </c>
      <c r="G23" s="143"/>
      <c r="H23" s="84"/>
      <c r="I23" s="84"/>
      <c r="J23" s="84"/>
      <c r="K23" s="85"/>
      <c r="L23" s="2"/>
    </row>
    <row r="24" spans="2:12">
      <c r="B24" s="29"/>
      <c r="C24" s="80"/>
      <c r="D24" s="88"/>
      <c r="E24" s="82"/>
      <c r="F24" s="144" t="s">
        <v>424</v>
      </c>
      <c r="G24" s="145"/>
      <c r="H24" s="81"/>
      <c r="I24" s="81"/>
      <c r="J24" s="81"/>
      <c r="K24" s="82"/>
      <c r="L24" s="2"/>
    </row>
    <row r="25" spans="2:12">
      <c r="B25" s="29"/>
      <c r="C25" s="80"/>
      <c r="D25" s="88"/>
      <c r="E25" s="82"/>
      <c r="F25" s="144" t="s">
        <v>425</v>
      </c>
      <c r="G25" s="145"/>
      <c r="H25" s="81"/>
      <c r="I25" s="81"/>
      <c r="J25" s="81"/>
      <c r="K25" s="82"/>
      <c r="L25" s="2"/>
    </row>
    <row r="26" spans="2:12">
      <c r="B26" s="29"/>
      <c r="C26" s="86"/>
      <c r="D26" s="87" t="s">
        <v>435</v>
      </c>
      <c r="E26" s="82"/>
      <c r="F26" s="144" t="s">
        <v>426</v>
      </c>
      <c r="G26" s="145"/>
      <c r="H26" s="81"/>
      <c r="I26" s="81"/>
      <c r="J26" s="81"/>
      <c r="K26" s="82"/>
      <c r="L26" s="2"/>
    </row>
    <row r="27" spans="2:12">
      <c r="B27" s="29"/>
      <c r="C27" s="80"/>
      <c r="D27" s="88"/>
      <c r="E27" s="82"/>
      <c r="F27" s="144" t="s">
        <v>427</v>
      </c>
      <c r="G27" s="145"/>
      <c r="H27" s="81"/>
      <c r="I27" s="81"/>
      <c r="J27" s="81"/>
      <c r="K27" s="82"/>
      <c r="L27" s="2"/>
    </row>
    <row r="28" spans="2:12">
      <c r="B28" s="29"/>
      <c r="C28" s="80"/>
      <c r="D28" s="88"/>
      <c r="E28" s="82"/>
      <c r="F28" s="144" t="s">
        <v>428</v>
      </c>
      <c r="G28" s="145"/>
      <c r="H28" s="81"/>
      <c r="I28" s="81"/>
      <c r="J28" s="81"/>
      <c r="K28" s="82"/>
      <c r="L28" s="2"/>
    </row>
    <row r="29" spans="2:12">
      <c r="B29" s="29"/>
      <c r="C29" s="89"/>
      <c r="D29" s="90"/>
      <c r="E29" s="91"/>
      <c r="F29" s="146" t="s">
        <v>429</v>
      </c>
      <c r="G29" s="147"/>
      <c r="H29" s="92"/>
      <c r="I29" s="92"/>
      <c r="J29" s="92"/>
      <c r="K29" s="91"/>
      <c r="L29" s="2"/>
    </row>
    <row r="30" spans="2:12">
      <c r="B30" s="31"/>
      <c r="C30" s="148"/>
      <c r="D30" s="149" t="s">
        <v>436</v>
      </c>
      <c r="E30" s="91"/>
      <c r="F30" s="150" t="s">
        <v>430</v>
      </c>
      <c r="G30" s="151"/>
      <c r="H30" s="101"/>
      <c r="I30" s="101"/>
      <c r="J30" s="101"/>
      <c r="K30" s="99"/>
      <c r="L30" s="2"/>
    </row>
    <row r="31" spans="2:12">
      <c r="B31" s="2"/>
      <c r="C31" s="2"/>
      <c r="D31" s="2"/>
      <c r="E31" s="2"/>
      <c r="F31" s="1" t="s">
        <v>774</v>
      </c>
      <c r="G31" s="2"/>
      <c r="H31" s="2"/>
      <c r="I31" s="2"/>
      <c r="J31" s="2"/>
      <c r="K31" s="2"/>
      <c r="L31" s="2"/>
    </row>
    <row r="33" spans="2:24">
      <c r="B33" s="1" t="s">
        <v>1719</v>
      </c>
    </row>
    <row r="34" spans="2:24">
      <c r="B34" s="66" t="s">
        <v>1717</v>
      </c>
    </row>
    <row r="35" spans="2:24">
      <c r="C35" s="2" t="s">
        <v>1718</v>
      </c>
    </row>
    <row r="36" spans="2:24">
      <c r="D36" t="s">
        <v>1720</v>
      </c>
    </row>
    <row r="37" spans="2:24">
      <c r="D37" t="s">
        <v>1721</v>
      </c>
    </row>
    <row r="38" spans="2:24">
      <c r="C38" t="s">
        <v>1728</v>
      </c>
    </row>
    <row r="39" spans="2:24">
      <c r="D39" t="s">
        <v>1722</v>
      </c>
    </row>
    <row r="40" spans="2:24">
      <c r="D40" t="s">
        <v>1723</v>
      </c>
    </row>
    <row r="41" spans="2:24">
      <c r="C41" t="s">
        <v>1724</v>
      </c>
    </row>
    <row r="42" spans="2:24">
      <c r="D42" t="s">
        <v>1725</v>
      </c>
    </row>
    <row r="43" spans="2:24">
      <c r="C43" s="158" t="s">
        <v>1726</v>
      </c>
      <c r="D43" s="158"/>
      <c r="E43" s="158"/>
      <c r="F43" s="158"/>
      <c r="G43" s="158"/>
      <c r="H43" s="158"/>
      <c r="I43" s="158"/>
      <c r="J43" s="158"/>
      <c r="K43" s="158"/>
      <c r="L43" s="158"/>
      <c r="M43" s="158"/>
      <c r="N43" s="158"/>
      <c r="O43" s="158"/>
      <c r="P43" s="158"/>
      <c r="Q43" s="158"/>
      <c r="R43" s="158"/>
      <c r="S43" s="158"/>
      <c r="T43" s="158"/>
      <c r="U43" s="158"/>
      <c r="V43" s="158"/>
      <c r="W43" s="158"/>
      <c r="X43" s="158"/>
    </row>
    <row r="44" spans="2:24">
      <c r="C44" s="158"/>
      <c r="D44" s="158"/>
      <c r="E44" s="158"/>
      <c r="F44" s="158"/>
      <c r="G44" s="158"/>
      <c r="H44" s="158"/>
      <c r="I44" s="158"/>
      <c r="J44" s="158"/>
      <c r="K44" s="158"/>
      <c r="L44" s="158"/>
      <c r="M44" s="158"/>
      <c r="N44" s="158"/>
      <c r="O44" s="158"/>
      <c r="P44" s="158"/>
      <c r="Q44" s="158"/>
      <c r="R44" s="158"/>
      <c r="S44" s="158"/>
      <c r="T44" s="158"/>
      <c r="U44" s="158"/>
      <c r="V44" s="158"/>
      <c r="W44" s="158"/>
      <c r="X44" s="158"/>
    </row>
    <row r="45" spans="2:24">
      <c r="D45" t="s">
        <v>1727</v>
      </c>
    </row>
    <row r="47" spans="2:24">
      <c r="B47" s="1" t="s">
        <v>1729</v>
      </c>
    </row>
    <row r="48" spans="2:24">
      <c r="B48" s="66" t="s">
        <v>1739</v>
      </c>
    </row>
    <row r="49" spans="3:24">
      <c r="C49" t="s">
        <v>1730</v>
      </c>
    </row>
    <row r="50" spans="3:24">
      <c r="D50" t="s">
        <v>1731</v>
      </c>
    </row>
    <row r="51" spans="3:24">
      <c r="C51" t="s">
        <v>1732</v>
      </c>
    </row>
    <row r="52" spans="3:24">
      <c r="D52" t="s">
        <v>1733</v>
      </c>
    </row>
    <row r="53" spans="3:24">
      <c r="D53" s="158" t="s">
        <v>1734</v>
      </c>
      <c r="E53" s="158"/>
      <c r="F53" s="158"/>
      <c r="G53" s="158"/>
      <c r="H53" s="158"/>
      <c r="I53" s="158"/>
      <c r="J53" s="158"/>
      <c r="K53" s="158"/>
      <c r="L53" s="158"/>
      <c r="M53" s="158"/>
      <c r="N53" s="158"/>
      <c r="O53" s="158"/>
      <c r="P53" s="158"/>
      <c r="Q53" s="158"/>
      <c r="R53" s="158"/>
      <c r="S53" s="158"/>
      <c r="T53" s="158"/>
      <c r="U53" s="158"/>
      <c r="V53" s="158"/>
      <c r="W53" s="158"/>
      <c r="X53" s="158"/>
    </row>
    <row r="54" spans="3:24">
      <c r="D54" s="158"/>
      <c r="E54" s="158"/>
      <c r="F54" s="158"/>
      <c r="G54" s="158"/>
      <c r="H54" s="158"/>
      <c r="I54" s="158"/>
      <c r="J54" s="158"/>
      <c r="K54" s="158"/>
      <c r="L54" s="158"/>
      <c r="M54" s="158"/>
      <c r="N54" s="158"/>
      <c r="O54" s="158"/>
      <c r="P54" s="158"/>
      <c r="Q54" s="158"/>
      <c r="R54" s="158"/>
      <c r="S54" s="158"/>
      <c r="T54" s="158"/>
      <c r="U54" s="158"/>
      <c r="V54" s="158"/>
      <c r="W54" s="158"/>
      <c r="X54" s="158"/>
    </row>
    <row r="55" spans="3:24" ht="15" customHeight="1">
      <c r="D55" t="s">
        <v>1738</v>
      </c>
    </row>
    <row r="56" spans="3:24">
      <c r="C56" t="s">
        <v>1735</v>
      </c>
    </row>
    <row r="57" spans="3:24">
      <c r="D57" t="s">
        <v>1736</v>
      </c>
    </row>
    <row r="58" spans="3:24">
      <c r="D58" t="s">
        <v>1737</v>
      </c>
    </row>
  </sheetData>
  <mergeCells count="2">
    <mergeCell ref="C43:X44"/>
    <mergeCell ref="D53:X54"/>
  </mergeCells>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 ref="B34" r:id="rId1" xr:uid="{A565F905-5622-41C5-806C-0BB46EAF7D50}"/>
    <hyperlink ref="B48" r:id="rId2" xr:uid="{634B5E92-5B4C-434F-B8B5-012B8467DC5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B4" sqref="B3:B4"/>
    </sheetView>
  </sheetViews>
  <sheetFormatPr defaultColWidth="9.140625" defaultRowHeight="14.25"/>
  <cols>
    <col min="1" max="1" width="2.85546875" style="2" customWidth="1"/>
    <col min="2" max="16384" width="9.140625" style="2"/>
  </cols>
  <sheetData>
    <row r="2" spans="2:13" ht="15">
      <c r="B2" s="1" t="s">
        <v>681</v>
      </c>
    </row>
    <row r="3" spans="2:13">
      <c r="B3" s="37" t="s">
        <v>512</v>
      </c>
      <c r="M3" s="2" t="s">
        <v>621</v>
      </c>
    </row>
    <row r="4" spans="2:13">
      <c r="B4" s="37" t="s">
        <v>620</v>
      </c>
      <c r="M4" s="2" t="s">
        <v>622</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20"/>
  <sheetViews>
    <sheetView workbookViewId="0">
      <selection activeCell="D10" sqref="D10"/>
    </sheetView>
  </sheetViews>
  <sheetFormatPr defaultColWidth="9" defaultRowHeight="14.25"/>
  <cols>
    <col min="1" max="1" width="3.140625" style="2" customWidth="1"/>
    <col min="2" max="16384" width="9" style="2"/>
  </cols>
  <sheetData>
    <row r="2" spans="1:4" ht="15">
      <c r="A2" s="1" t="s">
        <v>763</v>
      </c>
    </row>
    <row r="4" spans="1:4" ht="15">
      <c r="B4" s="1" t="s">
        <v>764</v>
      </c>
    </row>
    <row r="5" spans="1:4">
      <c r="C5" s="2" t="s">
        <v>1659</v>
      </c>
    </row>
    <row r="6" spans="1:4">
      <c r="D6" s="2" t="s">
        <v>1696</v>
      </c>
    </row>
    <row r="7" spans="1:4">
      <c r="C7" s="2" t="s">
        <v>765</v>
      </c>
    </row>
    <row r="8" spans="1:4" ht="15">
      <c r="C8" s="66" t="s">
        <v>766</v>
      </c>
      <c r="D8" s="2" t="s">
        <v>1697</v>
      </c>
    </row>
    <row r="9" spans="1:4" ht="15">
      <c r="D9" s="2" t="s">
        <v>767</v>
      </c>
    </row>
    <row r="11" spans="1:4" ht="15">
      <c r="C11" s="66"/>
    </row>
    <row r="18" spans="3:4">
      <c r="C18" s="2" t="s">
        <v>768</v>
      </c>
    </row>
    <row r="19" spans="3:4">
      <c r="D19" s="2" t="s">
        <v>769</v>
      </c>
    </row>
    <row r="20" spans="3:4">
      <c r="D20" s="2" t="s">
        <v>770</v>
      </c>
    </row>
  </sheetData>
  <hyperlinks>
    <hyperlink ref="C8" r:id="rId1" xr:uid="{7FEA5F4A-26DC-41D6-9F2C-70C72DE7C0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28515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2025-05-13T02:20:44Z</dcterms:modified>
</cp:coreProperties>
</file>