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10A96036-0FC8-480C-80C4-4F455F985F8C}" xr6:coauthVersionLast="47" xr6:coauthVersionMax="47" xr10:uidLastSave="{00000000-0000-0000-0000-000000000000}"/>
  <bookViews>
    <workbookView xWindow="28695" yWindow="0" windowWidth="14610" windowHeight="15585" xr2:uid="{00000000-000D-0000-FFFF-FFFF00000000}"/>
  </bookViews>
  <sheets>
    <sheet name="Main" sheetId="1" r:id="rId1"/>
    <sheet name="Useful Resources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L10" i="1"/>
  <c r="K10" i="1"/>
  <c r="J10" i="1"/>
  <c r="K7" i="1"/>
  <c r="L7" i="1" s="1"/>
  <c r="J7" i="1"/>
  <c r="R30" i="1"/>
  <c r="Q30" i="1"/>
  <c r="H30" i="1"/>
  <c r="F30" i="1"/>
  <c r="I30" i="1" l="1"/>
  <c r="H47" i="1"/>
  <c r="H24" i="1"/>
  <c r="H22" i="1"/>
  <c r="G22" i="1"/>
  <c r="R26" i="1"/>
  <c r="Q26" i="1"/>
  <c r="H26" i="1"/>
  <c r="G26" i="1"/>
  <c r="F26" i="1"/>
  <c r="H38" i="1"/>
  <c r="I26" i="1" l="1"/>
  <c r="R3" i="1" l="1"/>
  <c r="R4" i="1"/>
  <c r="R5" i="1"/>
  <c r="R6" i="1"/>
  <c r="R7" i="1"/>
  <c r="R9" i="1"/>
  <c r="R8" i="1"/>
  <c r="R10" i="1"/>
  <c r="R11" i="1"/>
  <c r="R12" i="1"/>
  <c r="R13" i="1"/>
  <c r="R14" i="1"/>
  <c r="R15" i="1"/>
  <c r="R16" i="1"/>
  <c r="R18" i="1"/>
  <c r="R17" i="1"/>
  <c r="R19" i="1"/>
  <c r="R22" i="1"/>
  <c r="R21" i="1"/>
  <c r="R20" i="1"/>
  <c r="R24" i="1"/>
  <c r="R23" i="1"/>
  <c r="R25" i="1"/>
  <c r="R27" i="1"/>
  <c r="R29" i="1"/>
  <c r="R28" i="1"/>
  <c r="R34" i="1"/>
  <c r="R37" i="1"/>
  <c r="R33" i="1"/>
  <c r="R35" i="1"/>
  <c r="R32" i="1"/>
  <c r="R36" i="1"/>
  <c r="R38" i="1"/>
  <c r="R39" i="1"/>
  <c r="R40" i="1"/>
  <c r="R42" i="1"/>
  <c r="R41" i="1"/>
  <c r="R43" i="1"/>
  <c r="R46" i="1"/>
  <c r="R45" i="1"/>
  <c r="R44" i="1"/>
  <c r="R49" i="1"/>
  <c r="R47" i="1"/>
  <c r="R50" i="1"/>
  <c r="R48" i="1"/>
  <c r="R51" i="1"/>
  <c r="R52" i="1"/>
  <c r="R54" i="1"/>
  <c r="R53" i="1"/>
  <c r="R55" i="1"/>
  <c r="R56" i="1"/>
  <c r="R58" i="1"/>
  <c r="R57" i="1"/>
  <c r="R59" i="1"/>
  <c r="Q3" i="1"/>
  <c r="Q4" i="1"/>
  <c r="Q5" i="1"/>
  <c r="Q6" i="1"/>
  <c r="Q7" i="1"/>
  <c r="Q9" i="1"/>
  <c r="Q8" i="1"/>
  <c r="Q10" i="1"/>
  <c r="Q11" i="1"/>
  <c r="Q12" i="1"/>
  <c r="Q13" i="1"/>
  <c r="Q14" i="1"/>
  <c r="Q15" i="1"/>
  <c r="Q16" i="1"/>
  <c r="Q18" i="1"/>
  <c r="Q17" i="1"/>
  <c r="Q19" i="1"/>
  <c r="Q22" i="1"/>
  <c r="Q21" i="1"/>
  <c r="Q20" i="1"/>
  <c r="Q24" i="1"/>
  <c r="Q23" i="1"/>
  <c r="Q25" i="1"/>
  <c r="Q27" i="1"/>
  <c r="Q29" i="1"/>
  <c r="Q28" i="1"/>
  <c r="Q34" i="1"/>
  <c r="Q37" i="1"/>
  <c r="Q33" i="1"/>
  <c r="Q35" i="1"/>
  <c r="Q32" i="1"/>
  <c r="Q36" i="1"/>
  <c r="Q38" i="1"/>
  <c r="Q39" i="1"/>
  <c r="Q40" i="1"/>
  <c r="Q42" i="1"/>
  <c r="Q41" i="1"/>
  <c r="Q43" i="1"/>
  <c r="Q46" i="1"/>
  <c r="Q45" i="1"/>
  <c r="Q44" i="1"/>
  <c r="Q49" i="1"/>
  <c r="Q47" i="1"/>
  <c r="Q50" i="1"/>
  <c r="Q48" i="1"/>
  <c r="Q51" i="1"/>
  <c r="Q52" i="1"/>
  <c r="Q54" i="1"/>
  <c r="Q53" i="1"/>
  <c r="Q55" i="1"/>
  <c r="Q56" i="1"/>
  <c r="Q58" i="1"/>
  <c r="Q57" i="1"/>
  <c r="Q59" i="1"/>
  <c r="Q31" i="1" l="1"/>
  <c r="R31" i="1"/>
  <c r="G46" i="1"/>
  <c r="I46" i="1"/>
  <c r="F46" i="1"/>
  <c r="H10" i="1"/>
  <c r="G10" i="1"/>
  <c r="G8" i="1"/>
  <c r="H8" i="1"/>
  <c r="H37" i="1" l="1"/>
  <c r="K37" i="1" l="1"/>
  <c r="L37" i="1" s="1"/>
  <c r="J37" i="1"/>
  <c r="G39" i="1"/>
  <c r="F50" i="1"/>
  <c r="F42" i="1"/>
  <c r="H31" i="1" l="1"/>
  <c r="F24" i="1"/>
  <c r="I24" i="1" s="1"/>
  <c r="F43" i="1"/>
  <c r="I43" i="1" s="1"/>
  <c r="F27" i="1"/>
  <c r="F48" i="1"/>
  <c r="F6" i="1"/>
  <c r="F38" i="1"/>
  <c r="F58" i="1"/>
  <c r="F8" i="1"/>
  <c r="I8" i="1" s="1"/>
  <c r="F59" i="1"/>
  <c r="I59" i="1" s="1"/>
  <c r="F22" i="1"/>
  <c r="F15" i="1"/>
  <c r="F33" i="1"/>
  <c r="F23" i="1"/>
  <c r="F21" i="1"/>
  <c r="I21" i="1" s="1"/>
  <c r="F31" i="1"/>
  <c r="F18" i="1"/>
  <c r="I18" i="1" s="1"/>
  <c r="F4" i="1"/>
  <c r="I4" i="1" s="1"/>
  <c r="F12" i="1"/>
  <c r="F28" i="1"/>
  <c r="F56" i="1"/>
  <c r="F49" i="1"/>
  <c r="F34" i="1"/>
  <c r="F11" i="1"/>
  <c r="I11" i="1" s="1"/>
  <c r="F7" i="1"/>
  <c r="F57" i="1"/>
  <c r="F47" i="1"/>
  <c r="F25" i="1"/>
  <c r="F9" i="1"/>
  <c r="F17" i="1"/>
  <c r="F54" i="1"/>
  <c r="F52" i="1"/>
  <c r="I52" i="1" s="1"/>
  <c r="F13" i="1"/>
  <c r="I13" i="1" s="1"/>
  <c r="F32" i="1"/>
  <c r="F16" i="1"/>
  <c r="F37" i="1"/>
  <c r="F29" i="1"/>
  <c r="F36" i="1"/>
  <c r="F14" i="1"/>
  <c r="F40" i="1"/>
  <c r="I40" i="1" s="1"/>
  <c r="F19" i="1"/>
  <c r="I19" i="1" s="1"/>
  <c r="F41" i="1"/>
  <c r="F5" i="1"/>
  <c r="F3" i="1"/>
  <c r="F44" i="1"/>
  <c r="F35" i="1"/>
  <c r="F10" i="1"/>
  <c r="I10" i="1" s="1"/>
  <c r="F51" i="1"/>
  <c r="F20" i="1"/>
  <c r="F39" i="1"/>
  <c r="F45" i="1"/>
  <c r="F55" i="1"/>
  <c r="F53" i="1"/>
  <c r="I27" i="1" l="1"/>
  <c r="I22" i="1"/>
  <c r="I53" i="1"/>
  <c r="I35" i="1"/>
  <c r="I14" i="1"/>
  <c r="I54" i="1"/>
  <c r="I34" i="1"/>
  <c r="I55" i="1"/>
  <c r="I44" i="1"/>
  <c r="I36" i="1"/>
  <c r="I17" i="1"/>
  <c r="I49" i="1"/>
  <c r="I48" i="1"/>
  <c r="I45" i="1"/>
  <c r="I29" i="1"/>
  <c r="I9" i="1"/>
  <c r="I6" i="1"/>
  <c r="I15" i="1"/>
  <c r="I39" i="1"/>
  <c r="I3" i="1"/>
  <c r="I37" i="1"/>
  <c r="I25" i="1"/>
  <c r="I56" i="1"/>
  <c r="I38" i="1"/>
  <c r="I33" i="1"/>
  <c r="I20" i="1"/>
  <c r="I5" i="1"/>
  <c r="I16" i="1"/>
  <c r="I47" i="1"/>
  <c r="I28" i="1"/>
  <c r="I58" i="1"/>
  <c r="I23" i="1"/>
  <c r="I51" i="1"/>
  <c r="I41" i="1"/>
  <c r="I32" i="1"/>
  <c r="I57" i="1"/>
  <c r="I12" i="1"/>
  <c r="I7" i="1" l="1"/>
  <c r="I31" i="1" l="1"/>
  <c r="K31" i="1" l="1"/>
  <c r="L31" i="1" s="1"/>
  <c r="J31" i="1" l="1"/>
  <c r="J8" i="1" l="1"/>
  <c r="K8" i="1" l="1"/>
  <c r="L8" i="1" s="1"/>
</calcChain>
</file>

<file path=xl/sharedStrings.xml><?xml version="1.0" encoding="utf-8"?>
<sst xmlns="http://schemas.openxmlformats.org/spreadsheetml/2006/main" count="295" uniqueCount="217">
  <si>
    <t>Name</t>
  </si>
  <si>
    <t>Ticker</t>
  </si>
  <si>
    <t>Price</t>
  </si>
  <si>
    <t xml:space="preserve">Share Count </t>
  </si>
  <si>
    <t>MC ($M)</t>
  </si>
  <si>
    <t>Cash ($M)</t>
  </si>
  <si>
    <t>Debt ($M)</t>
  </si>
  <si>
    <t>EV ($M)</t>
  </si>
  <si>
    <t xml:space="preserve">Updated </t>
  </si>
  <si>
    <t>ABT</t>
  </si>
  <si>
    <t>ISRG</t>
  </si>
  <si>
    <t>SYK</t>
  </si>
  <si>
    <t>Medtronic</t>
  </si>
  <si>
    <t>MDT</t>
  </si>
  <si>
    <t>BDX</t>
  </si>
  <si>
    <t>EW</t>
  </si>
  <si>
    <t>BSX</t>
  </si>
  <si>
    <t>A</t>
  </si>
  <si>
    <t>RMD</t>
  </si>
  <si>
    <t>GEHC</t>
  </si>
  <si>
    <t>ALGN</t>
  </si>
  <si>
    <t>IDXX</t>
  </si>
  <si>
    <t>DXCM</t>
  </si>
  <si>
    <t>MTD</t>
  </si>
  <si>
    <t>WST</t>
  </si>
  <si>
    <t>ZBH</t>
  </si>
  <si>
    <t>Steris</t>
  </si>
  <si>
    <t>STE</t>
  </si>
  <si>
    <t>Avantor</t>
  </si>
  <si>
    <t>AVTR</t>
  </si>
  <si>
    <t>MDXG</t>
  </si>
  <si>
    <t>Hologic</t>
  </si>
  <si>
    <t>HOLX</t>
  </si>
  <si>
    <t>Insulet</t>
  </si>
  <si>
    <t>PODD</t>
  </si>
  <si>
    <t>COO</t>
  </si>
  <si>
    <t>EXAS</t>
  </si>
  <si>
    <t>Qiagen</t>
  </si>
  <si>
    <t>QGEN</t>
  </si>
  <si>
    <t>Henry Schein</t>
  </si>
  <si>
    <t>HSIC</t>
  </si>
  <si>
    <t>TFX</t>
  </si>
  <si>
    <t>NVCR</t>
  </si>
  <si>
    <t>MASI</t>
  </si>
  <si>
    <t>XRAY</t>
  </si>
  <si>
    <t>NARI</t>
  </si>
  <si>
    <t>ESTA</t>
  </si>
  <si>
    <t>EMBC</t>
  </si>
  <si>
    <t>GMED</t>
  </si>
  <si>
    <t>DHR</t>
  </si>
  <si>
    <t>ALC</t>
  </si>
  <si>
    <t>ANGO</t>
  </si>
  <si>
    <t>ATRC</t>
  </si>
  <si>
    <t>CERS</t>
  </si>
  <si>
    <t>CNMD</t>
  </si>
  <si>
    <t>INSP</t>
  </si>
  <si>
    <t>IQV</t>
  </si>
  <si>
    <t>IRTC</t>
  </si>
  <si>
    <t>JNJ</t>
  </si>
  <si>
    <t>LIVN</t>
  </si>
  <si>
    <t>OFIX</t>
  </si>
  <si>
    <t>OM</t>
  </si>
  <si>
    <t>PEN</t>
  </si>
  <si>
    <t>PHG</t>
  </si>
  <si>
    <t>STIM</t>
  </si>
  <si>
    <t>TCMD</t>
  </si>
  <si>
    <t>TMO</t>
  </si>
  <si>
    <t>TNDM</t>
  </si>
  <si>
    <t>SILK</t>
  </si>
  <si>
    <t>Abbott Laboratories</t>
  </si>
  <si>
    <t>Dental/Orthodontics</t>
  </si>
  <si>
    <t>Cardiac Monitoring</t>
  </si>
  <si>
    <t>Johnson &amp; Johnson</t>
  </si>
  <si>
    <t>Broadline Medical Devices</t>
  </si>
  <si>
    <t>Koninklijke Philips N.V. (Philips)</t>
  </si>
  <si>
    <t>Insulin Pumps</t>
  </si>
  <si>
    <t>Dental Equipment</t>
  </si>
  <si>
    <t>Agilent Technologies</t>
  </si>
  <si>
    <t xml:space="preserve">Alcon </t>
  </si>
  <si>
    <t>Align Technology</t>
  </si>
  <si>
    <t>AngioDynamics</t>
  </si>
  <si>
    <t>Life Sciences</t>
  </si>
  <si>
    <t>Analytical Instruments</t>
  </si>
  <si>
    <t>Healthcare Conglomerate</t>
  </si>
  <si>
    <t>Medical Devices/Diagnostics</t>
  </si>
  <si>
    <t>Medical Devices</t>
  </si>
  <si>
    <t>Ophthalmic Surgery</t>
  </si>
  <si>
    <t>Vascular Intervention</t>
  </si>
  <si>
    <t>Cardiac Ablation</t>
  </si>
  <si>
    <t>Laboratory Supplies</t>
  </si>
  <si>
    <t>Medical Technology</t>
  </si>
  <si>
    <t>Blood Transfusion</t>
  </si>
  <si>
    <t>Surgical Tools</t>
  </si>
  <si>
    <t>Contact Lenses/Fertility</t>
  </si>
  <si>
    <t>Diagnostics/Biotech</t>
  </si>
  <si>
    <t>Diabetes Monitoring</t>
  </si>
  <si>
    <t>Diabetes Care</t>
  </si>
  <si>
    <t>Aesthetic Implants</t>
  </si>
  <si>
    <t>Structural Heart</t>
  </si>
  <si>
    <t>Diagnostics</t>
  </si>
  <si>
    <t>Oncology Testing</t>
  </si>
  <si>
    <t>Imaging Equipment</t>
  </si>
  <si>
    <t>Spinal Implants</t>
  </si>
  <si>
    <t>Women's Health</t>
  </si>
  <si>
    <t>Healthcare Services</t>
  </si>
  <si>
    <t>Dental Distribution</t>
  </si>
  <si>
    <t>Veterinary Testing</t>
  </si>
  <si>
    <t>Sleep Apnea Therapy</t>
  </si>
  <si>
    <t>Clinical Research (CRO)</t>
  </si>
  <si>
    <t>Surgical Robotics</t>
  </si>
  <si>
    <t>Pharmaceuticals/Devices</t>
  </si>
  <si>
    <t>Neuromodulation</t>
  </si>
  <si>
    <t>Patient Monitoring</t>
  </si>
  <si>
    <t>Biologics</t>
  </si>
  <si>
    <t>Wound Care</t>
  </si>
  <si>
    <t>Precision Instruments</t>
  </si>
  <si>
    <t>Oncology Therapy</t>
  </si>
  <si>
    <t>Orthopedic Repair</t>
  </si>
  <si>
    <t>Dialysis Systems</t>
  </si>
  <si>
    <t>Imaging/HealthTech</t>
  </si>
  <si>
    <t>Insulin Delivery</t>
  </si>
  <si>
    <t>Molecular Testing</t>
  </si>
  <si>
    <t>Respiratory Therapy</t>
  </si>
  <si>
    <t>Sterilization</t>
  </si>
  <si>
    <t>Neurostimulation</t>
  </si>
  <si>
    <t>Orthopedics/Neurotech</t>
  </si>
  <si>
    <t>Compression Therapy</t>
  </si>
  <si>
    <t>Critical Care/Urology</t>
  </si>
  <si>
    <t>Healthcare Supplies</t>
  </si>
  <si>
    <t>Drug Packaging</t>
  </si>
  <si>
    <t>Joint Reconstruction</t>
  </si>
  <si>
    <t>&lt;- Acquired by Stryker (Feb. 20, 2025) for ~$4.9 billion (an incredible 60% premium on the trading market valuation)</t>
  </si>
  <si>
    <t>AtriCure</t>
  </si>
  <si>
    <t xml:space="preserve">Becton, Dickinson </t>
  </si>
  <si>
    <t xml:space="preserve">Boston Scientific </t>
  </si>
  <si>
    <t xml:space="preserve">Cerus </t>
  </si>
  <si>
    <t xml:space="preserve">CONMED </t>
  </si>
  <si>
    <t xml:space="preserve">Danaher </t>
  </si>
  <si>
    <t>The Cooper Co's</t>
  </si>
  <si>
    <t>DexCom</t>
  </si>
  <si>
    <t>Embecta (spun off from BDX)</t>
  </si>
  <si>
    <t xml:space="preserve">Establishment Labs </t>
  </si>
  <si>
    <t xml:space="preserve">Edwards Lifesciences </t>
  </si>
  <si>
    <t xml:space="preserve">Exact Sciences </t>
  </si>
  <si>
    <t>Globus Medical</t>
  </si>
  <si>
    <t>IDEXX Laboratories</t>
  </si>
  <si>
    <t>Inspire Medical Systems</t>
  </si>
  <si>
    <t>IQVIA Holdings</t>
  </si>
  <si>
    <t>iRhythm Technologies</t>
  </si>
  <si>
    <t>Intuitive Surgical</t>
  </si>
  <si>
    <t>LivaNova</t>
  </si>
  <si>
    <t xml:space="preserve">Masimo </t>
  </si>
  <si>
    <t>MiMedx Group</t>
  </si>
  <si>
    <t xml:space="preserve">Mettler-Toledo </t>
  </si>
  <si>
    <t xml:space="preserve">NovoCure </t>
  </si>
  <si>
    <t xml:space="preserve">Orthofix Medical </t>
  </si>
  <si>
    <t>Outset Medical</t>
  </si>
  <si>
    <t>Penumbra</t>
  </si>
  <si>
    <t xml:space="preserve">ResMed </t>
  </si>
  <si>
    <t>Neuronetics</t>
  </si>
  <si>
    <t xml:space="preserve">Stryker </t>
  </si>
  <si>
    <t xml:space="preserve">Tactile Systems </t>
  </si>
  <si>
    <t xml:space="preserve">Teleflex </t>
  </si>
  <si>
    <t>Tandem Diabetes Care</t>
  </si>
  <si>
    <t xml:space="preserve">Dentsply Sirona </t>
  </si>
  <si>
    <t>Inari Medical</t>
  </si>
  <si>
    <t>Silk Medical</t>
  </si>
  <si>
    <t>NPV</t>
  </si>
  <si>
    <t>FV</t>
  </si>
  <si>
    <t>Upside</t>
  </si>
  <si>
    <t>Q4'24</t>
  </si>
  <si>
    <t>Category 13</t>
  </si>
  <si>
    <t>GE HealthCare</t>
  </si>
  <si>
    <t>West Pharmaceutical</t>
  </si>
  <si>
    <t xml:space="preserve">Zimmer Biomet </t>
  </si>
  <si>
    <t xml:space="preserve">Thermo Fisher  </t>
  </si>
  <si>
    <t>Axonics</t>
  </si>
  <si>
    <t>AXN</t>
  </si>
  <si>
    <t xml:space="preserve">&lt;- Acquired by Boston Scientific (Sep. 17, 2024) for ~$1.18 billion </t>
  </si>
  <si>
    <t>&lt;- Acquired by Boston Scientific (Nov. 15, 2024) for ~$3.7 billion (10 months after proposal)</t>
  </si>
  <si>
    <t>https://www.fda.gov/medical-devices</t>
  </si>
  <si>
    <t>https://pubmed.ncbi.nlm.nih.gov/37084878/</t>
  </si>
  <si>
    <t>MedTech Equity News</t>
  </si>
  <si>
    <t>https://www.medtechdive.com/</t>
  </si>
  <si>
    <t>https://www.nejm.org/</t>
  </si>
  <si>
    <t>New England Journal (Primarily Pharmacology)</t>
  </si>
  <si>
    <t>FDA Medical Devices Frontpage</t>
  </si>
  <si>
    <t>PubMed</t>
  </si>
  <si>
    <t>FY Earnings Estimates</t>
  </si>
  <si>
    <t>Main</t>
  </si>
  <si>
    <t>Thrombectomy</t>
  </si>
  <si>
    <t>Lemaitre Vascular</t>
  </si>
  <si>
    <t>LMAT</t>
  </si>
  <si>
    <t>Q1'25</t>
  </si>
  <si>
    <t>Direct Competitive Overlap w Penumbra</t>
  </si>
  <si>
    <t>Fwd. P/E</t>
  </si>
  <si>
    <t>Fwd. P/E (2-years)</t>
  </si>
  <si>
    <t>β (1-year avg.)</t>
  </si>
  <si>
    <t xml:space="preserve">1σ ± move </t>
  </si>
  <si>
    <t>FY Earnings Estimates (2-years)</t>
  </si>
  <si>
    <t># of Employees</t>
  </si>
  <si>
    <t>Baxter International</t>
  </si>
  <si>
    <t>BAX</t>
  </si>
  <si>
    <t>Solventum</t>
  </si>
  <si>
    <t>SOLV</t>
  </si>
  <si>
    <t>Spun off by 3M on April 1, 2024 (3M retains ~20% equity in Solventum)</t>
  </si>
  <si>
    <t>GICS Sector</t>
  </si>
  <si>
    <t>GICS Sub-Industry</t>
  </si>
  <si>
    <t>Diagnostics/Laboratory Equipment</t>
  </si>
  <si>
    <t>Endovascular Today (Vascular Market News)</t>
  </si>
  <si>
    <t>https://evtoday.com/</t>
  </si>
  <si>
    <t>Roche operates one of the worlds largest Life Science/Diagnostics business… Look into international players including</t>
  </si>
  <si>
    <t>International</t>
  </si>
  <si>
    <t>Healthcare Conglomerate
J&amp;J divested from their Diagnostics business a long time ago, but still operates a significant MedTech business</t>
  </si>
  <si>
    <t>Cardiovascular
Divested from Neurovascular business, selling it to SYK for $1.5B in 2011</t>
  </si>
  <si>
    <t>Medical Device / Life Science Company List</t>
  </si>
  <si>
    <t>https://www.medicaldevice-network.com/company-a-z/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</si>
</sst>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b/>
      <sz val="11"/>
      <color theme="0"/>
      <name val="Calibre"/>
    </font>
    <font>
      <sz val="11"/>
      <color theme="1"/>
      <name val="Calibre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4" tint="-0.249977111117893"/>
      <name val="Calibre"/>
    </font>
    <font>
      <b/>
      <sz val="11"/>
      <color theme="1"/>
      <name val="Calibre"/>
    </font>
    <font>
      <sz val="11"/>
      <color theme="1"/>
      <name val="Calibri"/>
      <family val="2"/>
      <scheme val="minor"/>
    </font>
    <font>
      <sz val="11"/>
      <color theme="0"/>
      <name val="Calibre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4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44" fontId="2" fillId="2" borderId="0" xfId="0" applyNumberFormat="1" applyFont="1" applyFill="1" applyAlignment="1">
      <alignment horizontal="left" vertical="top" wrapText="1"/>
    </xf>
    <xf numFmtId="0" fontId="7" fillId="0" borderId="0" xfId="3" applyFont="1"/>
    <xf numFmtId="10" fontId="2" fillId="0" borderId="0" xfId="0" applyNumberFormat="1" applyFont="1"/>
    <xf numFmtId="0" fontId="8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7" fillId="0" borderId="1" xfId="3" applyFont="1" applyFill="1" applyBorder="1"/>
    <xf numFmtId="44" fontId="2" fillId="0" borderId="0" xfId="4" applyFont="1"/>
    <xf numFmtId="2" fontId="2" fillId="0" borderId="0" xfId="0" applyNumberFormat="1" applyFont="1"/>
    <xf numFmtId="44" fontId="2" fillId="0" borderId="0" xfId="0" applyNumberFormat="1" applyFont="1" applyAlignment="1">
      <alignment wrapText="1"/>
    </xf>
    <xf numFmtId="0" fontId="1" fillId="3" borderId="0" xfId="0" applyFont="1" applyFill="1"/>
    <xf numFmtId="44" fontId="1" fillId="3" borderId="0" xfId="0" applyNumberFormat="1" applyFont="1" applyFill="1"/>
    <xf numFmtId="0" fontId="10" fillId="3" borderId="0" xfId="0" applyFont="1" applyFill="1"/>
    <xf numFmtId="3" fontId="2" fillId="0" borderId="0" xfId="0" applyNumberFormat="1" applyFont="1"/>
    <xf numFmtId="0" fontId="5" fillId="0" borderId="0" xfId="3"/>
  </cellXfs>
  <cellStyles count="5">
    <cellStyle name="Currency" xfId="4" builtinId="4"/>
    <cellStyle name="Hyperlink" xfId="3" builtinId="8"/>
    <cellStyle name="Hyperlink 2" xfId="2" xr:uid="{EA16B43E-A6A0-4CF5-8C0B-FD4E502DB7FC}"/>
    <cellStyle name="Normal" xfId="0" builtinId="0"/>
    <cellStyle name="Normal 2" xfId="1" xr:uid="{10241BC7-DF58-46C9-A84F-35B7B655C9B3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border diagonalUp="0" diagonalDown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e"/>
        <scheme val="none"/>
      </font>
      <fill>
        <patternFill patternType="solid">
          <fgColor indexed="64"/>
          <bgColor rgb="FF002060"/>
        </patternFill>
      </fill>
    </dxf>
  </dxfs>
  <tableStyles count="1" defaultTableStyle="TableStyleMedium2" defaultPivotStyle="PivotStyleLight16">
    <tableStyle name="Invisible" pivot="0" table="0" count="0" xr9:uid="{C2741A59-6701-4298-9EC9-1F20087F54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100853</xdr:colOff>
      <xdr:row>38</xdr:row>
      <xdr:rowOff>95199</xdr:rowOff>
    </xdr:from>
    <xdr:to>
      <xdr:col>22</xdr:col>
      <xdr:colOff>145676</xdr:colOff>
      <xdr:row>38</xdr:row>
      <xdr:rowOff>112059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1FDEEE2-5F3B-43C8-6B8E-7677499BB4DB}"/>
            </a:ext>
          </a:extLst>
        </xdr:cNvPr>
        <xdr:cNvCxnSpPr/>
      </xdr:nvCxnSpPr>
      <xdr:spPr>
        <a:xfrm flipV="1">
          <a:off x="313765" y="6684258"/>
          <a:ext cx="19296529" cy="1686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78441</xdr:colOff>
      <xdr:row>49</xdr:row>
      <xdr:rowOff>100853</xdr:rowOff>
    </xdr:from>
    <xdr:to>
      <xdr:col>22</xdr:col>
      <xdr:colOff>145676</xdr:colOff>
      <xdr:row>49</xdr:row>
      <xdr:rowOff>106125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086AF2D-E67C-4021-96C3-CBEC794A641D}"/>
            </a:ext>
          </a:extLst>
        </xdr:cNvPr>
        <xdr:cNvCxnSpPr/>
      </xdr:nvCxnSpPr>
      <xdr:spPr>
        <a:xfrm>
          <a:off x="291353" y="8370794"/>
          <a:ext cx="19318941" cy="527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67235</xdr:colOff>
      <xdr:row>41</xdr:row>
      <xdr:rowOff>100853</xdr:rowOff>
    </xdr:from>
    <xdr:to>
      <xdr:col>22</xdr:col>
      <xdr:colOff>128868</xdr:colOff>
      <xdr:row>41</xdr:row>
      <xdr:rowOff>103534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3F01CC2-CC0C-4876-BF24-63A20564B193}"/>
            </a:ext>
          </a:extLst>
        </xdr:cNvPr>
        <xdr:cNvCxnSpPr/>
      </xdr:nvCxnSpPr>
      <xdr:spPr>
        <a:xfrm>
          <a:off x="280147" y="7026088"/>
          <a:ext cx="19313339" cy="2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BSX_Model.xlsx" TargetMode="External"/><Relationship Id="rId1" Type="http://schemas.openxmlformats.org/officeDocument/2006/relationships/externalLinkPath" Target="BSX_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SYK_Model.xlsx" TargetMode="External"/><Relationship Id="rId1" Type="http://schemas.openxmlformats.org/officeDocument/2006/relationships/externalLinkPath" Target="SYK_Mode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PEN_Model.xlsx" TargetMode="External"/><Relationship Id="rId1" Type="http://schemas.openxmlformats.org/officeDocument/2006/relationships/externalLinkPath" Target="PEN_Mode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GMED_Model.xlsx" TargetMode="External"/><Relationship Id="rId1" Type="http://schemas.openxmlformats.org/officeDocument/2006/relationships/externalLinkPath" Target="GMED_Mode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MDT_Model.xlsx" TargetMode="External"/><Relationship Id="rId1" Type="http://schemas.openxmlformats.org/officeDocument/2006/relationships/externalLinkPath" Target="MDT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Debt Schedule"/>
      <sheetName val="Markets | Product Lines"/>
      <sheetName val="Management"/>
      <sheetName val="Clinical Trial Channel"/>
      <sheetName val="M&amp;A Scope"/>
    </sheetNames>
    <sheetDataSet>
      <sheetData sheetId="0"/>
      <sheetData sheetId="1">
        <row r="3">
          <cell r="AW3" t="str">
            <v>Q1 2020</v>
          </cell>
        </row>
        <row r="91">
          <cell r="CV91">
            <v>157083.74609071898</v>
          </cell>
        </row>
        <row r="93">
          <cell r="CV93">
            <v>106.44131169506456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  <sheetName val="Markets | Product Lines"/>
    </sheetNames>
    <sheetDataSet>
      <sheetData sheetId="0" refreshError="1"/>
      <sheetData sheetId="1">
        <row r="1">
          <cell r="AW1" t="str">
            <v>Q1 2020</v>
          </cell>
        </row>
        <row r="79">
          <cell r="CZ79">
            <v>144251.00357966521</v>
          </cell>
        </row>
        <row r="81">
          <cell r="CZ81">
            <v>377.45837802531167</v>
          </cell>
        </row>
      </sheetData>
      <sheetData sheetId="2">
        <row r="217">
          <cell r="I217" t="str">
            <v xml:space="preserve">The return distribution fits a Gaussian curve well, implying that daily change follows a roughly normal distribution 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Portfolio | Product Lines"/>
      <sheetName val="Management"/>
      <sheetName val="Clinical Trail Channel"/>
      <sheetName val="Peripheral Thrombectomy"/>
      <sheetName val="Neuro Thrombectomy"/>
      <sheetName val="Peripheral Embolization"/>
      <sheetName val="Neuro Embolization"/>
      <sheetName val="Access"/>
      <sheetName val="Neurosurgical Tools"/>
    </sheetNames>
    <sheetDataSet>
      <sheetData sheetId="0">
        <row r="9">
          <cell r="C9">
            <v>0</v>
          </cell>
        </row>
      </sheetData>
      <sheetData sheetId="1">
        <row r="59">
          <cell r="BU59">
            <v>11386.549358367949</v>
          </cell>
        </row>
        <row r="61">
          <cell r="BU61">
            <v>294.98832534631993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</sheetNames>
    <sheetDataSet>
      <sheetData sheetId="0"/>
      <sheetData sheetId="1">
        <row r="53">
          <cell r="BZ53">
            <v>7562.2393729299547</v>
          </cell>
        </row>
        <row r="55">
          <cell r="BZ55">
            <v>55.058167986384817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  <sheetName val="Product Lines"/>
      <sheetName val="Management"/>
      <sheetName val="Table Formatting"/>
    </sheetNames>
    <sheetDataSet>
      <sheetData sheetId="0"/>
      <sheetData sheetId="1">
        <row r="80">
          <cell r="BM80">
            <v>99800.209268189748</v>
          </cell>
        </row>
        <row r="82">
          <cell r="BM82">
            <v>77.814318325537428</v>
          </cell>
        </row>
        <row r="84">
          <cell r="BM84">
            <v>-9.3706984328704501E-2</v>
          </cell>
        </row>
      </sheetData>
      <sheetData sheetId="2">
        <row r="241">
          <cell r="K241">
            <v>1.1871030936368737E-2</v>
          </cell>
        </row>
      </sheetData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29868-3893-402D-903A-49AEC2B1DF58}" name="Table4" displayName="Table4" ref="B2:W72" totalsRowShown="0" headerRowDxfId="24" dataDxfId="23" tableBorderDxfId="22">
  <autoFilter ref="B2:W72" xr:uid="{BD229868-3893-402D-903A-49AEC2B1DF58}"/>
  <sortState xmlns:xlrd2="http://schemas.microsoft.com/office/spreadsheetml/2017/richdata2" ref="B3:W72">
    <sortCondition descending="1" ref="F2:F72"/>
  </sortState>
  <tableColumns count="22">
    <tableColumn id="23" xr3:uid="{E121D137-E273-4C3E-A084-0DEB9CFE7664}" name="Ticker" dataDxfId="21"/>
    <tableColumn id="1" xr3:uid="{4ADE19BB-14C4-42AC-B83A-E2835EC9AF59}" name="Name" dataDxfId="20"/>
    <tableColumn id="4" xr3:uid="{ED225D35-38EE-42A6-B4F6-EF96455DAEB6}" name="Price" dataDxfId="19"/>
    <tableColumn id="12" xr3:uid="{70716DE6-EACF-4F00-9618-CB8D3E83703D}" name="Share Count " dataDxfId="18"/>
    <tableColumn id="5" xr3:uid="{9EFD7146-D09D-4A25-8A95-41219DD01300}" name="MC ($M)" dataDxfId="17">
      <calculatedColumnFormula>Table4[[#This Row],[Price]]*Table4[[#This Row],[Share Count ]]</calculatedColumnFormula>
    </tableColumn>
    <tableColumn id="6" xr3:uid="{4AE80DC9-D77A-4BB9-9257-B12D5FD56AD8}" name="Cash ($M)" dataDxfId="16">
      <calculatedColumnFormula>'[3]Main | Overview'!$C$8</calculatedColumnFormula>
    </tableColumn>
    <tableColumn id="7" xr3:uid="{6E413DC7-C096-40D4-880F-FE61A084FF48}" name="Debt ($M)" dataDxfId="15">
      <calculatedColumnFormula>'[3]Main | Overview'!$C$9</calculatedColumnFormula>
    </tableColumn>
    <tableColumn id="8" xr3:uid="{2C2A1268-8397-4EDA-9878-D9F98F133978}" name="EV ($M)" dataDxfId="14">
      <calculatedColumnFormula>Table4[[#This Row],[MC ($M)]]-Table4[[#This Row],[Cash ($M)]]+Table4[[#This Row],[Debt ($M)]]</calculatedColumnFormula>
    </tableColumn>
    <tableColumn id="14" xr3:uid="{E93BEDB1-F272-47C9-9E50-19D60ABCF6E3}" name="NPV" dataDxfId="13">
      <calculatedColumnFormula>[3]Model!$BU$59</calculatedColumnFormula>
    </tableColumn>
    <tableColumn id="13" xr3:uid="{4B18EB84-1D1D-418D-B73C-711F922F8784}" name="FV" dataDxfId="12">
      <calculatedColumnFormula>[3]Model!$BU$61</calculatedColumnFormula>
    </tableColumn>
    <tableColumn id="11" xr3:uid="{9D67D94D-652A-4AFC-B773-D060115B3352}" name="Upside" dataDxfId="11">
      <calculatedColumnFormula>Table4[[#This Row],[FV]]/Table4[[#This Row],[Price]]-1</calculatedColumnFormula>
    </tableColumn>
    <tableColumn id="22" xr3:uid="{F4BFF5D9-C51C-4082-890D-D8F99490DC48}" name="β (1-year avg.)" dataDxfId="10"/>
    <tableColumn id="15" xr3:uid="{178F2948-D587-4C47-A023-2863147393BA}" name="1σ ± move " dataDxfId="9"/>
    <tableColumn id="18" xr3:uid="{2F630596-10BE-4A80-96EF-2952518D329E}" name="FY Earnings Estimates" dataDxfId="8"/>
    <tableColumn id="20" xr3:uid="{17689932-3FD9-4050-AFEC-CC24D9A23B91}" name="FY Earnings Estimates (2-years)" dataDxfId="7"/>
    <tableColumn id="19" xr3:uid="{AB973925-A952-4E9C-B161-E64F1513E8ED}" name="Fwd. P/E" dataDxfId="6">
      <calculatedColumnFormula>Table4[[#This Row],[Price]]/Table4[[#This Row],[FY Earnings Estimates]]</calculatedColumnFormula>
    </tableColumn>
    <tableColumn id="17" xr3:uid="{831F5B75-DC7A-432A-B407-C2C048ABBCEF}" name="Fwd. P/E (2-years)" dataDxfId="5">
      <calculatedColumnFormula>Table4[[#This Row],[Price]]/Table4[[#This Row],[FY Earnings Estimates (2-years)]]</calculatedColumnFormula>
    </tableColumn>
    <tableColumn id="21" xr3:uid="{D887EC50-85A5-45A9-9F01-59353ED69EB2}" name="# of Employees" dataDxfId="4"/>
    <tableColumn id="9" xr3:uid="{E85E09CB-6FE0-423B-89F7-C9D5B949589A}" name="Updated " dataDxfId="3"/>
    <tableColumn id="2" xr3:uid="{BB2AE59D-C90C-4401-8D15-02753853694C}" name="GICS Sector" dataDxfId="2"/>
    <tableColumn id="10" xr3:uid="{A650D578-4FE4-4503-BF1B-C0AA4BD9444E}" name="GICS Sub-Industry" dataDxfId="1"/>
    <tableColumn id="16" xr3:uid="{F4FAD2E0-4820-4CBD-8A31-D295F24769E4}" name="Category 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00%20Model%20Price%20Targets%2000.xlsx" TargetMode="External"/><Relationship Id="rId13" Type="http://schemas.openxmlformats.org/officeDocument/2006/relationships/hyperlink" Target="ZBH_Model.xlsx" TargetMode="External"/><Relationship Id="rId18" Type="http://schemas.openxmlformats.org/officeDocument/2006/relationships/hyperlink" Target="COO_Model.xlsx" TargetMode="External"/><Relationship Id="rId3" Type="http://schemas.openxmlformats.org/officeDocument/2006/relationships/hyperlink" Target="JNJ_Model.xlsx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SYK_Model.xlsx" TargetMode="External"/><Relationship Id="rId12" Type="http://schemas.openxmlformats.org/officeDocument/2006/relationships/hyperlink" Target="CNMD_Model.xlsx" TargetMode="External"/><Relationship Id="rId17" Type="http://schemas.openxmlformats.org/officeDocument/2006/relationships/hyperlink" Target="PODD_Model.xlsx" TargetMode="External"/><Relationship Id="rId2" Type="http://schemas.openxmlformats.org/officeDocument/2006/relationships/hyperlink" Target="GMED_Model.xlsx" TargetMode="External"/><Relationship Id="rId16" Type="http://schemas.openxmlformats.org/officeDocument/2006/relationships/hyperlink" Target="BDX_Model.xlsx" TargetMode="External"/><Relationship Id="rId20" Type="http://schemas.openxmlformats.org/officeDocument/2006/relationships/hyperlink" Target="TMO_Model.xlsx" TargetMode="External"/><Relationship Id="rId1" Type="http://schemas.openxmlformats.org/officeDocument/2006/relationships/hyperlink" Target="BSX_Model.xlsx" TargetMode="External"/><Relationship Id="rId6" Type="http://schemas.openxmlformats.org/officeDocument/2006/relationships/hyperlink" Target="PEN_Model.xlsx" TargetMode="External"/><Relationship Id="rId11" Type="http://schemas.openxmlformats.org/officeDocument/2006/relationships/hyperlink" Target="LMAT_Model.xlsx" TargetMode="External"/><Relationship Id="rId5" Type="http://schemas.openxmlformats.org/officeDocument/2006/relationships/hyperlink" Target="NARI_Model.xlsx" TargetMode="External"/><Relationship Id="rId15" Type="http://schemas.openxmlformats.org/officeDocument/2006/relationships/hyperlink" Target="BAX_Model.xlsx" TargetMode="External"/><Relationship Id="rId10" Type="http://schemas.openxmlformats.org/officeDocument/2006/relationships/hyperlink" Target="EW_Model.xlsx" TargetMode="External"/><Relationship Id="rId19" Type="http://schemas.openxmlformats.org/officeDocument/2006/relationships/hyperlink" Target="IDXX_Model.xlsx" TargetMode="External"/><Relationship Id="rId4" Type="http://schemas.openxmlformats.org/officeDocument/2006/relationships/hyperlink" Target="MDT_Model.xlsx" TargetMode="External"/><Relationship Id="rId9" Type="http://schemas.openxmlformats.org/officeDocument/2006/relationships/hyperlink" Target="ABT_Model.xlsx" TargetMode="External"/><Relationship Id="rId14" Type="http://schemas.openxmlformats.org/officeDocument/2006/relationships/hyperlink" Target="STE_Model.xlsx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dtechdive.com/" TargetMode="External"/><Relationship Id="rId2" Type="http://schemas.openxmlformats.org/officeDocument/2006/relationships/hyperlink" Target="https://www.nejm.org/" TargetMode="External"/><Relationship Id="rId1" Type="http://schemas.openxmlformats.org/officeDocument/2006/relationships/hyperlink" Target="https://evtoday.com/" TargetMode="External"/><Relationship Id="rId6" Type="http://schemas.openxmlformats.org/officeDocument/2006/relationships/hyperlink" Target="https://www.medicaldevice-network.com/company-a-z/" TargetMode="External"/><Relationship Id="rId5" Type="http://schemas.openxmlformats.org/officeDocument/2006/relationships/hyperlink" Target="https://www.fda.gov/medical-devices" TargetMode="External"/><Relationship Id="rId4" Type="http://schemas.openxmlformats.org/officeDocument/2006/relationships/hyperlink" Target="https://pubmed.ncbi.nlm.nih.gov/3708487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2"/>
  <sheetViews>
    <sheetView tabSelected="1" zoomScale="85" zoomScaleNormal="85" workbookViewId="0">
      <selection activeCell="K31" sqref="K31"/>
    </sheetView>
  </sheetViews>
  <sheetFormatPr defaultColWidth="9" defaultRowHeight="15"/>
  <cols>
    <col min="1" max="1" width="3.140625" style="1" customWidth="1"/>
    <col min="2" max="2" width="7.5703125" style="1" customWidth="1"/>
    <col min="3" max="3" width="24" style="1" customWidth="1"/>
    <col min="4" max="4" width="9.42578125" style="1" customWidth="1"/>
    <col min="5" max="5" width="9.42578125" style="2" customWidth="1"/>
    <col min="6" max="8" width="12.7109375" style="2" customWidth="1"/>
    <col min="9" max="10" width="12.7109375" style="1" customWidth="1"/>
    <col min="11" max="12" width="10.42578125" style="1" customWidth="1"/>
    <col min="13" max="13" width="5.7109375" style="1" customWidth="1"/>
    <col min="14" max="14" width="9.140625" customWidth="1"/>
    <col min="15" max="19" width="9.140625" style="1" customWidth="1"/>
    <col min="20" max="20" width="9" style="1" customWidth="1"/>
    <col min="21" max="21" width="28.28515625" style="1" customWidth="1"/>
    <col min="22" max="22" width="28.42578125" style="1" bestFit="1" customWidth="1"/>
    <col min="23" max="23" width="3" style="1" customWidth="1"/>
    <col min="24" max="24" width="9.5703125" style="1" customWidth="1"/>
    <col min="25" max="16384" width="9" style="1"/>
  </cols>
  <sheetData>
    <row r="1" spans="1:32" ht="14.25">
      <c r="A1" s="11" t="s">
        <v>189</v>
      </c>
      <c r="B1" s="2"/>
      <c r="N1" s="1"/>
    </row>
    <row r="2" spans="1:32">
      <c r="B2" s="15" t="s">
        <v>1</v>
      </c>
      <c r="C2" s="15" t="s">
        <v>0</v>
      </c>
      <c r="D2" s="16" t="s">
        <v>2</v>
      </c>
      <c r="E2" s="15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5" t="s">
        <v>167</v>
      </c>
      <c r="K2" s="15" t="s">
        <v>168</v>
      </c>
      <c r="L2" s="15" t="s">
        <v>169</v>
      </c>
      <c r="M2" s="17" t="s">
        <v>197</v>
      </c>
      <c r="N2" s="15" t="s">
        <v>198</v>
      </c>
      <c r="O2" s="15" t="s">
        <v>188</v>
      </c>
      <c r="P2" s="15" t="s">
        <v>199</v>
      </c>
      <c r="Q2" s="15" t="s">
        <v>195</v>
      </c>
      <c r="R2" s="15" t="s">
        <v>196</v>
      </c>
      <c r="S2" s="15" t="s">
        <v>200</v>
      </c>
      <c r="T2" s="15" t="s">
        <v>8</v>
      </c>
      <c r="U2" s="15" t="s">
        <v>206</v>
      </c>
      <c r="V2" s="15" t="s">
        <v>207</v>
      </c>
      <c r="W2" s="15" t="s">
        <v>171</v>
      </c>
      <c r="AF2" s="1" t="s">
        <v>212</v>
      </c>
    </row>
    <row r="3" spans="1:32" ht="13.9" customHeight="1">
      <c r="B3" s="6" t="s">
        <v>58</v>
      </c>
      <c r="C3" s="1" t="s">
        <v>72</v>
      </c>
      <c r="D3" s="13">
        <v>154.18</v>
      </c>
      <c r="E3" s="3">
        <v>2406</v>
      </c>
      <c r="F3" s="4">
        <f>Table4[[#This Row],[Price]]*Table4[[#This Row],[Share Count ]]</f>
        <v>370957.08</v>
      </c>
      <c r="G3" s="4">
        <v>38781</v>
      </c>
      <c r="H3" s="4">
        <v>47900</v>
      </c>
      <c r="I3" s="4">
        <f>Table4[[#This Row],[MC ($M)]]-Table4[[#This Row],[Cash ($M)]]+Table4[[#This Row],[Debt ($M)]]</f>
        <v>380076.08</v>
      </c>
      <c r="J3" s="2"/>
      <c r="K3" s="2"/>
      <c r="L3" s="7"/>
      <c r="M3" s="1">
        <v>0.48</v>
      </c>
      <c r="N3" s="7"/>
      <c r="O3" s="12">
        <v>10.61</v>
      </c>
      <c r="P3" s="12">
        <v>11.1</v>
      </c>
      <c r="Q3" s="13">
        <f>Table4[[#This Row],[Price]]/Table4[[#This Row],[FY Earnings Estimates]]</f>
        <v>14.531573986804903</v>
      </c>
      <c r="R3" s="13">
        <f>Table4[[#This Row],[Price]]/Table4[[#This Row],[FY Earnings Estimates (2-years)]]</f>
        <v>13.890090090090091</v>
      </c>
      <c r="S3" s="18">
        <v>138100</v>
      </c>
      <c r="T3" s="10" t="s">
        <v>193</v>
      </c>
      <c r="U3" s="9" t="s">
        <v>213</v>
      </c>
      <c r="V3" s="1" t="s">
        <v>110</v>
      </c>
      <c r="W3" s="5" t="s">
        <v>194</v>
      </c>
      <c r="AF3" s="1" t="s">
        <v>211</v>
      </c>
    </row>
    <row r="4" spans="1:32" ht="13.9" customHeight="1">
      <c r="B4" s="6" t="s">
        <v>9</v>
      </c>
      <c r="C4" s="1" t="s">
        <v>69</v>
      </c>
      <c r="D4" s="13">
        <v>131.99</v>
      </c>
      <c r="E4" s="3">
        <v>1734</v>
      </c>
      <c r="F4" s="4">
        <f>Table4[[#This Row],[Price]]*Table4[[#This Row],[Share Count ]]</f>
        <v>228870.66</v>
      </c>
      <c r="G4" s="4">
        <v>7967</v>
      </c>
      <c r="H4" s="4">
        <v>14125</v>
      </c>
      <c r="I4" s="4">
        <f>Table4[[#This Row],[MC ($M)]]-Table4[[#This Row],[Cash ($M)]]+Table4[[#This Row],[Debt ($M)]]</f>
        <v>235028.66</v>
      </c>
      <c r="J4" s="2"/>
      <c r="K4" s="2"/>
      <c r="L4" s="7"/>
      <c r="M4" s="13">
        <v>0.8</v>
      </c>
      <c r="N4" s="7"/>
      <c r="O4" s="12">
        <v>5.16</v>
      </c>
      <c r="P4" s="12">
        <v>5.68</v>
      </c>
      <c r="Q4" s="13">
        <f>Table4[[#This Row],[Price]]/Table4[[#This Row],[FY Earnings Estimates]]</f>
        <v>25.579457364341085</v>
      </c>
      <c r="R4" s="13">
        <f>Table4[[#This Row],[Price]]/Table4[[#This Row],[FY Earnings Estimates (2-years)]]</f>
        <v>23.237676056338032</v>
      </c>
      <c r="S4" s="18">
        <v>114000</v>
      </c>
      <c r="T4" s="1" t="s">
        <v>170</v>
      </c>
      <c r="U4" s="1" t="s">
        <v>83</v>
      </c>
      <c r="V4" s="1" t="s">
        <v>84</v>
      </c>
      <c r="W4" s="5" t="s">
        <v>194</v>
      </c>
    </row>
    <row r="5" spans="1:32" ht="13.9" customHeight="1">
      <c r="B5" s="1" t="s">
        <v>10</v>
      </c>
      <c r="C5" s="1" t="s">
        <v>149</v>
      </c>
      <c r="D5" s="13">
        <v>559.41</v>
      </c>
      <c r="E5" s="3">
        <v>356.6</v>
      </c>
      <c r="F5" s="4">
        <f>Table4[[#This Row],[Price]]*Table4[[#This Row],[Share Count ]]</f>
        <v>199485.606</v>
      </c>
      <c r="G5" s="4"/>
      <c r="H5" s="4"/>
      <c r="I5" s="4">
        <f>Table4[[#This Row],[MC ($M)]]-Table4[[#This Row],[Cash ($M)]]+Table4[[#This Row],[Debt ($M)]]</f>
        <v>199485.606</v>
      </c>
      <c r="J5" s="2"/>
      <c r="K5" s="2"/>
      <c r="L5" s="7"/>
      <c r="N5" s="7"/>
      <c r="O5" s="12"/>
      <c r="P5" s="12"/>
      <c r="Q5" s="13" t="e">
        <f>Table4[[#This Row],[Price]]/Table4[[#This Row],[FY Earnings Estimates]]</f>
        <v>#DIV/0!</v>
      </c>
      <c r="R5" s="13" t="e">
        <f>Table4[[#This Row],[Price]]/Table4[[#This Row],[FY Earnings Estimates (2-years)]]</f>
        <v>#DIV/0!</v>
      </c>
      <c r="T5" s="10"/>
      <c r="U5" s="1" t="s">
        <v>85</v>
      </c>
      <c r="V5" s="1" t="s">
        <v>109</v>
      </c>
      <c r="W5" s="2"/>
    </row>
    <row r="6" spans="1:32" ht="13.9" customHeight="1">
      <c r="B6" s="6" t="s">
        <v>66</v>
      </c>
      <c r="C6" s="1" t="s">
        <v>175</v>
      </c>
      <c r="D6" s="13">
        <v>434.54</v>
      </c>
      <c r="E6" s="3">
        <v>380.8</v>
      </c>
      <c r="F6" s="4">
        <f>Table4[[#This Row],[Price]]*Table4[[#This Row],[Share Count ]]</f>
        <v>165472.83200000002</v>
      </c>
      <c r="G6" s="4">
        <v>5947</v>
      </c>
      <c r="H6" s="4">
        <v>34189</v>
      </c>
      <c r="I6" s="4">
        <f>Table4[[#This Row],[MC ($M)]]-Table4[[#This Row],[Cash ($M)]]+Table4[[#This Row],[Debt ($M)]]</f>
        <v>193714.83200000002</v>
      </c>
      <c r="J6" s="2"/>
      <c r="K6" s="2"/>
      <c r="L6" s="7"/>
      <c r="M6" s="1">
        <v>0.83</v>
      </c>
      <c r="N6" s="7"/>
      <c r="O6" s="12">
        <v>22.31</v>
      </c>
      <c r="P6" s="12">
        <v>24.69</v>
      </c>
      <c r="Q6" s="13">
        <f>Table4[[#This Row],[Price]]/Table4[[#This Row],[FY Earnings Estimates]]</f>
        <v>19.477364410578218</v>
      </c>
      <c r="R6" s="13">
        <f>Table4[[#This Row],[Price]]/Table4[[#This Row],[FY Earnings Estimates (2-years)]]</f>
        <v>17.599837991089508</v>
      </c>
      <c r="S6" s="18">
        <v>125000</v>
      </c>
      <c r="T6" s="10" t="s">
        <v>193</v>
      </c>
      <c r="U6" s="1" t="s">
        <v>81</v>
      </c>
      <c r="V6" s="9" t="s">
        <v>208</v>
      </c>
      <c r="W6" s="2"/>
    </row>
    <row r="7" spans="1:32" ht="13.9" customHeight="1">
      <c r="B7" s="6" t="s">
        <v>16</v>
      </c>
      <c r="C7" s="1" t="s">
        <v>134</v>
      </c>
      <c r="D7" s="13">
        <v>102.8</v>
      </c>
      <c r="E7" s="3">
        <v>1476</v>
      </c>
      <c r="F7" s="4">
        <f>Table4[[#This Row],[Price]]*Table4[[#This Row],[Share Count ]]</f>
        <v>151732.79999999999</v>
      </c>
      <c r="G7" s="4">
        <v>2502</v>
      </c>
      <c r="H7" s="4">
        <v>10885</v>
      </c>
      <c r="I7" s="4">
        <f>Table4[[#This Row],[MC ($M)]]-Table4[[#This Row],[Cash ($M)]]+Table4[[#This Row],[Debt ($M)]]</f>
        <v>160115.79999999999</v>
      </c>
      <c r="J7" s="4">
        <f>[1]Model!$CV$91</f>
        <v>157083.74609071898</v>
      </c>
      <c r="K7" s="2">
        <f>[1]Model!$CV$93</f>
        <v>106.44131169506456</v>
      </c>
      <c r="L7" s="7">
        <f>Table4[[#This Row],[FV]]/Table4[[#This Row],[Price]]-1</f>
        <v>3.5421319990900368E-2</v>
      </c>
      <c r="M7" s="13">
        <v>0.73</v>
      </c>
      <c r="N7" s="7">
        <v>1.38E-2</v>
      </c>
      <c r="O7" s="12">
        <v>3.44</v>
      </c>
      <c r="P7" s="12">
        <v>3.92</v>
      </c>
      <c r="Q7" s="13">
        <f>Table4[[#This Row],[Price]]/Table4[[#This Row],[FY Earnings Estimates]]</f>
        <v>29.883720930232556</v>
      </c>
      <c r="R7" s="13">
        <f>Table4[[#This Row],[Price]]/Table4[[#This Row],[FY Earnings Estimates (2-years)]]</f>
        <v>26.224489795918366</v>
      </c>
      <c r="S7" s="18">
        <v>53000</v>
      </c>
      <c r="T7" s="10" t="s">
        <v>193</v>
      </c>
      <c r="U7" s="1" t="s">
        <v>85</v>
      </c>
      <c r="V7" s="9" t="s">
        <v>214</v>
      </c>
      <c r="W7" s="5" t="s">
        <v>194</v>
      </c>
    </row>
    <row r="8" spans="1:32" ht="13.9" customHeight="1">
      <c r="B8" s="6" t="s">
        <v>11</v>
      </c>
      <c r="C8" s="1" t="s">
        <v>160</v>
      </c>
      <c r="D8" s="13">
        <v>387.09</v>
      </c>
      <c r="E8" s="3">
        <v>381.4</v>
      </c>
      <c r="F8" s="4">
        <f>Table4[[#This Row],[Price]]*Table4[[#This Row],[Share Count ]]</f>
        <v>147636.12599999999</v>
      </c>
      <c r="G8" s="4">
        <f>3850+834</f>
        <v>4684</v>
      </c>
      <c r="H8" s="4">
        <f>2159+13325</f>
        <v>15484</v>
      </c>
      <c r="I8" s="4">
        <f>Table4[[#This Row],[MC ($M)]]-Table4[[#This Row],[Cash ($M)]]+Table4[[#This Row],[Debt ($M)]]</f>
        <v>158436.12599999999</v>
      </c>
      <c r="J8" s="4">
        <f>[2]Model!$CZ$79</f>
        <v>144251.00357966521</v>
      </c>
      <c r="K8" s="2">
        <f>[2]Model!$CZ$81</f>
        <v>377.45837802531167</v>
      </c>
      <c r="L8" s="7">
        <f>Table4[[#This Row],[FV]]/Table4[[#This Row],[Price]]-1</f>
        <v>-2.488212553847502E-2</v>
      </c>
      <c r="M8" s="1">
        <v>0.94</v>
      </c>
      <c r="N8" s="7">
        <v>1.3299999999999999E-2</v>
      </c>
      <c r="O8" s="12">
        <v>13.44</v>
      </c>
      <c r="P8" s="12">
        <v>14.87</v>
      </c>
      <c r="Q8" s="13">
        <f>Table4[[#This Row],[Price]]/Table4[[#This Row],[FY Earnings Estimates]]</f>
        <v>28.801339285714285</v>
      </c>
      <c r="R8" s="13">
        <f>Table4[[#This Row],[Price]]/Table4[[#This Row],[FY Earnings Estimates (2-years)]]</f>
        <v>26.031607262945528</v>
      </c>
      <c r="S8" s="18">
        <v>53000</v>
      </c>
      <c r="T8" s="10" t="s">
        <v>193</v>
      </c>
      <c r="U8" s="1" t="s">
        <v>85</v>
      </c>
      <c r="V8" s="1" t="s">
        <v>125</v>
      </c>
      <c r="W8" s="5" t="s">
        <v>194</v>
      </c>
    </row>
    <row r="9" spans="1:32" ht="13.9" customHeight="1">
      <c r="B9" s="1" t="s">
        <v>49</v>
      </c>
      <c r="C9" s="1" t="s">
        <v>137</v>
      </c>
      <c r="D9" s="13">
        <v>201.01</v>
      </c>
      <c r="E9" s="3">
        <v>719.2</v>
      </c>
      <c r="F9" s="4">
        <f>Table4[[#This Row],[Price]]*Table4[[#This Row],[Share Count ]]</f>
        <v>144566.39199999999</v>
      </c>
      <c r="G9" s="4"/>
      <c r="H9" s="4"/>
      <c r="I9" s="4">
        <f>Table4[[#This Row],[MC ($M)]]-Table4[[#This Row],[Cash ($M)]]+Table4[[#This Row],[Debt ($M)]]</f>
        <v>144566.39199999999</v>
      </c>
      <c r="J9" s="2"/>
      <c r="K9" s="2"/>
      <c r="L9" s="7"/>
      <c r="N9" s="7"/>
      <c r="O9" s="12"/>
      <c r="P9" s="12"/>
      <c r="Q9" s="13" t="e">
        <f>Table4[[#This Row],[Price]]/Table4[[#This Row],[FY Earnings Estimates]]</f>
        <v>#DIV/0!</v>
      </c>
      <c r="R9" s="13" t="e">
        <f>Table4[[#This Row],[Price]]/Table4[[#This Row],[FY Earnings Estimates (2-years)]]</f>
        <v>#DIV/0!</v>
      </c>
      <c r="T9" s="10"/>
      <c r="U9" s="1" t="s">
        <v>81</v>
      </c>
      <c r="V9" s="1" t="s">
        <v>94</v>
      </c>
      <c r="W9" s="2"/>
    </row>
    <row r="10" spans="1:32" ht="13.9" customHeight="1">
      <c r="B10" s="6" t="s">
        <v>13</v>
      </c>
      <c r="C10" s="1" t="s">
        <v>12</v>
      </c>
      <c r="D10" s="13">
        <v>85</v>
      </c>
      <c r="E10" s="3">
        <v>1315</v>
      </c>
      <c r="F10" s="4">
        <f>Table4[[#This Row],[Price]]*Table4[[#This Row],[Share Count ]]</f>
        <v>111775</v>
      </c>
      <c r="G10" s="4">
        <f>1240+6682</f>
        <v>7922</v>
      </c>
      <c r="H10" s="4">
        <f>2622+23935</f>
        <v>26557</v>
      </c>
      <c r="I10" s="4">
        <f>Table4[[#This Row],[MC ($M)]]-Table4[[#This Row],[Cash ($M)]]+Table4[[#This Row],[Debt ($M)]]</f>
        <v>130410</v>
      </c>
      <c r="J10" s="4">
        <f>[5]Model!$BM$80</f>
        <v>99800.209268189748</v>
      </c>
      <c r="K10" s="2">
        <f>[5]Model!$BM$82</f>
        <v>77.814318325537428</v>
      </c>
      <c r="L10" s="7">
        <f>[5]Model!$BM$84</f>
        <v>-9.3706984328704501E-2</v>
      </c>
      <c r="M10" s="1">
        <v>0.83</v>
      </c>
      <c r="N10" s="7">
        <f>'[5]Notes | Quant Analysis'!$K$241</f>
        <v>1.1871030936368737E-2</v>
      </c>
      <c r="O10" s="12">
        <v>5.46</v>
      </c>
      <c r="P10" s="12">
        <v>5.82</v>
      </c>
      <c r="Q10" s="13">
        <f>Table4[[#This Row],[Price]]/Table4[[#This Row],[FY Earnings Estimates]]</f>
        <v>15.567765567765568</v>
      </c>
      <c r="R10" s="13">
        <f>Table4[[#This Row],[Price]]/Table4[[#This Row],[FY Earnings Estimates (2-years)]]</f>
        <v>14.604810996563574</v>
      </c>
      <c r="S10" s="18">
        <v>95000</v>
      </c>
      <c r="T10" s="10" t="s">
        <v>170</v>
      </c>
      <c r="U10" s="1" t="s">
        <v>85</v>
      </c>
      <c r="V10" s="1" t="s">
        <v>73</v>
      </c>
      <c r="W10" s="5" t="s">
        <v>194</v>
      </c>
    </row>
    <row r="11" spans="1:32" ht="13.9" customHeight="1">
      <c r="B11" s="6" t="s">
        <v>14</v>
      </c>
      <c r="C11" s="1" t="s">
        <v>133</v>
      </c>
      <c r="D11" s="13">
        <v>175.84</v>
      </c>
      <c r="E11" s="3">
        <v>289.10000000000002</v>
      </c>
      <c r="F11" s="4">
        <f>Table4[[#This Row],[Price]]*Table4[[#This Row],[Share Count ]]</f>
        <v>50835.344000000005</v>
      </c>
      <c r="G11" s="4">
        <v>763</v>
      </c>
      <c r="H11" s="4">
        <v>19270</v>
      </c>
      <c r="I11" s="4">
        <f>Table4[[#This Row],[MC ($M)]]-Table4[[#This Row],[Cash ($M)]]+Table4[[#This Row],[Debt ($M)]]</f>
        <v>69342.344000000012</v>
      </c>
      <c r="J11" s="2"/>
      <c r="K11" s="2"/>
      <c r="L11" s="7"/>
      <c r="M11" s="13">
        <v>0.34</v>
      </c>
      <c r="N11" s="7"/>
      <c r="O11" s="12">
        <v>14.23</v>
      </c>
      <c r="P11" s="12">
        <v>14.93</v>
      </c>
      <c r="Q11" s="13">
        <f>Table4[[#This Row],[Price]]/Table4[[#This Row],[FY Earnings Estimates]]</f>
        <v>12.356992269852425</v>
      </c>
      <c r="R11" s="13">
        <f>Table4[[#This Row],[Price]]/Table4[[#This Row],[FY Earnings Estimates (2-years)]]</f>
        <v>11.77762893503014</v>
      </c>
      <c r="S11" s="18">
        <v>70000</v>
      </c>
      <c r="T11" s="10" t="s">
        <v>193</v>
      </c>
      <c r="U11" s="1" t="s">
        <v>85</v>
      </c>
      <c r="V11" s="1" t="s">
        <v>90</v>
      </c>
      <c r="W11" s="2"/>
    </row>
    <row r="12" spans="1:32" ht="13.9" customHeight="1">
      <c r="B12" s="1" t="s">
        <v>50</v>
      </c>
      <c r="C12" s="1" t="s">
        <v>78</v>
      </c>
      <c r="D12" s="13">
        <v>95.49</v>
      </c>
      <c r="E12" s="3">
        <v>494.6</v>
      </c>
      <c r="F12" s="4">
        <f>Table4[[#This Row],[Price]]*Table4[[#This Row],[Share Count ]]</f>
        <v>47229.353999999999</v>
      </c>
      <c r="G12" s="4"/>
      <c r="H12" s="4"/>
      <c r="I12" s="4">
        <f>Table4[[#This Row],[MC ($M)]]-Table4[[#This Row],[Cash ($M)]]+Table4[[#This Row],[Debt ($M)]]</f>
        <v>47229.353999999999</v>
      </c>
      <c r="J12" s="2"/>
      <c r="K12" s="2"/>
      <c r="L12" s="7"/>
      <c r="N12" s="7"/>
      <c r="O12" s="12"/>
      <c r="P12" s="12"/>
      <c r="Q12" s="13" t="e">
        <f>Table4[[#This Row],[Price]]/Table4[[#This Row],[FY Earnings Estimates]]</f>
        <v>#DIV/0!</v>
      </c>
      <c r="R12" s="13" t="e">
        <f>Table4[[#This Row],[Price]]/Table4[[#This Row],[FY Earnings Estimates (2-years)]]</f>
        <v>#DIV/0!</v>
      </c>
      <c r="T12" s="10"/>
      <c r="U12" s="1" t="s">
        <v>85</v>
      </c>
      <c r="V12" s="1" t="s">
        <v>86</v>
      </c>
      <c r="W12" s="2"/>
    </row>
    <row r="13" spans="1:32" ht="13.9" customHeight="1">
      <c r="B13" s="6" t="s">
        <v>15</v>
      </c>
      <c r="C13" s="1" t="s">
        <v>142</v>
      </c>
      <c r="D13" s="13">
        <v>74.67</v>
      </c>
      <c r="E13" s="3">
        <v>588</v>
      </c>
      <c r="F13" s="4">
        <f>Table4[[#This Row],[Price]]*Table4[[#This Row],[Share Count ]]</f>
        <v>43905.96</v>
      </c>
      <c r="G13" s="4">
        <v>3976</v>
      </c>
      <c r="H13" s="4">
        <v>598</v>
      </c>
      <c r="I13" s="4">
        <f>Table4[[#This Row],[MC ($M)]]-Table4[[#This Row],[Cash ($M)]]+Table4[[#This Row],[Debt ($M)]]</f>
        <v>40527.96</v>
      </c>
      <c r="J13" s="2"/>
      <c r="K13" s="2"/>
      <c r="L13" s="7"/>
      <c r="M13" s="1">
        <v>1.1499999999999999</v>
      </c>
      <c r="N13" s="7"/>
      <c r="O13" s="12">
        <v>2.4700000000000002</v>
      </c>
      <c r="P13" s="12">
        <v>2.75</v>
      </c>
      <c r="Q13" s="13">
        <f>Table4[[#This Row],[Price]]/Table4[[#This Row],[FY Earnings Estimates]]</f>
        <v>30.23076923076923</v>
      </c>
      <c r="R13" s="13">
        <f>Table4[[#This Row],[Price]]/Table4[[#This Row],[FY Earnings Estimates (2-years)]]</f>
        <v>27.152727272727272</v>
      </c>
      <c r="S13" s="18">
        <v>15800</v>
      </c>
      <c r="T13" s="10" t="s">
        <v>170</v>
      </c>
      <c r="U13" s="1" t="s">
        <v>85</v>
      </c>
      <c r="V13" s="1" t="s">
        <v>98</v>
      </c>
      <c r="W13" s="5" t="s">
        <v>194</v>
      </c>
    </row>
    <row r="14" spans="1:32" ht="13.9" customHeight="1">
      <c r="B14" s="6" t="s">
        <v>21</v>
      </c>
      <c r="C14" s="1" t="s">
        <v>145</v>
      </c>
      <c r="D14" s="13">
        <v>506.02</v>
      </c>
      <c r="E14" s="3">
        <v>81.599999999999994</v>
      </c>
      <c r="F14" s="4">
        <f>Table4[[#This Row],[Price]]*Table4[[#This Row],[Share Count ]]</f>
        <v>41291.231999999996</v>
      </c>
      <c r="G14" s="4">
        <v>163.97</v>
      </c>
      <c r="H14" s="4">
        <v>620.73</v>
      </c>
      <c r="I14" s="4">
        <f>Table4[[#This Row],[MC ($M)]]-Table4[[#This Row],[Cash ($M)]]+Table4[[#This Row],[Debt ($M)]]</f>
        <v>41747.991999999998</v>
      </c>
      <c r="J14" s="2"/>
      <c r="K14" s="2"/>
      <c r="L14" s="7"/>
      <c r="M14" s="1">
        <v>1.52</v>
      </c>
      <c r="N14" s="7"/>
      <c r="O14" s="12">
        <v>12.13</v>
      </c>
      <c r="P14" s="12">
        <v>13.62</v>
      </c>
      <c r="Q14" s="13">
        <f>Table4[[#This Row],[Price]]/Table4[[#This Row],[FY Earnings Estimates]]</f>
        <v>41.716405605935691</v>
      </c>
      <c r="R14" s="13">
        <f>Table4[[#This Row],[Price]]/Table4[[#This Row],[FY Earnings Estimates (2-years)]]</f>
        <v>37.152716593245231</v>
      </c>
      <c r="S14" s="18">
        <v>70000</v>
      </c>
      <c r="T14" s="10" t="s">
        <v>193</v>
      </c>
      <c r="U14" s="1" t="s">
        <v>99</v>
      </c>
      <c r="V14" s="1" t="s">
        <v>106</v>
      </c>
      <c r="W14" s="2"/>
    </row>
    <row r="15" spans="1:32" ht="13.9" customHeight="1">
      <c r="B15" s="1" t="s">
        <v>18</v>
      </c>
      <c r="C15" s="1" t="s">
        <v>158</v>
      </c>
      <c r="D15" s="13">
        <v>247.66</v>
      </c>
      <c r="E15" s="3">
        <v>146.9</v>
      </c>
      <c r="F15" s="4">
        <f>Table4[[#This Row],[Price]]*Table4[[#This Row],[Share Count ]]</f>
        <v>36381.254000000001</v>
      </c>
      <c r="G15" s="4"/>
      <c r="H15" s="4"/>
      <c r="I15" s="4">
        <f>Table4[[#This Row],[MC ($M)]]-Table4[[#This Row],[Cash ($M)]]+Table4[[#This Row],[Debt ($M)]]</f>
        <v>36381.254000000001</v>
      </c>
      <c r="J15" s="2"/>
      <c r="K15" s="2"/>
      <c r="L15" s="7"/>
      <c r="N15" s="7"/>
      <c r="O15" s="12"/>
      <c r="P15" s="12"/>
      <c r="Q15" s="13" t="e">
        <f>Table4[[#This Row],[Price]]/Table4[[#This Row],[FY Earnings Estimates]]</f>
        <v>#DIV/0!</v>
      </c>
      <c r="R15" s="13" t="e">
        <f>Table4[[#This Row],[Price]]/Table4[[#This Row],[FY Earnings Estimates (2-years)]]</f>
        <v>#DIV/0!</v>
      </c>
      <c r="T15" s="10"/>
      <c r="U15" s="1" t="s">
        <v>85</v>
      </c>
      <c r="V15" s="1" t="s">
        <v>122</v>
      </c>
      <c r="W15" s="2"/>
    </row>
    <row r="16" spans="1:32" ht="13.9" customHeight="1">
      <c r="B16" s="1" t="s">
        <v>19</v>
      </c>
      <c r="C16" s="1" t="s">
        <v>172</v>
      </c>
      <c r="D16" s="13">
        <v>73.98</v>
      </c>
      <c r="E16" s="3">
        <v>457</v>
      </c>
      <c r="F16" s="4">
        <f>Table4[[#This Row],[Price]]*Table4[[#This Row],[Share Count ]]</f>
        <v>33808.86</v>
      </c>
      <c r="G16" s="4"/>
      <c r="H16" s="4"/>
      <c r="I16" s="4">
        <f>Table4[[#This Row],[MC ($M)]]-Table4[[#This Row],[Cash ($M)]]+Table4[[#This Row],[Debt ($M)]]</f>
        <v>33808.86</v>
      </c>
      <c r="J16" s="2"/>
      <c r="K16" s="2"/>
      <c r="L16" s="7"/>
      <c r="N16" s="7"/>
      <c r="O16" s="12"/>
      <c r="P16" s="12"/>
      <c r="Q16" s="13" t="e">
        <f>Table4[[#This Row],[Price]]/Table4[[#This Row],[FY Earnings Estimates]]</f>
        <v>#DIV/0!</v>
      </c>
      <c r="R16" s="13" t="e">
        <f>Table4[[#This Row],[Price]]/Table4[[#This Row],[FY Earnings Estimates (2-years)]]</f>
        <v>#DIV/0!</v>
      </c>
      <c r="T16" s="10"/>
      <c r="U16" s="1" t="s">
        <v>85</v>
      </c>
      <c r="V16" s="1" t="s">
        <v>101</v>
      </c>
      <c r="W16" s="2"/>
    </row>
    <row r="17" spans="2:23" ht="13.9" customHeight="1">
      <c r="B17" s="1" t="s">
        <v>22</v>
      </c>
      <c r="C17" s="1" t="s">
        <v>139</v>
      </c>
      <c r="D17" s="13">
        <v>84.53</v>
      </c>
      <c r="E17" s="3">
        <v>390.7</v>
      </c>
      <c r="F17" s="4">
        <f>Table4[[#This Row],[Price]]*Table4[[#This Row],[Share Count ]]</f>
        <v>33025.870999999999</v>
      </c>
      <c r="G17" s="4"/>
      <c r="H17" s="4"/>
      <c r="I17" s="4">
        <f>Table4[[#This Row],[MC ($M)]]-Table4[[#This Row],[Cash ($M)]]+Table4[[#This Row],[Debt ($M)]]</f>
        <v>33025.870999999999</v>
      </c>
      <c r="J17" s="2"/>
      <c r="K17" s="2"/>
      <c r="L17" s="7"/>
      <c r="N17" s="7"/>
      <c r="O17" s="12"/>
      <c r="P17" s="12"/>
      <c r="Q17" s="13" t="e">
        <f>Table4[[#This Row],[Price]]/Table4[[#This Row],[FY Earnings Estimates]]</f>
        <v>#DIV/0!</v>
      </c>
      <c r="R17" s="13" t="e">
        <f>Table4[[#This Row],[Price]]/Table4[[#This Row],[FY Earnings Estimates (2-years)]]</f>
        <v>#DIV/0!</v>
      </c>
      <c r="T17" s="10"/>
      <c r="U17" s="1" t="s">
        <v>85</v>
      </c>
      <c r="V17" s="1" t="s">
        <v>95</v>
      </c>
      <c r="W17" s="2"/>
    </row>
    <row r="18" spans="2:23" ht="13.9" customHeight="1">
      <c r="B18" s="1" t="s">
        <v>17</v>
      </c>
      <c r="C18" s="1" t="s">
        <v>77</v>
      </c>
      <c r="D18" s="13">
        <v>114.51</v>
      </c>
      <c r="E18" s="3">
        <v>285.2</v>
      </c>
      <c r="F18" s="4">
        <f>Table4[[#This Row],[Price]]*Table4[[#This Row],[Share Count ]]</f>
        <v>32658.252</v>
      </c>
      <c r="G18" s="4"/>
      <c r="H18" s="4"/>
      <c r="I18" s="4">
        <f>Table4[[#This Row],[MC ($M)]]-Table4[[#This Row],[Cash ($M)]]+Table4[[#This Row],[Debt ($M)]]</f>
        <v>32658.252</v>
      </c>
      <c r="J18" s="2"/>
      <c r="K18" s="2"/>
      <c r="L18" s="7"/>
      <c r="N18" s="7"/>
      <c r="O18" s="12"/>
      <c r="P18" s="12"/>
      <c r="Q18" s="13" t="e">
        <f>Table4[[#This Row],[Price]]/Table4[[#This Row],[FY Earnings Estimates]]</f>
        <v>#DIV/0!</v>
      </c>
      <c r="R18" s="13" t="e">
        <f>Table4[[#This Row],[Price]]/Table4[[#This Row],[FY Earnings Estimates (2-years)]]</f>
        <v>#DIV/0!</v>
      </c>
      <c r="T18" s="10"/>
      <c r="U18" s="1" t="s">
        <v>81</v>
      </c>
      <c r="V18" s="1" t="s">
        <v>82</v>
      </c>
      <c r="W18" s="2"/>
    </row>
    <row r="19" spans="2:23" ht="13.9" customHeight="1">
      <c r="B19" s="1" t="s">
        <v>56</v>
      </c>
      <c r="C19" s="1" t="s">
        <v>147</v>
      </c>
      <c r="D19" s="13">
        <v>159.56</v>
      </c>
      <c r="E19" s="3">
        <v>176.1</v>
      </c>
      <c r="F19" s="4">
        <f>Table4[[#This Row],[Price]]*Table4[[#This Row],[Share Count ]]</f>
        <v>28098.516</v>
      </c>
      <c r="G19" s="4"/>
      <c r="H19" s="4"/>
      <c r="I19" s="4">
        <f>Table4[[#This Row],[MC ($M)]]-Table4[[#This Row],[Cash ($M)]]+Table4[[#This Row],[Debt ($M)]]</f>
        <v>28098.516</v>
      </c>
      <c r="J19" s="2"/>
      <c r="K19" s="2"/>
      <c r="L19" s="7"/>
      <c r="N19" s="7"/>
      <c r="O19" s="12"/>
      <c r="P19" s="12"/>
      <c r="Q19" s="13" t="e">
        <f>Table4[[#This Row],[Price]]/Table4[[#This Row],[FY Earnings Estimates]]</f>
        <v>#DIV/0!</v>
      </c>
      <c r="R19" s="13" t="e">
        <f>Table4[[#This Row],[Price]]/Table4[[#This Row],[FY Earnings Estimates (2-years)]]</f>
        <v>#DIV/0!</v>
      </c>
      <c r="T19" s="10"/>
      <c r="U19" s="1" t="s">
        <v>104</v>
      </c>
      <c r="V19" s="1" t="s">
        <v>108</v>
      </c>
      <c r="W19" s="2"/>
    </row>
    <row r="20" spans="2:23" ht="13.9" customHeight="1">
      <c r="B20" s="1" t="s">
        <v>23</v>
      </c>
      <c r="C20" s="1" t="s">
        <v>153</v>
      </c>
      <c r="D20" s="13">
        <v>1167.3</v>
      </c>
      <c r="E20" s="3">
        <v>20.9</v>
      </c>
      <c r="F20" s="4">
        <f>Table4[[#This Row],[Price]]*Table4[[#This Row],[Share Count ]]</f>
        <v>24396.569999999996</v>
      </c>
      <c r="G20" s="4"/>
      <c r="H20" s="4"/>
      <c r="I20" s="4">
        <f>Table4[[#This Row],[MC ($M)]]-Table4[[#This Row],[Cash ($M)]]+Table4[[#This Row],[Debt ($M)]]</f>
        <v>24396.569999999996</v>
      </c>
      <c r="J20" s="2"/>
      <c r="K20" s="2"/>
      <c r="L20" s="7"/>
      <c r="N20" s="7"/>
      <c r="O20" s="12"/>
      <c r="P20" s="12"/>
      <c r="Q20" s="13" t="e">
        <f>Table4[[#This Row],[Price]]/Table4[[#This Row],[FY Earnings Estimates]]</f>
        <v>#DIV/0!</v>
      </c>
      <c r="R20" s="13" t="e">
        <f>Table4[[#This Row],[Price]]/Table4[[#This Row],[FY Earnings Estimates (2-years)]]</f>
        <v>#DIV/0!</v>
      </c>
      <c r="T20" s="10"/>
      <c r="U20" s="1" t="s">
        <v>81</v>
      </c>
      <c r="V20" s="1" t="s">
        <v>115</v>
      </c>
      <c r="W20" s="2"/>
    </row>
    <row r="21" spans="2:23" ht="13.9" customHeight="1">
      <c r="B21" s="1" t="s">
        <v>63</v>
      </c>
      <c r="C21" s="1" t="s">
        <v>74</v>
      </c>
      <c r="D21" s="13">
        <v>25.04</v>
      </c>
      <c r="E21" s="3">
        <v>925</v>
      </c>
      <c r="F21" s="4">
        <f>Table4[[#This Row],[Price]]*Table4[[#This Row],[Share Count ]]</f>
        <v>23162</v>
      </c>
      <c r="G21" s="4"/>
      <c r="H21" s="4"/>
      <c r="I21" s="4">
        <f>Table4[[#This Row],[MC ($M)]]-Table4[[#This Row],[Cash ($M)]]+Table4[[#This Row],[Debt ($M)]]</f>
        <v>23162</v>
      </c>
      <c r="J21" s="2"/>
      <c r="K21" s="2"/>
      <c r="L21" s="7"/>
      <c r="N21" s="7"/>
      <c r="O21" s="12"/>
      <c r="P21" s="12"/>
      <c r="Q21" s="13" t="e">
        <f>Table4[[#This Row],[Price]]/Table4[[#This Row],[FY Earnings Estimates]]</f>
        <v>#DIV/0!</v>
      </c>
      <c r="R21" s="13" t="e">
        <f>Table4[[#This Row],[Price]]/Table4[[#This Row],[FY Earnings Estimates (2-years)]]</f>
        <v>#DIV/0!</v>
      </c>
      <c r="T21" s="10"/>
      <c r="U21" s="1" t="s">
        <v>85</v>
      </c>
      <c r="V21" s="1" t="s">
        <v>119</v>
      </c>
      <c r="W21" s="5" t="s">
        <v>194</v>
      </c>
    </row>
    <row r="22" spans="2:23" ht="13.9" customHeight="1">
      <c r="B22" s="6" t="s">
        <v>27</v>
      </c>
      <c r="C22" s="1" t="s">
        <v>26</v>
      </c>
      <c r="D22" s="13">
        <v>233.6</v>
      </c>
      <c r="E22" s="3">
        <v>98.9</v>
      </c>
      <c r="F22" s="4">
        <f>Table4[[#This Row],[Price]]*Table4[[#This Row],[Share Count ]]</f>
        <v>23103.040000000001</v>
      </c>
      <c r="G22" s="4">
        <f>1937.9+172.2</f>
        <v>2110.1</v>
      </c>
      <c r="H22" s="4">
        <f>80+2156.2</f>
        <v>2236.1999999999998</v>
      </c>
      <c r="I22" s="4">
        <f>Table4[[#This Row],[MC ($M)]]-Table4[[#This Row],[Cash ($M)]]+Table4[[#This Row],[Debt ($M)]]</f>
        <v>23229.140000000003</v>
      </c>
      <c r="J22" s="2"/>
      <c r="K22" s="2"/>
      <c r="L22" s="7"/>
      <c r="M22" s="1">
        <v>0.96</v>
      </c>
      <c r="N22" s="7"/>
      <c r="O22" s="12">
        <v>9.1</v>
      </c>
      <c r="P22" s="12">
        <v>9.99</v>
      </c>
      <c r="Q22" s="13">
        <f>Table4[[#This Row],[Price]]/Table4[[#This Row],[FY Earnings Estimates]]</f>
        <v>25.670329670329672</v>
      </c>
      <c r="R22" s="13">
        <f>Table4[[#This Row],[Price]]/Table4[[#This Row],[FY Earnings Estimates (2-years)]]</f>
        <v>23.383383383383382</v>
      </c>
      <c r="S22" s="18">
        <v>18000</v>
      </c>
      <c r="T22" s="10" t="s">
        <v>193</v>
      </c>
      <c r="U22" s="1" t="s">
        <v>104</v>
      </c>
      <c r="V22" s="1" t="s">
        <v>123</v>
      </c>
      <c r="W22" s="2"/>
    </row>
    <row r="23" spans="2:23" ht="13.9" customHeight="1">
      <c r="B23" s="6" t="s">
        <v>34</v>
      </c>
      <c r="C23" s="1" t="s">
        <v>33</v>
      </c>
      <c r="D23" s="13">
        <v>315.51</v>
      </c>
      <c r="E23" s="3">
        <v>70.2</v>
      </c>
      <c r="F23" s="4">
        <f>Table4[[#This Row],[Price]]*Table4[[#This Row],[Share Count ]]</f>
        <v>22148.802</v>
      </c>
      <c r="G23" s="4">
        <v>953.4</v>
      </c>
      <c r="H23" s="4">
        <v>1379.9</v>
      </c>
      <c r="I23" s="4">
        <f>Table4[[#This Row],[MC ($M)]]-Table4[[#This Row],[Cash ($M)]]+Table4[[#This Row],[Debt ($M)]]</f>
        <v>22575.302</v>
      </c>
      <c r="J23" s="2"/>
      <c r="K23" s="2"/>
      <c r="L23" s="7"/>
      <c r="M23" s="1">
        <v>1.27</v>
      </c>
      <c r="N23" s="7"/>
      <c r="O23" s="12">
        <v>4.21</v>
      </c>
      <c r="P23" s="12">
        <v>5.23</v>
      </c>
      <c r="Q23" s="13">
        <f>Table4[[#This Row],[Price]]/Table4[[#This Row],[FY Earnings Estimates]]</f>
        <v>74.942992874109265</v>
      </c>
      <c r="R23" s="13">
        <f>Table4[[#This Row],[Price]]/Table4[[#This Row],[FY Earnings Estimates (2-years)]]</f>
        <v>60.326959847036321</v>
      </c>
      <c r="S23" s="18">
        <v>3900</v>
      </c>
      <c r="T23" s="10" t="s">
        <v>170</v>
      </c>
      <c r="U23" s="1" t="s">
        <v>85</v>
      </c>
      <c r="V23" s="1" t="s">
        <v>120</v>
      </c>
      <c r="W23" s="2"/>
    </row>
    <row r="24" spans="2:23" ht="13.9" customHeight="1">
      <c r="B24" s="6" t="s">
        <v>25</v>
      </c>
      <c r="C24" s="1" t="s">
        <v>174</v>
      </c>
      <c r="D24" s="13">
        <v>97.89</v>
      </c>
      <c r="E24" s="3">
        <v>199.1</v>
      </c>
      <c r="F24" s="4">
        <f>Table4[[#This Row],[Price]]*Table4[[#This Row],[Share Count ]]</f>
        <v>19489.899000000001</v>
      </c>
      <c r="G24" s="4">
        <v>1384.5</v>
      </c>
      <c r="H24" s="4">
        <f>600+6576.3</f>
        <v>7176.3</v>
      </c>
      <c r="I24" s="4">
        <f>Table4[[#This Row],[MC ($M)]]-Table4[[#This Row],[Cash ($M)]]+Table4[[#This Row],[Debt ($M)]]</f>
        <v>25281.699000000001</v>
      </c>
      <c r="J24" s="2"/>
      <c r="K24" s="2"/>
      <c r="L24" s="7"/>
      <c r="M24" s="1">
        <v>0.78</v>
      </c>
      <c r="N24" s="7"/>
      <c r="O24" s="12">
        <v>8.09</v>
      </c>
      <c r="P24" s="12">
        <v>8.56</v>
      </c>
      <c r="Q24" s="13">
        <f>Table4[[#This Row],[Price]]/Table4[[#This Row],[FY Earnings Estimates]]</f>
        <v>12.100123609394315</v>
      </c>
      <c r="R24" s="13">
        <f>Table4[[#This Row],[Price]]/Table4[[#This Row],[FY Earnings Estimates (2-years)]]</f>
        <v>11.435747663551401</v>
      </c>
      <c r="S24" s="18">
        <v>17000</v>
      </c>
      <c r="T24" s="10" t="s">
        <v>170</v>
      </c>
      <c r="U24" s="1" t="s">
        <v>85</v>
      </c>
      <c r="V24" s="1" t="s">
        <v>130</v>
      </c>
      <c r="W24" s="2"/>
    </row>
    <row r="25" spans="2:23" ht="13.9" customHeight="1">
      <c r="B25" s="6" t="s">
        <v>35</v>
      </c>
      <c r="C25" s="1" t="s">
        <v>138</v>
      </c>
      <c r="D25" s="13">
        <v>83.8</v>
      </c>
      <c r="E25" s="3">
        <v>199.6</v>
      </c>
      <c r="F25" s="4">
        <f>Table4[[#This Row],[Price]]*Table4[[#This Row],[Share Count ]]</f>
        <v>16726.48</v>
      </c>
      <c r="G25" s="4">
        <v>100.9</v>
      </c>
      <c r="H25" s="4">
        <v>2539.9</v>
      </c>
      <c r="I25" s="4">
        <f>Table4[[#This Row],[MC ($M)]]-Table4[[#This Row],[Cash ($M)]]+Table4[[#This Row],[Debt ($M)]]</f>
        <v>19165.48</v>
      </c>
      <c r="J25" s="2"/>
      <c r="K25" s="2"/>
      <c r="L25" s="7"/>
      <c r="M25" s="1">
        <v>1.08</v>
      </c>
      <c r="N25" s="7"/>
      <c r="O25" s="12">
        <v>3.99</v>
      </c>
      <c r="P25" s="12">
        <v>4.43</v>
      </c>
      <c r="Q25" s="13">
        <f>Table4[[#This Row],[Price]]/Table4[[#This Row],[FY Earnings Estimates]]</f>
        <v>21.002506265664159</v>
      </c>
      <c r="R25" s="13">
        <f>Table4[[#This Row],[Price]]/Table4[[#This Row],[FY Earnings Estimates (2-years)]]</f>
        <v>18.916478555304742</v>
      </c>
      <c r="S25" s="18">
        <v>16000</v>
      </c>
      <c r="T25" s="10" t="s">
        <v>193</v>
      </c>
      <c r="U25" s="1" t="s">
        <v>85</v>
      </c>
      <c r="V25" s="1" t="s">
        <v>93</v>
      </c>
      <c r="W25" s="2"/>
    </row>
    <row r="26" spans="2:23" ht="13.9" customHeight="1">
      <c r="B26" s="6" t="s">
        <v>202</v>
      </c>
      <c r="C26" s="1" t="s">
        <v>201</v>
      </c>
      <c r="D26" s="13">
        <v>31.37</v>
      </c>
      <c r="E26" s="3">
        <v>510.9</v>
      </c>
      <c r="F26" s="4">
        <f>Table4[[#This Row],[Price]]*Table4[[#This Row],[Share Count ]]</f>
        <v>16026.932999999999</v>
      </c>
      <c r="G26" s="4">
        <f>1679</f>
        <v>1679</v>
      </c>
      <c r="H26" s="4">
        <f>2126+626+10374</f>
        <v>13126</v>
      </c>
      <c r="I26" s="4">
        <f>Table4[[#This Row],[MC ($M)]]-Table4[[#This Row],[Cash ($M)]]+Table4[[#This Row],[Debt ($M)]]</f>
        <v>27473.932999999997</v>
      </c>
      <c r="J26" s="2"/>
      <c r="K26" s="2"/>
      <c r="L26" s="7"/>
      <c r="M26" s="13">
        <v>0.63</v>
      </c>
      <c r="N26" s="7"/>
      <c r="O26" s="12">
        <v>2.5099999999999998</v>
      </c>
      <c r="P26" s="12">
        <v>2.72</v>
      </c>
      <c r="Q26" s="13">
        <f>Table4[[#This Row],[Price]]/Table4[[#This Row],[FY Earnings Estimates]]</f>
        <v>12.498007968127492</v>
      </c>
      <c r="R26" s="13">
        <f>Table4[[#This Row],[Price]]/Table4[[#This Row],[FY Earnings Estimates (2-years)]]</f>
        <v>11.533088235294118</v>
      </c>
      <c r="S26" s="18">
        <v>38000</v>
      </c>
      <c r="T26" s="10" t="s">
        <v>193</v>
      </c>
      <c r="U26" s="1" t="s">
        <v>81</v>
      </c>
      <c r="V26" s="1" t="s">
        <v>84</v>
      </c>
      <c r="W26" s="2"/>
    </row>
    <row r="27" spans="2:23" ht="13.9" customHeight="1">
      <c r="B27" s="1" t="s">
        <v>24</v>
      </c>
      <c r="C27" s="1" t="s">
        <v>173</v>
      </c>
      <c r="D27" s="13">
        <v>217.96</v>
      </c>
      <c r="E27" s="3">
        <v>72.3</v>
      </c>
      <c r="F27" s="4">
        <f>Table4[[#This Row],[Price]]*Table4[[#This Row],[Share Count ]]</f>
        <v>15758.508</v>
      </c>
      <c r="G27" s="4"/>
      <c r="H27" s="4"/>
      <c r="I27" s="4">
        <f>Table4[[#This Row],[MC ($M)]]-Table4[[#This Row],[Cash ($M)]]+Table4[[#This Row],[Debt ($M)]]</f>
        <v>15758.508</v>
      </c>
      <c r="J27" s="2"/>
      <c r="K27" s="2"/>
      <c r="L27" s="7"/>
      <c r="N27" s="7"/>
      <c r="O27" s="12"/>
      <c r="P27" s="12"/>
      <c r="Q27" s="13" t="e">
        <f>Table4[[#This Row],[Price]]/Table4[[#This Row],[FY Earnings Estimates]]</f>
        <v>#DIV/0!</v>
      </c>
      <c r="R27" s="13" t="e">
        <f>Table4[[#This Row],[Price]]/Table4[[#This Row],[FY Earnings Estimates (2-years)]]</f>
        <v>#DIV/0!</v>
      </c>
      <c r="T27" s="10"/>
      <c r="U27" s="1" t="s">
        <v>128</v>
      </c>
      <c r="V27" s="1" t="s">
        <v>129</v>
      </c>
      <c r="W27" s="2"/>
    </row>
    <row r="28" spans="2:23" ht="13.9" customHeight="1">
      <c r="B28" s="1" t="s">
        <v>20</v>
      </c>
      <c r="C28" s="1" t="s">
        <v>79</v>
      </c>
      <c r="D28" s="13">
        <v>190.44</v>
      </c>
      <c r="E28" s="3">
        <v>73.8</v>
      </c>
      <c r="F28" s="4">
        <f>Table4[[#This Row],[Price]]*Table4[[#This Row],[Share Count ]]</f>
        <v>14054.472</v>
      </c>
      <c r="G28" s="4"/>
      <c r="H28" s="4"/>
      <c r="I28" s="4">
        <f>Table4[[#This Row],[MC ($M)]]-Table4[[#This Row],[Cash ($M)]]+Table4[[#This Row],[Debt ($M)]]</f>
        <v>14054.472</v>
      </c>
      <c r="J28" s="2"/>
      <c r="K28" s="2"/>
      <c r="L28" s="7"/>
      <c r="N28" s="7"/>
      <c r="O28" s="12"/>
      <c r="P28" s="12"/>
      <c r="Q28" s="13" t="e">
        <f>Table4[[#This Row],[Price]]/Table4[[#This Row],[FY Earnings Estimates]]</f>
        <v>#DIV/0!</v>
      </c>
      <c r="R28" s="13" t="e">
        <f>Table4[[#This Row],[Price]]/Table4[[#This Row],[FY Earnings Estimates (2-years)]]</f>
        <v>#DIV/0!</v>
      </c>
      <c r="T28" s="10"/>
      <c r="U28" s="1" t="s">
        <v>85</v>
      </c>
      <c r="V28" s="1" t="s">
        <v>70</v>
      </c>
      <c r="W28" s="2"/>
    </row>
    <row r="29" spans="2:23" ht="13.9" customHeight="1">
      <c r="B29" s="1" t="s">
        <v>32</v>
      </c>
      <c r="C29" s="1" t="s">
        <v>31</v>
      </c>
      <c r="D29" s="13">
        <v>58.86</v>
      </c>
      <c r="E29" s="3">
        <v>231.7</v>
      </c>
      <c r="F29" s="4">
        <f>Table4[[#This Row],[Price]]*Table4[[#This Row],[Share Count ]]</f>
        <v>13637.861999999999</v>
      </c>
      <c r="G29" s="4"/>
      <c r="H29" s="4"/>
      <c r="I29" s="4">
        <f>Table4[[#This Row],[MC ($M)]]-Table4[[#This Row],[Cash ($M)]]+Table4[[#This Row],[Debt ($M)]]</f>
        <v>13637.861999999999</v>
      </c>
      <c r="J29" s="2"/>
      <c r="K29" s="2"/>
      <c r="L29" s="7"/>
      <c r="N29" s="7"/>
      <c r="O29" s="12"/>
      <c r="P29" s="12"/>
      <c r="Q29" s="13" t="e">
        <f>Table4[[#This Row],[Price]]/Table4[[#This Row],[FY Earnings Estimates]]</f>
        <v>#DIV/0!</v>
      </c>
      <c r="R29" s="13" t="e">
        <f>Table4[[#This Row],[Price]]/Table4[[#This Row],[FY Earnings Estimates (2-years)]]</f>
        <v>#DIV/0!</v>
      </c>
      <c r="T29" s="10"/>
      <c r="U29" s="1" t="s">
        <v>99</v>
      </c>
      <c r="V29" s="1" t="s">
        <v>103</v>
      </c>
      <c r="W29" s="2"/>
    </row>
    <row r="30" spans="2:23" ht="13.9" customHeight="1">
      <c r="B30" s="1" t="s">
        <v>204</v>
      </c>
      <c r="C30" s="1" t="s">
        <v>203</v>
      </c>
      <c r="D30" s="13">
        <v>75</v>
      </c>
      <c r="E30" s="3">
        <v>172.8</v>
      </c>
      <c r="F30" s="4">
        <f>Table4[[#This Row],[Price]]*Table4[[#This Row],[Share Count ]]</f>
        <v>12960</v>
      </c>
      <c r="G30" s="4">
        <v>762</v>
      </c>
      <c r="H30" s="4">
        <f>200+7810</f>
        <v>8010</v>
      </c>
      <c r="I30" s="4">
        <f>Table4[[#This Row],[MC ($M)]]-Table4[[#This Row],[Cash ($M)]]+Table4[[#This Row],[Debt ($M)]]</f>
        <v>20208</v>
      </c>
      <c r="J30" s="2"/>
      <c r="K30" s="2"/>
      <c r="L30" s="7"/>
      <c r="M30" s="1">
        <v>0.79</v>
      </c>
      <c r="N30" s="7"/>
      <c r="O30" s="12">
        <v>5.54</v>
      </c>
      <c r="P30" s="12">
        <v>6.02</v>
      </c>
      <c r="Q30" s="13">
        <f>Table4[[#This Row],[Price]]/Table4[[#This Row],[FY Earnings Estimates]]</f>
        <v>13.537906137184116</v>
      </c>
      <c r="R30" s="13">
        <f>Table4[[#This Row],[Price]]/Table4[[#This Row],[FY Earnings Estimates (2-years)]]</f>
        <v>12.458471760797343</v>
      </c>
      <c r="S30" s="18">
        <v>22000</v>
      </c>
      <c r="T30" s="10" t="s">
        <v>170</v>
      </c>
      <c r="U30" s="1" t="s">
        <v>76</v>
      </c>
      <c r="V30" s="1" t="s">
        <v>85</v>
      </c>
      <c r="W30" s="14" t="s">
        <v>205</v>
      </c>
    </row>
    <row r="31" spans="2:23" ht="13.9" customHeight="1">
      <c r="B31" s="6" t="s">
        <v>62</v>
      </c>
      <c r="C31" s="1" t="s">
        <v>157</v>
      </c>
      <c r="D31" s="13">
        <v>297.55</v>
      </c>
      <c r="E31" s="3">
        <v>38.6</v>
      </c>
      <c r="F31" s="4">
        <f>Table4[[#This Row],[Price]]*Table4[[#This Row],[Share Count ]]</f>
        <v>11485.43</v>
      </c>
      <c r="G31" s="4">
        <v>379</v>
      </c>
      <c r="H31" s="4">
        <f>'[3]Main | Overview'!$C$9</f>
        <v>0</v>
      </c>
      <c r="I31" s="4">
        <f>Table4[[#This Row],[MC ($M)]]-Table4[[#This Row],[Cash ($M)]]+Table4[[#This Row],[Debt ($M)]]</f>
        <v>11106.43</v>
      </c>
      <c r="J31" s="2">
        <f>[3]Model!$BU$59</f>
        <v>11386.549358367949</v>
      </c>
      <c r="K31" s="2">
        <f>[3]Model!$BU$61</f>
        <v>294.98832534631993</v>
      </c>
      <c r="L31" s="7">
        <f>Table4[[#This Row],[FV]]/Table4[[#This Row],[Price]]-1</f>
        <v>-8.6092241763739974E-3</v>
      </c>
      <c r="M31" s="1">
        <v>0.53</v>
      </c>
      <c r="N31" s="7">
        <v>2.4899999999999999E-2</v>
      </c>
      <c r="O31" s="12">
        <v>3.8</v>
      </c>
      <c r="P31" s="12">
        <v>5.2</v>
      </c>
      <c r="Q31" s="13">
        <f>Table4[[#This Row],[Price]]/Table4[[#This Row],[FY Earnings Estimates]]</f>
        <v>78.30263157894737</v>
      </c>
      <c r="R31" s="13">
        <f>Table4[[#This Row],[Price]]/Table4[[#This Row],[FY Earnings Estimates (2-years)]]</f>
        <v>57.221153846153847</v>
      </c>
      <c r="S31" s="18">
        <v>4500</v>
      </c>
      <c r="T31" s="10" t="s">
        <v>193</v>
      </c>
      <c r="U31" s="1" t="s">
        <v>85</v>
      </c>
      <c r="V31" s="1" t="s">
        <v>190</v>
      </c>
      <c r="W31" s="2"/>
    </row>
    <row r="32" spans="2:23" ht="13.9" customHeight="1">
      <c r="B32" s="1" t="s">
        <v>36</v>
      </c>
      <c r="C32" s="1" t="s">
        <v>143</v>
      </c>
      <c r="D32" s="13">
        <v>53.5</v>
      </c>
      <c r="E32" s="3">
        <v>185.6</v>
      </c>
      <c r="F32" s="4">
        <f>Table4[[#This Row],[Price]]*Table4[[#This Row],[Share Count ]]</f>
        <v>9929.6</v>
      </c>
      <c r="G32" s="4"/>
      <c r="H32" s="4"/>
      <c r="I32" s="4">
        <f>Table4[[#This Row],[MC ($M)]]-Table4[[#This Row],[Cash ($M)]]+Table4[[#This Row],[Debt ($M)]]</f>
        <v>9929.6</v>
      </c>
      <c r="J32" s="2"/>
      <c r="K32" s="2"/>
      <c r="L32" s="7"/>
      <c r="N32" s="7"/>
      <c r="O32" s="12"/>
      <c r="P32" s="12"/>
      <c r="Q32" s="13" t="e">
        <f>Table4[[#This Row],[Price]]/Table4[[#This Row],[FY Earnings Estimates]]</f>
        <v>#DIV/0!</v>
      </c>
      <c r="R32" s="13" t="e">
        <f>Table4[[#This Row],[Price]]/Table4[[#This Row],[FY Earnings Estimates (2-years)]]</f>
        <v>#DIV/0!</v>
      </c>
      <c r="T32" s="10"/>
      <c r="U32" s="1" t="s">
        <v>99</v>
      </c>
      <c r="V32" s="1" t="s">
        <v>100</v>
      </c>
    </row>
    <row r="33" spans="2:23" ht="13.9" customHeight="1">
      <c r="B33" s="1" t="s">
        <v>38</v>
      </c>
      <c r="C33" s="1" t="s">
        <v>37</v>
      </c>
      <c r="D33" s="13">
        <v>43.2</v>
      </c>
      <c r="E33" s="3">
        <v>216.1</v>
      </c>
      <c r="F33" s="4">
        <f>Table4[[#This Row],[Price]]*Table4[[#This Row],[Share Count ]]</f>
        <v>9335.52</v>
      </c>
      <c r="G33" s="4"/>
      <c r="H33" s="4"/>
      <c r="I33" s="4">
        <f>Table4[[#This Row],[MC ($M)]]-Table4[[#This Row],[Cash ($M)]]+Table4[[#This Row],[Debt ($M)]]</f>
        <v>9335.52</v>
      </c>
      <c r="J33" s="2"/>
      <c r="K33" s="2"/>
      <c r="L33" s="7"/>
      <c r="N33" s="7"/>
      <c r="O33" s="12"/>
      <c r="P33" s="12"/>
      <c r="Q33" s="13" t="e">
        <f>Table4[[#This Row],[Price]]/Table4[[#This Row],[FY Earnings Estimates]]</f>
        <v>#DIV/0!</v>
      </c>
      <c r="R33" s="13" t="e">
        <f>Table4[[#This Row],[Price]]/Table4[[#This Row],[FY Earnings Estimates (2-years)]]</f>
        <v>#DIV/0!</v>
      </c>
      <c r="T33" s="10"/>
      <c r="U33" s="1" t="s">
        <v>99</v>
      </c>
      <c r="V33" s="1" t="s">
        <v>121</v>
      </c>
      <c r="W33" s="2"/>
    </row>
    <row r="34" spans="2:23" ht="13.9" customHeight="1">
      <c r="B34" s="1" t="s">
        <v>29</v>
      </c>
      <c r="C34" s="1" t="s">
        <v>28</v>
      </c>
      <c r="D34" s="13">
        <v>13.1</v>
      </c>
      <c r="E34" s="3">
        <v>680.8</v>
      </c>
      <c r="F34" s="4">
        <f>Table4[[#This Row],[Price]]*Table4[[#This Row],[Share Count ]]</f>
        <v>8918.48</v>
      </c>
      <c r="G34" s="4"/>
      <c r="H34" s="4"/>
      <c r="I34" s="4">
        <f>Table4[[#This Row],[MC ($M)]]-Table4[[#This Row],[Cash ($M)]]+Table4[[#This Row],[Debt ($M)]]</f>
        <v>8918.48</v>
      </c>
      <c r="J34" s="2"/>
      <c r="K34" s="2"/>
      <c r="L34" s="7"/>
      <c r="N34" s="7"/>
      <c r="O34" s="12"/>
      <c r="P34" s="12"/>
      <c r="Q34" s="13" t="e">
        <f>Table4[[#This Row],[Price]]/Table4[[#This Row],[FY Earnings Estimates]]</f>
        <v>#DIV/0!</v>
      </c>
      <c r="R34" s="13" t="e">
        <f>Table4[[#This Row],[Price]]/Table4[[#This Row],[FY Earnings Estimates (2-years)]]</f>
        <v>#DIV/0!</v>
      </c>
      <c r="T34" s="10"/>
      <c r="U34" s="1" t="s">
        <v>81</v>
      </c>
      <c r="V34" s="1" t="s">
        <v>89</v>
      </c>
      <c r="W34" s="2"/>
    </row>
    <row r="35" spans="2:23" ht="13.9" customHeight="1">
      <c r="B35" s="1" t="s">
        <v>43</v>
      </c>
      <c r="C35" s="1" t="s">
        <v>151</v>
      </c>
      <c r="D35" s="13">
        <v>163.38999999999999</v>
      </c>
      <c r="E35" s="3">
        <v>53.6</v>
      </c>
      <c r="F35" s="4">
        <f>Table4[[#This Row],[Price]]*Table4[[#This Row],[Share Count ]]</f>
        <v>8757.7039999999997</v>
      </c>
      <c r="G35" s="4"/>
      <c r="H35" s="4"/>
      <c r="I35" s="4">
        <f>Table4[[#This Row],[MC ($M)]]-Table4[[#This Row],[Cash ($M)]]+Table4[[#This Row],[Debt ($M)]]</f>
        <v>8757.7039999999997</v>
      </c>
      <c r="J35" s="2"/>
      <c r="K35" s="2"/>
      <c r="L35" s="7"/>
      <c r="N35" s="7"/>
      <c r="O35" s="12"/>
      <c r="P35" s="12"/>
      <c r="Q35" s="13" t="e">
        <f>Table4[[#This Row],[Price]]/Table4[[#This Row],[FY Earnings Estimates]]</f>
        <v>#DIV/0!</v>
      </c>
      <c r="R35" s="13" t="e">
        <f>Table4[[#This Row],[Price]]/Table4[[#This Row],[FY Earnings Estimates (2-years)]]</f>
        <v>#DIV/0!</v>
      </c>
      <c r="T35" s="10"/>
      <c r="U35" s="1" t="s">
        <v>85</v>
      </c>
      <c r="V35" s="1" t="s">
        <v>112</v>
      </c>
      <c r="W35" s="2"/>
    </row>
    <row r="36" spans="2:23" ht="13.9" customHeight="1">
      <c r="B36" s="1" t="s">
        <v>40</v>
      </c>
      <c r="C36" s="1" t="s">
        <v>39</v>
      </c>
      <c r="D36" s="13">
        <v>69.12</v>
      </c>
      <c r="E36" s="3">
        <v>124.2</v>
      </c>
      <c r="F36" s="4">
        <f>Table4[[#This Row],[Price]]*Table4[[#This Row],[Share Count ]]</f>
        <v>8584.7040000000015</v>
      </c>
      <c r="G36" s="4"/>
      <c r="H36" s="4"/>
      <c r="I36" s="4">
        <f>Table4[[#This Row],[MC ($M)]]-Table4[[#This Row],[Cash ($M)]]+Table4[[#This Row],[Debt ($M)]]</f>
        <v>8584.7040000000015</v>
      </c>
      <c r="J36" s="2"/>
      <c r="K36" s="2"/>
      <c r="L36" s="7"/>
      <c r="N36" s="7"/>
      <c r="O36" s="12"/>
      <c r="P36" s="12"/>
      <c r="Q36" s="13" t="e">
        <f>Table4[[#This Row],[Price]]/Table4[[#This Row],[FY Earnings Estimates]]</f>
        <v>#DIV/0!</v>
      </c>
      <c r="R36" s="13" t="e">
        <f>Table4[[#This Row],[Price]]/Table4[[#This Row],[FY Earnings Estimates (2-years)]]</f>
        <v>#DIV/0!</v>
      </c>
      <c r="T36" s="10"/>
      <c r="U36" s="1" t="s">
        <v>104</v>
      </c>
      <c r="V36" s="1" t="s">
        <v>105</v>
      </c>
      <c r="W36" s="2"/>
    </row>
    <row r="37" spans="2:23" ht="13.9" customHeight="1">
      <c r="B37" s="6" t="s">
        <v>48</v>
      </c>
      <c r="C37" s="1" t="s">
        <v>144</v>
      </c>
      <c r="D37" s="13">
        <v>58.6</v>
      </c>
      <c r="E37" s="3">
        <v>137.4</v>
      </c>
      <c r="F37" s="4">
        <f>Table4[[#This Row],[Price]]*Table4[[#This Row],[Share Count ]]</f>
        <v>8051.64</v>
      </c>
      <c r="G37" s="4">
        <v>890.1</v>
      </c>
      <c r="H37" s="4">
        <f>443.4</f>
        <v>443.4</v>
      </c>
      <c r="I37" s="4">
        <f>Table4[[#This Row],[MC ($M)]]-Table4[[#This Row],[Cash ($M)]]+Table4[[#This Row],[Debt ($M)]]</f>
        <v>7604.94</v>
      </c>
      <c r="J37" s="2">
        <f>[4]Model!$BZ$53</f>
        <v>7562.2393729299547</v>
      </c>
      <c r="K37" s="2">
        <f>[4]Model!$BZ$55</f>
        <v>55.058167986384817</v>
      </c>
      <c r="L37" s="7">
        <f>Table4[[#This Row],[FV]]/Table4[[#This Row],[Price]]-1</f>
        <v>-6.0440819344969032E-2</v>
      </c>
      <c r="M37" s="1">
        <v>1.29</v>
      </c>
      <c r="N37" s="7"/>
      <c r="O37" s="12">
        <v>3.44</v>
      </c>
      <c r="P37" s="12">
        <v>3.92</v>
      </c>
      <c r="Q37" s="13">
        <f>Table4[[#This Row],[Price]]/Table4[[#This Row],[FY Earnings Estimates]]</f>
        <v>17.034883720930232</v>
      </c>
      <c r="R37" s="13">
        <f>Table4[[#This Row],[Price]]/Table4[[#This Row],[FY Earnings Estimates (2-years)]]</f>
        <v>14.948979591836736</v>
      </c>
      <c r="S37" s="18">
        <v>5300</v>
      </c>
      <c r="T37" s="10" t="s">
        <v>170</v>
      </c>
      <c r="U37" s="1" t="s">
        <v>85</v>
      </c>
      <c r="V37" s="1" t="s">
        <v>102</v>
      </c>
      <c r="W37" s="2"/>
    </row>
    <row r="38" spans="2:23" ht="13.9" customHeight="1">
      <c r="B38" s="1" t="s">
        <v>41</v>
      </c>
      <c r="C38" s="1" t="s">
        <v>162</v>
      </c>
      <c r="D38" s="13">
        <v>129.69999999999999</v>
      </c>
      <c r="E38" s="3">
        <v>46.3</v>
      </c>
      <c r="F38" s="4">
        <f>Table4[[#This Row],[Price]]*Table4[[#This Row],[Share Count ]]</f>
        <v>6005.1099999999988</v>
      </c>
      <c r="G38" s="4">
        <v>243.2</v>
      </c>
      <c r="H38" s="4">
        <f>96.9+1661.5</f>
        <v>1758.4</v>
      </c>
      <c r="I38" s="4">
        <f>Table4[[#This Row],[MC ($M)]]-Table4[[#This Row],[Cash ($M)]]+Table4[[#This Row],[Debt ($M)]]</f>
        <v>7520.3099999999995</v>
      </c>
      <c r="J38" s="2"/>
      <c r="K38" s="2"/>
      <c r="L38" s="7"/>
      <c r="M38" s="1">
        <v>1.19</v>
      </c>
      <c r="N38" s="7"/>
      <c r="O38" s="12">
        <v>13.37</v>
      </c>
      <c r="P38" s="12">
        <v>14.02</v>
      </c>
      <c r="Q38" s="13">
        <f>Table4[[#This Row],[Price]]/Table4[[#This Row],[FY Earnings Estimates]]</f>
        <v>9.7008227374719525</v>
      </c>
      <c r="R38" s="13">
        <f>Table4[[#This Row],[Price]]/Table4[[#This Row],[FY Earnings Estimates (2-years)]]</f>
        <v>9.2510699001426531</v>
      </c>
      <c r="S38" s="18">
        <v>14100</v>
      </c>
      <c r="T38" s="10" t="s">
        <v>193</v>
      </c>
      <c r="U38" s="1" t="s">
        <v>85</v>
      </c>
      <c r="V38" s="1" t="s">
        <v>127</v>
      </c>
      <c r="W38" s="5" t="s">
        <v>194</v>
      </c>
    </row>
    <row r="39" spans="2:23" ht="13.9" customHeight="1">
      <c r="B39" s="6" t="s">
        <v>45</v>
      </c>
      <c r="C39" s="1" t="s">
        <v>165</v>
      </c>
      <c r="D39" s="13">
        <v>80</v>
      </c>
      <c r="E39" s="3">
        <v>59.3</v>
      </c>
      <c r="F39" s="4">
        <f>Table4[[#This Row],[Price]]*Table4[[#This Row],[Share Count ]]</f>
        <v>4744</v>
      </c>
      <c r="G39" s="4">
        <f>41.141+0.067+70.397</f>
        <v>111.605</v>
      </c>
      <c r="H39" s="4">
        <v>0</v>
      </c>
      <c r="I39" s="4">
        <f>Table4[[#This Row],[MC ($M)]]-Table4[[#This Row],[Cash ($M)]]+Table4[[#This Row],[Debt ($M)]]</f>
        <v>4632.3950000000004</v>
      </c>
      <c r="J39" s="2"/>
      <c r="K39" s="2"/>
      <c r="L39" s="7"/>
      <c r="N39" s="7"/>
      <c r="O39" s="12"/>
      <c r="P39" s="12"/>
      <c r="Q39" s="13" t="e">
        <f>Table4[[#This Row],[Price]]/Table4[[#This Row],[FY Earnings Estimates]]</f>
        <v>#DIV/0!</v>
      </c>
      <c r="R39" s="13" t="e">
        <f>Table4[[#This Row],[Price]]/Table4[[#This Row],[FY Earnings Estimates (2-years)]]</f>
        <v>#DIV/0!</v>
      </c>
      <c r="T39" s="10"/>
      <c r="U39" s="9" t="s">
        <v>131</v>
      </c>
      <c r="W39" s="5" t="s">
        <v>194</v>
      </c>
    </row>
    <row r="40" spans="2:23" ht="13.9" customHeight="1">
      <c r="B40" s="1" t="s">
        <v>55</v>
      </c>
      <c r="C40" s="1" t="s">
        <v>146</v>
      </c>
      <c r="D40" s="13">
        <v>152.01</v>
      </c>
      <c r="E40" s="3">
        <v>29.7</v>
      </c>
      <c r="F40" s="4">
        <f>Table4[[#This Row],[Price]]*Table4[[#This Row],[Share Count ]]</f>
        <v>4514.6969999999992</v>
      </c>
      <c r="G40" s="4"/>
      <c r="H40" s="4"/>
      <c r="I40" s="4">
        <f>Table4[[#This Row],[MC ($M)]]-Table4[[#This Row],[Cash ($M)]]+Table4[[#This Row],[Debt ($M)]]</f>
        <v>4514.6969999999992</v>
      </c>
      <c r="J40" s="2"/>
      <c r="K40" s="2"/>
      <c r="L40" s="7"/>
      <c r="N40" s="7"/>
      <c r="O40" s="12"/>
      <c r="P40" s="12"/>
      <c r="Q40" s="13" t="e">
        <f>Table4[[#This Row],[Price]]/Table4[[#This Row],[FY Earnings Estimates]]</f>
        <v>#DIV/0!</v>
      </c>
      <c r="R40" s="13" t="e">
        <f>Table4[[#This Row],[Price]]/Table4[[#This Row],[FY Earnings Estimates (2-years)]]</f>
        <v>#DIV/0!</v>
      </c>
      <c r="T40" s="10"/>
      <c r="U40" s="1" t="s">
        <v>85</v>
      </c>
      <c r="V40" s="1" t="s">
        <v>107</v>
      </c>
      <c r="W40" s="2"/>
    </row>
    <row r="41" spans="2:23" ht="13.9" customHeight="1">
      <c r="B41" s="1" t="s">
        <v>57</v>
      </c>
      <c r="C41" s="1" t="s">
        <v>148</v>
      </c>
      <c r="D41" s="13">
        <v>138.18</v>
      </c>
      <c r="E41" s="3">
        <v>31.4</v>
      </c>
      <c r="F41" s="4">
        <f>Table4[[#This Row],[Price]]*Table4[[#This Row],[Share Count ]]</f>
        <v>4338.8519999999999</v>
      </c>
      <c r="G41" s="4"/>
      <c r="H41" s="4"/>
      <c r="I41" s="4">
        <f>Table4[[#This Row],[MC ($M)]]-Table4[[#This Row],[Cash ($M)]]+Table4[[#This Row],[Debt ($M)]]</f>
        <v>4338.8519999999999</v>
      </c>
      <c r="J41" s="2"/>
      <c r="K41" s="2"/>
      <c r="L41" s="7"/>
      <c r="N41" s="7"/>
      <c r="O41" s="12"/>
      <c r="P41" s="12"/>
      <c r="Q41" s="13" t="e">
        <f>Table4[[#This Row],[Price]]/Table4[[#This Row],[FY Earnings Estimates]]</f>
        <v>#DIV/0!</v>
      </c>
      <c r="R41" s="13" t="e">
        <f>Table4[[#This Row],[Price]]/Table4[[#This Row],[FY Earnings Estimates (2-years)]]</f>
        <v>#DIV/0!</v>
      </c>
      <c r="T41" s="10"/>
      <c r="U41" s="1" t="s">
        <v>85</v>
      </c>
      <c r="V41" s="1" t="s">
        <v>71</v>
      </c>
      <c r="W41" s="2"/>
    </row>
    <row r="42" spans="2:23" ht="13.9" customHeight="1">
      <c r="B42" s="1" t="s">
        <v>177</v>
      </c>
      <c r="C42" s="1" t="s">
        <v>176</v>
      </c>
      <c r="D42" s="13">
        <v>71</v>
      </c>
      <c r="E42" s="3">
        <v>52.11</v>
      </c>
      <c r="F42" s="4">
        <f>Table4[[#This Row],[Price]]*Table4[[#This Row],[Share Count ]]</f>
        <v>3699.81</v>
      </c>
      <c r="G42" s="2">
        <v>0</v>
      </c>
      <c r="H42" s="2">
        <v>0</v>
      </c>
      <c r="I42" s="4">
        <v>3300</v>
      </c>
      <c r="J42" s="2"/>
      <c r="K42" s="2"/>
      <c r="L42" s="7"/>
      <c r="N42" s="7"/>
      <c r="O42" s="12"/>
      <c r="P42" s="12"/>
      <c r="Q42" s="13" t="e">
        <f>Table4[[#This Row],[Price]]/Table4[[#This Row],[FY Earnings Estimates]]</f>
        <v>#DIV/0!</v>
      </c>
      <c r="R42" s="13" t="e">
        <f>Table4[[#This Row],[Price]]/Table4[[#This Row],[FY Earnings Estimates (2-years)]]</f>
        <v>#DIV/0!</v>
      </c>
      <c r="T42" s="10"/>
      <c r="U42" s="9" t="s">
        <v>179</v>
      </c>
    </row>
    <row r="43" spans="2:23" ht="13.9" customHeight="1">
      <c r="B43" s="1" t="s">
        <v>44</v>
      </c>
      <c r="C43" s="1" t="s">
        <v>164</v>
      </c>
      <c r="D43" s="13">
        <v>16.690000000000001</v>
      </c>
      <c r="E43" s="3">
        <v>198.8</v>
      </c>
      <c r="F43" s="4">
        <f>Table4[[#This Row],[Price]]*Table4[[#This Row],[Share Count ]]</f>
        <v>3317.9720000000007</v>
      </c>
      <c r="G43" s="4"/>
      <c r="H43" s="4"/>
      <c r="I43" s="4">
        <f>Table4[[#This Row],[MC ($M)]]-Table4[[#This Row],[Cash ($M)]]+Table4[[#This Row],[Debt ($M)]]</f>
        <v>3317.9720000000007</v>
      </c>
      <c r="J43" s="2"/>
      <c r="K43" s="2"/>
      <c r="L43" s="7"/>
      <c r="N43" s="7"/>
      <c r="O43" s="12"/>
      <c r="P43" s="12"/>
      <c r="Q43" s="13" t="e">
        <f>Table4[[#This Row],[Price]]/Table4[[#This Row],[FY Earnings Estimates]]</f>
        <v>#DIV/0!</v>
      </c>
      <c r="R43" s="13" t="e">
        <f>Table4[[#This Row],[Price]]/Table4[[#This Row],[FY Earnings Estimates (2-years)]]</f>
        <v>#DIV/0!</v>
      </c>
      <c r="T43" s="10"/>
      <c r="U43" s="1" t="s">
        <v>85</v>
      </c>
      <c r="V43" s="1" t="s">
        <v>76</v>
      </c>
      <c r="W43" s="2"/>
    </row>
    <row r="44" spans="2:23" ht="13.9" customHeight="1">
      <c r="B44" s="1" t="s">
        <v>59</v>
      </c>
      <c r="C44" s="1" t="s">
        <v>150</v>
      </c>
      <c r="D44" s="13">
        <v>44.8</v>
      </c>
      <c r="E44" s="3">
        <v>54.3</v>
      </c>
      <c r="F44" s="4">
        <f>Table4[[#This Row],[Price]]*Table4[[#This Row],[Share Count ]]</f>
        <v>2432.64</v>
      </c>
      <c r="G44" s="4"/>
      <c r="H44" s="4"/>
      <c r="I44" s="4">
        <f>Table4[[#This Row],[MC ($M)]]-Table4[[#This Row],[Cash ($M)]]+Table4[[#This Row],[Debt ($M)]]</f>
        <v>2432.64</v>
      </c>
      <c r="J44" s="2"/>
      <c r="K44" s="2"/>
      <c r="L44" s="7"/>
      <c r="N44" s="7"/>
      <c r="O44" s="12"/>
      <c r="P44" s="12"/>
      <c r="Q44" s="13" t="e">
        <f>Table4[[#This Row],[Price]]/Table4[[#This Row],[FY Earnings Estimates]]</f>
        <v>#DIV/0!</v>
      </c>
      <c r="R44" s="13" t="e">
        <f>Table4[[#This Row],[Price]]/Table4[[#This Row],[FY Earnings Estimates (2-years)]]</f>
        <v>#DIV/0!</v>
      </c>
      <c r="T44" s="10"/>
      <c r="U44" s="1" t="s">
        <v>85</v>
      </c>
      <c r="V44" s="1" t="s">
        <v>111</v>
      </c>
      <c r="W44" s="2"/>
    </row>
    <row r="45" spans="2:23" ht="13.9" customHeight="1">
      <c r="B45" s="1" t="s">
        <v>42</v>
      </c>
      <c r="C45" s="1" t="s">
        <v>154</v>
      </c>
      <c r="D45" s="13">
        <v>18.420000000000002</v>
      </c>
      <c r="E45" s="3">
        <v>108.5</v>
      </c>
      <c r="F45" s="4">
        <f>Table4[[#This Row],[Price]]*Table4[[#This Row],[Share Count ]]</f>
        <v>1998.5700000000002</v>
      </c>
      <c r="G45" s="4"/>
      <c r="H45" s="4"/>
      <c r="I45" s="4">
        <f>Table4[[#This Row],[MC ($M)]]-Table4[[#This Row],[Cash ($M)]]+Table4[[#This Row],[Debt ($M)]]</f>
        <v>1998.5700000000002</v>
      </c>
      <c r="J45" s="2"/>
      <c r="K45" s="2"/>
      <c r="L45" s="7"/>
      <c r="N45" s="7"/>
      <c r="O45" s="12"/>
      <c r="P45" s="12"/>
      <c r="Q45" s="13" t="e">
        <f>Table4[[#This Row],[Price]]/Table4[[#This Row],[FY Earnings Estimates]]</f>
        <v>#DIV/0!</v>
      </c>
      <c r="R45" s="13" t="e">
        <f>Table4[[#This Row],[Price]]/Table4[[#This Row],[FY Earnings Estimates (2-years)]]</f>
        <v>#DIV/0!</v>
      </c>
      <c r="T45" s="10"/>
      <c r="U45" s="1" t="s">
        <v>85</v>
      </c>
      <c r="V45" s="1" t="s">
        <v>116</v>
      </c>
      <c r="W45" s="2"/>
    </row>
    <row r="46" spans="2:23" ht="13.9" customHeight="1">
      <c r="B46" s="6" t="s">
        <v>192</v>
      </c>
      <c r="C46" s="1" t="s">
        <v>191</v>
      </c>
      <c r="D46" s="13">
        <v>82.95</v>
      </c>
      <c r="E46" s="3">
        <v>22.56</v>
      </c>
      <c r="F46" s="4">
        <f>Table4[[#This Row],[Price]]*Table4[[#This Row],[Share Count ]]</f>
        <v>1871.3519999999999</v>
      </c>
      <c r="G46" s="4">
        <f>25.61+274.112</f>
        <v>299.72200000000004</v>
      </c>
      <c r="H46" s="4">
        <v>0</v>
      </c>
      <c r="I46" s="4">
        <f>Table4[[#This Row],[Price]]*Table4[[#This Row],[Share Count ]]</f>
        <v>1871.3519999999999</v>
      </c>
      <c r="J46" s="2"/>
      <c r="K46" s="2"/>
      <c r="L46" s="7"/>
      <c r="M46" s="1">
        <v>0.88</v>
      </c>
      <c r="N46" s="7"/>
      <c r="O46" s="12">
        <v>2.15</v>
      </c>
      <c r="P46" s="12">
        <v>2.38</v>
      </c>
      <c r="Q46" s="13">
        <f>Table4[[#This Row],[Price]]/Table4[[#This Row],[FY Earnings Estimates]]</f>
        <v>38.581395348837212</v>
      </c>
      <c r="R46" s="13">
        <f>Table4[[#This Row],[Price]]/Table4[[#This Row],[FY Earnings Estimates (2-years)]]</f>
        <v>34.852941176470594</v>
      </c>
      <c r="S46" s="1">
        <v>651</v>
      </c>
      <c r="T46" s="10" t="s">
        <v>170</v>
      </c>
      <c r="U46" s="1" t="s">
        <v>85</v>
      </c>
      <c r="V46" s="1" t="s">
        <v>190</v>
      </c>
      <c r="W46" s="5" t="s">
        <v>194</v>
      </c>
    </row>
    <row r="47" spans="2:23" ht="13.9" customHeight="1">
      <c r="B47" s="6" t="s">
        <v>54</v>
      </c>
      <c r="C47" s="1" t="s">
        <v>136</v>
      </c>
      <c r="D47" s="13">
        <v>59.9</v>
      </c>
      <c r="E47" s="3">
        <v>30.97</v>
      </c>
      <c r="F47" s="4">
        <f>Table4[[#This Row],[Price]]*Table4[[#This Row],[Share Count ]]</f>
        <v>1855.1029999999998</v>
      </c>
      <c r="G47" s="4">
        <v>0.35485</v>
      </c>
      <c r="H47" s="4">
        <f>0.714+891.443</f>
        <v>892.15700000000004</v>
      </c>
      <c r="I47" s="4">
        <f>Table4[[#This Row],[MC ($M)]]-Table4[[#This Row],[Cash ($M)]]+Table4[[#This Row],[Debt ($M)]]</f>
        <v>2746.90515</v>
      </c>
      <c r="J47" s="2"/>
      <c r="K47" s="2"/>
      <c r="L47" s="7"/>
      <c r="M47" s="1">
        <v>1.19</v>
      </c>
      <c r="N47" s="7"/>
      <c r="O47" s="12">
        <v>4.3899999999999997</v>
      </c>
      <c r="P47" s="12">
        <v>4.7300000000000004</v>
      </c>
      <c r="Q47" s="13">
        <f>Table4[[#This Row],[Price]]/Table4[[#This Row],[FY Earnings Estimates]]</f>
        <v>13.644646924829157</v>
      </c>
      <c r="R47" s="13">
        <f>Table4[[#This Row],[Price]]/Table4[[#This Row],[FY Earnings Estimates (2-years)]]</f>
        <v>12.663847780126849</v>
      </c>
      <c r="S47" s="18">
        <v>3900</v>
      </c>
      <c r="T47" s="10" t="s">
        <v>193</v>
      </c>
      <c r="U47" s="1" t="s">
        <v>85</v>
      </c>
      <c r="V47" s="1" t="s">
        <v>92</v>
      </c>
      <c r="W47" s="2"/>
    </row>
    <row r="48" spans="2:23" ht="13.9" customHeight="1">
      <c r="B48" s="1" t="s">
        <v>67</v>
      </c>
      <c r="C48" s="1" t="s">
        <v>163</v>
      </c>
      <c r="D48" s="13">
        <v>23.9</v>
      </c>
      <c r="E48" s="3">
        <v>66.3</v>
      </c>
      <c r="F48" s="4">
        <f>Table4[[#This Row],[Price]]*Table4[[#This Row],[Share Count ]]</f>
        <v>1584.57</v>
      </c>
      <c r="G48" s="4"/>
      <c r="H48" s="4"/>
      <c r="I48" s="4">
        <f>Table4[[#This Row],[MC ($M)]]-Table4[[#This Row],[Cash ($M)]]+Table4[[#This Row],[Debt ($M)]]</f>
        <v>1584.57</v>
      </c>
      <c r="J48" s="2"/>
      <c r="K48" s="2"/>
      <c r="L48" s="7"/>
      <c r="N48" s="7"/>
      <c r="O48" s="12"/>
      <c r="P48" s="12"/>
      <c r="Q48" s="13" t="e">
        <f>Table4[[#This Row],[Price]]/Table4[[#This Row],[FY Earnings Estimates]]</f>
        <v>#DIV/0!</v>
      </c>
      <c r="R48" s="13" t="e">
        <f>Table4[[#This Row],[Price]]/Table4[[#This Row],[FY Earnings Estimates (2-years)]]</f>
        <v>#DIV/0!</v>
      </c>
      <c r="T48" s="10"/>
      <c r="U48" s="1" t="s">
        <v>85</v>
      </c>
      <c r="V48" s="1" t="s">
        <v>75</v>
      </c>
      <c r="W48" s="2"/>
    </row>
    <row r="49" spans="2:23" ht="13.9" customHeight="1">
      <c r="B49" s="1" t="s">
        <v>52</v>
      </c>
      <c r="C49" s="1" t="s">
        <v>132</v>
      </c>
      <c r="D49" s="13">
        <v>31.81</v>
      </c>
      <c r="E49" s="3">
        <v>48.9</v>
      </c>
      <c r="F49" s="4">
        <f>Table4[[#This Row],[Price]]*Table4[[#This Row],[Share Count ]]</f>
        <v>1555.5089999999998</v>
      </c>
      <c r="G49" s="4"/>
      <c r="H49" s="4"/>
      <c r="I49" s="4">
        <f>Table4[[#This Row],[MC ($M)]]-Table4[[#This Row],[Cash ($M)]]+Table4[[#This Row],[Debt ($M)]]</f>
        <v>1555.5089999999998</v>
      </c>
      <c r="J49" s="2"/>
      <c r="K49" s="2"/>
      <c r="L49" s="7"/>
      <c r="N49" s="7"/>
      <c r="O49" s="12"/>
      <c r="P49" s="12"/>
      <c r="Q49" s="13" t="e">
        <f>Table4[[#This Row],[Price]]/Table4[[#This Row],[FY Earnings Estimates]]</f>
        <v>#DIV/0!</v>
      </c>
      <c r="R49" s="13" t="e">
        <f>Table4[[#This Row],[Price]]/Table4[[#This Row],[FY Earnings Estimates (2-years)]]</f>
        <v>#DIV/0!</v>
      </c>
      <c r="T49" s="10"/>
      <c r="U49" s="1" t="s">
        <v>85</v>
      </c>
      <c r="V49" s="1" t="s">
        <v>88</v>
      </c>
      <c r="W49" s="2"/>
    </row>
    <row r="50" spans="2:23" ht="13.9" customHeight="1">
      <c r="B50" s="1" t="s">
        <v>68</v>
      </c>
      <c r="C50" s="1" t="s">
        <v>166</v>
      </c>
      <c r="D50" s="13">
        <v>27.5</v>
      </c>
      <c r="E50" s="3">
        <v>46.55</v>
      </c>
      <c r="F50" s="4">
        <f>Table4[[#This Row],[Price]]*Table4[[#This Row],[Share Count ]]</f>
        <v>1280.125</v>
      </c>
      <c r="G50" s="4">
        <v>0</v>
      </c>
      <c r="H50" s="4">
        <v>0</v>
      </c>
      <c r="I50" s="4">
        <v>1180</v>
      </c>
      <c r="J50" s="2"/>
      <c r="K50" s="2"/>
      <c r="L50" s="7"/>
      <c r="N50" s="7"/>
      <c r="O50" s="12"/>
      <c r="P50" s="12"/>
      <c r="Q50" s="13" t="e">
        <f>Table4[[#This Row],[Price]]/Table4[[#This Row],[FY Earnings Estimates]]</f>
        <v>#DIV/0!</v>
      </c>
      <c r="R50" s="13" t="e">
        <f>Table4[[#This Row],[Price]]/Table4[[#This Row],[FY Earnings Estimates (2-years)]]</f>
        <v>#DIV/0!</v>
      </c>
      <c r="T50" s="10"/>
      <c r="U50" s="9" t="s">
        <v>178</v>
      </c>
      <c r="W50" s="5" t="s">
        <v>194</v>
      </c>
    </row>
    <row r="51" spans="2:23" ht="13.9" customHeight="1">
      <c r="B51" s="1" t="s">
        <v>30</v>
      </c>
      <c r="C51" s="1" t="s">
        <v>152</v>
      </c>
      <c r="D51" s="13">
        <v>7.34</v>
      </c>
      <c r="E51" s="3">
        <v>146.9</v>
      </c>
      <c r="F51" s="4">
        <f>Table4[[#This Row],[Price]]*Table4[[#This Row],[Share Count ]]</f>
        <v>1078.2460000000001</v>
      </c>
      <c r="G51" s="4"/>
      <c r="H51" s="4"/>
      <c r="I51" s="4">
        <f>Table4[[#This Row],[MC ($M)]]-Table4[[#This Row],[Cash ($M)]]+Table4[[#This Row],[Debt ($M)]]</f>
        <v>1078.2460000000001</v>
      </c>
      <c r="J51" s="2"/>
      <c r="K51" s="2"/>
      <c r="L51" s="7"/>
      <c r="N51" s="7"/>
      <c r="O51" s="12"/>
      <c r="P51" s="12"/>
      <c r="Q51" s="13" t="e">
        <f>Table4[[#This Row],[Price]]/Table4[[#This Row],[FY Earnings Estimates]]</f>
        <v>#DIV/0!</v>
      </c>
      <c r="R51" s="13" t="e">
        <f>Table4[[#This Row],[Price]]/Table4[[#This Row],[FY Earnings Estimates (2-years)]]</f>
        <v>#DIV/0!</v>
      </c>
      <c r="T51" s="10"/>
      <c r="U51" s="1" t="s">
        <v>113</v>
      </c>
      <c r="V51" s="1" t="s">
        <v>114</v>
      </c>
      <c r="W51" s="2"/>
    </row>
    <row r="52" spans="2:23" ht="13.9" customHeight="1">
      <c r="B52" s="1" t="s">
        <v>46</v>
      </c>
      <c r="C52" s="1" t="s">
        <v>141</v>
      </c>
      <c r="D52" s="13">
        <v>33.409999999999997</v>
      </c>
      <c r="E52" s="3">
        <v>28.8</v>
      </c>
      <c r="F52" s="4">
        <f>Table4[[#This Row],[Price]]*Table4[[#This Row],[Share Count ]]</f>
        <v>962.20799999999997</v>
      </c>
      <c r="G52" s="4"/>
      <c r="H52" s="4"/>
      <c r="I52" s="4">
        <f>Table4[[#This Row],[MC ($M)]]-Table4[[#This Row],[Cash ($M)]]+Table4[[#This Row],[Debt ($M)]]</f>
        <v>962.20799999999997</v>
      </c>
      <c r="J52" s="2"/>
      <c r="K52" s="2"/>
      <c r="L52" s="7"/>
      <c r="N52" s="7"/>
      <c r="O52" s="12"/>
      <c r="P52" s="12"/>
      <c r="Q52" s="13" t="e">
        <f>Table4[[#This Row],[Price]]/Table4[[#This Row],[FY Earnings Estimates]]</f>
        <v>#DIV/0!</v>
      </c>
      <c r="R52" s="13" t="e">
        <f>Table4[[#This Row],[Price]]/Table4[[#This Row],[FY Earnings Estimates (2-years)]]</f>
        <v>#DIV/0!</v>
      </c>
      <c r="T52" s="10"/>
      <c r="U52" s="1" t="s">
        <v>85</v>
      </c>
      <c r="V52" s="1" t="s">
        <v>97</v>
      </c>
      <c r="W52" s="2"/>
    </row>
    <row r="53" spans="2:23" ht="13.9" customHeight="1">
      <c r="B53" s="1" t="s">
        <v>61</v>
      </c>
      <c r="C53" s="1" t="s">
        <v>156</v>
      </c>
      <c r="D53" s="13">
        <v>16.64</v>
      </c>
      <c r="E53" s="3">
        <v>52.9</v>
      </c>
      <c r="F53" s="4">
        <f>Table4[[#This Row],[Price]]*Table4[[#This Row],[Share Count ]]</f>
        <v>880.25599999999997</v>
      </c>
      <c r="G53" s="4"/>
      <c r="H53" s="4"/>
      <c r="I53" s="4">
        <f>Table4[[#This Row],[MC ($M)]]-Table4[[#This Row],[Cash ($M)]]+Table4[[#This Row],[Debt ($M)]]</f>
        <v>880.25599999999997</v>
      </c>
      <c r="J53" s="2"/>
      <c r="K53" s="2"/>
      <c r="L53" s="7"/>
      <c r="N53" s="7"/>
      <c r="O53" s="12"/>
      <c r="P53" s="12"/>
      <c r="Q53" s="13" t="e">
        <f>Table4[[#This Row],[Price]]/Table4[[#This Row],[FY Earnings Estimates]]</f>
        <v>#DIV/0!</v>
      </c>
      <c r="R53" s="13" t="e">
        <f>Table4[[#This Row],[Price]]/Table4[[#This Row],[FY Earnings Estimates (2-years)]]</f>
        <v>#DIV/0!</v>
      </c>
      <c r="T53" s="10"/>
      <c r="U53" s="1" t="s">
        <v>85</v>
      </c>
      <c r="V53" s="1" t="s">
        <v>118</v>
      </c>
      <c r="W53" s="2"/>
    </row>
    <row r="54" spans="2:23" ht="13.9" customHeight="1">
      <c r="B54" s="1" t="s">
        <v>47</v>
      </c>
      <c r="C54" s="1" t="s">
        <v>140</v>
      </c>
      <c r="D54" s="13">
        <v>12.18</v>
      </c>
      <c r="E54" s="3">
        <v>57.7</v>
      </c>
      <c r="F54" s="4">
        <f>Table4[[#This Row],[Price]]*Table4[[#This Row],[Share Count ]]</f>
        <v>702.78600000000006</v>
      </c>
      <c r="G54" s="4"/>
      <c r="H54" s="4"/>
      <c r="I54" s="4">
        <f>Table4[[#This Row],[MC ($M)]]-Table4[[#This Row],[Cash ($M)]]+Table4[[#This Row],[Debt ($M)]]</f>
        <v>702.78600000000006</v>
      </c>
      <c r="J54" s="2"/>
      <c r="K54" s="2"/>
      <c r="L54" s="7"/>
      <c r="N54" s="7"/>
      <c r="O54" s="12"/>
      <c r="P54" s="12"/>
      <c r="Q54" s="13" t="e">
        <f>Table4[[#This Row],[Price]]/Table4[[#This Row],[FY Earnings Estimates]]</f>
        <v>#DIV/0!</v>
      </c>
      <c r="R54" s="13" t="e">
        <f>Table4[[#This Row],[Price]]/Table4[[#This Row],[FY Earnings Estimates (2-years)]]</f>
        <v>#DIV/0!</v>
      </c>
      <c r="T54" s="10"/>
      <c r="U54" s="1" t="s">
        <v>85</v>
      </c>
      <c r="V54" s="1" t="s">
        <v>96</v>
      </c>
      <c r="W54" s="2"/>
    </row>
    <row r="55" spans="2:23" ht="13.9" customHeight="1">
      <c r="B55" s="1" t="s">
        <v>60</v>
      </c>
      <c r="C55" s="1" t="s">
        <v>155</v>
      </c>
      <c r="D55" s="13">
        <v>12.51</v>
      </c>
      <c r="E55" s="3">
        <v>38.5</v>
      </c>
      <c r="F55" s="4">
        <f>Table4[[#This Row],[Price]]*Table4[[#This Row],[Share Count ]]</f>
        <v>481.63499999999999</v>
      </c>
      <c r="G55" s="4"/>
      <c r="H55" s="4"/>
      <c r="I55" s="4">
        <f>Table4[[#This Row],[MC ($M)]]-Table4[[#This Row],[Cash ($M)]]+Table4[[#This Row],[Debt ($M)]]</f>
        <v>481.63499999999999</v>
      </c>
      <c r="J55" s="2"/>
      <c r="K55" s="2"/>
      <c r="L55" s="7"/>
      <c r="N55" s="7"/>
      <c r="O55" s="12"/>
      <c r="P55" s="12"/>
      <c r="Q55" s="13" t="e">
        <f>Table4[[#This Row],[Price]]/Table4[[#This Row],[FY Earnings Estimates]]</f>
        <v>#DIV/0!</v>
      </c>
      <c r="R55" s="13" t="e">
        <f>Table4[[#This Row],[Price]]/Table4[[#This Row],[FY Earnings Estimates (2-years)]]</f>
        <v>#DIV/0!</v>
      </c>
      <c r="T55" s="10"/>
      <c r="U55" s="1" t="s">
        <v>85</v>
      </c>
      <c r="V55" s="1" t="s">
        <v>117</v>
      </c>
      <c r="W55" s="2"/>
    </row>
    <row r="56" spans="2:23" ht="13.9" customHeight="1">
      <c r="B56" s="1" t="s">
        <v>51</v>
      </c>
      <c r="C56" s="1" t="s">
        <v>80</v>
      </c>
      <c r="D56" s="13">
        <v>9.6199999999999992</v>
      </c>
      <c r="E56" s="3">
        <v>40.4</v>
      </c>
      <c r="F56" s="4">
        <f>Table4[[#This Row],[Price]]*Table4[[#This Row],[Share Count ]]</f>
        <v>388.64799999999997</v>
      </c>
      <c r="G56" s="4"/>
      <c r="H56" s="4"/>
      <c r="I56" s="4">
        <f>Table4[[#This Row],[MC ($M)]]-Table4[[#This Row],[Cash ($M)]]+Table4[[#This Row],[Debt ($M)]]</f>
        <v>388.64799999999997</v>
      </c>
      <c r="J56" s="2"/>
      <c r="K56" s="2"/>
      <c r="L56" s="7"/>
      <c r="N56" s="7"/>
      <c r="O56" s="12"/>
      <c r="P56" s="12"/>
      <c r="Q56" s="13" t="e">
        <f>Table4[[#This Row],[Price]]/Table4[[#This Row],[FY Earnings Estimates]]</f>
        <v>#DIV/0!</v>
      </c>
      <c r="R56" s="13" t="e">
        <f>Table4[[#This Row],[Price]]/Table4[[#This Row],[FY Earnings Estimates (2-years)]]</f>
        <v>#DIV/0!</v>
      </c>
      <c r="T56" s="10"/>
      <c r="U56" s="1" t="s">
        <v>85</v>
      </c>
      <c r="V56" s="1" t="s">
        <v>87</v>
      </c>
      <c r="W56" s="5" t="s">
        <v>194</v>
      </c>
    </row>
    <row r="57" spans="2:23" ht="13.9" customHeight="1">
      <c r="B57" s="1" t="s">
        <v>53</v>
      </c>
      <c r="C57" s="1" t="s">
        <v>135</v>
      </c>
      <c r="D57" s="13">
        <v>1.35</v>
      </c>
      <c r="E57" s="3">
        <v>185.8</v>
      </c>
      <c r="F57" s="4">
        <f>Table4[[#This Row],[Price]]*Table4[[#This Row],[Share Count ]]</f>
        <v>250.83000000000004</v>
      </c>
      <c r="G57" s="4"/>
      <c r="H57" s="4"/>
      <c r="I57" s="4">
        <f>Table4[[#This Row],[MC ($M)]]-Table4[[#This Row],[Cash ($M)]]+Table4[[#This Row],[Debt ($M)]]</f>
        <v>250.83000000000004</v>
      </c>
      <c r="J57" s="2"/>
      <c r="K57" s="2"/>
      <c r="L57" s="7"/>
      <c r="N57" s="7"/>
      <c r="O57" s="12"/>
      <c r="P57" s="12"/>
      <c r="Q57" s="13" t="e">
        <f>Table4[[#This Row],[Price]]/Table4[[#This Row],[FY Earnings Estimates]]</f>
        <v>#DIV/0!</v>
      </c>
      <c r="R57" s="13" t="e">
        <f>Table4[[#This Row],[Price]]/Table4[[#This Row],[FY Earnings Estimates (2-years)]]</f>
        <v>#DIV/0!</v>
      </c>
      <c r="T57" s="10"/>
      <c r="U57" s="1" t="s">
        <v>85</v>
      </c>
      <c r="V57" s="1" t="s">
        <v>91</v>
      </c>
    </row>
    <row r="58" spans="2:23" ht="13.9" customHeight="1">
      <c r="B58" s="1" t="s">
        <v>65</v>
      </c>
      <c r="C58" s="1" t="s">
        <v>161</v>
      </c>
      <c r="D58" s="13">
        <v>9.7200000000000006</v>
      </c>
      <c r="E58" s="3">
        <v>23.9</v>
      </c>
      <c r="F58" s="4">
        <f>Table4[[#This Row],[Price]]*Table4[[#This Row],[Share Count ]]</f>
        <v>232.30799999999999</v>
      </c>
      <c r="G58" s="4"/>
      <c r="H58" s="4"/>
      <c r="I58" s="4">
        <f>Table4[[#This Row],[MC ($M)]]-Table4[[#This Row],[Cash ($M)]]+Table4[[#This Row],[Debt ($M)]]</f>
        <v>232.30799999999999</v>
      </c>
      <c r="J58" s="2"/>
      <c r="K58" s="2"/>
      <c r="L58" s="7"/>
      <c r="N58" s="7"/>
      <c r="O58" s="12"/>
      <c r="P58" s="12"/>
      <c r="Q58" s="13" t="e">
        <f>Table4[[#This Row],[Price]]/Table4[[#This Row],[FY Earnings Estimates]]</f>
        <v>#DIV/0!</v>
      </c>
      <c r="R58" s="13" t="e">
        <f>Table4[[#This Row],[Price]]/Table4[[#This Row],[FY Earnings Estimates (2-years)]]</f>
        <v>#DIV/0!</v>
      </c>
      <c r="T58" s="10"/>
      <c r="U58" s="1" t="s">
        <v>85</v>
      </c>
      <c r="V58" s="1" t="s">
        <v>126</v>
      </c>
      <c r="W58" s="2"/>
    </row>
    <row r="59" spans="2:23" ht="13.9" customHeight="1">
      <c r="B59" s="1" t="s">
        <v>64</v>
      </c>
      <c r="C59" s="1" t="s">
        <v>159</v>
      </c>
      <c r="D59" s="13">
        <v>4.1500000000000004</v>
      </c>
      <c r="E59" s="3">
        <v>55.7</v>
      </c>
      <c r="F59" s="4">
        <f>Table4[[#This Row],[Price]]*Table4[[#This Row],[Share Count ]]</f>
        <v>231.15500000000003</v>
      </c>
      <c r="G59" s="4"/>
      <c r="H59" s="4"/>
      <c r="I59" s="4">
        <f>Table4[[#This Row],[MC ($M)]]-Table4[[#This Row],[Cash ($M)]]+Table4[[#This Row],[Debt ($M)]]</f>
        <v>231.15500000000003</v>
      </c>
      <c r="J59" s="2"/>
      <c r="K59" s="2"/>
      <c r="L59" s="7"/>
      <c r="N59" s="7"/>
      <c r="O59" s="12"/>
      <c r="P59" s="12"/>
      <c r="Q59" s="13" t="e">
        <f>Table4[[#This Row],[Price]]/Table4[[#This Row],[FY Earnings Estimates]]</f>
        <v>#DIV/0!</v>
      </c>
      <c r="R59" s="13" t="e">
        <f>Table4[[#This Row],[Price]]/Table4[[#This Row],[FY Earnings Estimates (2-years)]]</f>
        <v>#DIV/0!</v>
      </c>
      <c r="T59" s="10"/>
      <c r="U59" s="1" t="s">
        <v>85</v>
      </c>
      <c r="V59" s="1" t="s">
        <v>124</v>
      </c>
      <c r="W59" s="2"/>
    </row>
    <row r="60" spans="2:23" ht="13.9" customHeight="1">
      <c r="E60" s="3"/>
      <c r="F60" s="4"/>
      <c r="G60" s="4"/>
      <c r="H60" s="4"/>
      <c r="I60" s="4"/>
      <c r="J60" s="2"/>
      <c r="K60" s="2"/>
      <c r="L60" s="7"/>
      <c r="N60" s="7"/>
      <c r="O60" s="12"/>
      <c r="P60" s="12"/>
      <c r="T60" s="10"/>
      <c r="W60" s="2"/>
    </row>
    <row r="61" spans="2:23" ht="13.9" customHeight="1">
      <c r="E61" s="3"/>
      <c r="F61" s="4"/>
      <c r="G61" s="4"/>
      <c r="H61" s="4"/>
      <c r="I61" s="4"/>
      <c r="J61" s="2"/>
      <c r="K61" s="2"/>
      <c r="L61" s="7"/>
      <c r="N61" s="7"/>
      <c r="O61" s="12"/>
      <c r="P61" s="12"/>
      <c r="T61" s="10"/>
      <c r="W61" s="2"/>
    </row>
    <row r="62" spans="2:23" ht="13.9" customHeight="1">
      <c r="D62" s="2"/>
      <c r="E62" s="3"/>
      <c r="F62" s="4"/>
      <c r="G62" s="4"/>
      <c r="H62" s="4"/>
      <c r="I62" s="4"/>
      <c r="J62" s="2"/>
      <c r="K62" s="2"/>
      <c r="L62" s="7"/>
      <c r="N62" s="7"/>
      <c r="T62" s="10"/>
    </row>
    <row r="63" spans="2:23" ht="13.9" customHeight="1">
      <c r="D63" s="2"/>
      <c r="E63" s="1"/>
      <c r="I63" s="2"/>
      <c r="J63" s="2"/>
      <c r="K63" s="2"/>
      <c r="L63" s="7"/>
      <c r="N63" s="7"/>
      <c r="T63" s="10"/>
    </row>
    <row r="64" spans="2:23" ht="13.9" customHeight="1">
      <c r="D64" s="2"/>
      <c r="E64" s="1"/>
      <c r="I64" s="2"/>
      <c r="J64" s="2"/>
      <c r="K64" s="2"/>
      <c r="L64" s="7"/>
      <c r="N64" s="7"/>
      <c r="T64" s="10"/>
    </row>
    <row r="65" spans="4:20" ht="13.9" customHeight="1">
      <c r="D65" s="2"/>
      <c r="E65" s="1"/>
      <c r="I65" s="2"/>
      <c r="J65" s="2"/>
      <c r="K65" s="2"/>
      <c r="L65" s="7"/>
      <c r="N65" s="7"/>
      <c r="T65" s="10"/>
    </row>
    <row r="66" spans="4:20" ht="13.9" customHeight="1">
      <c r="D66" s="2"/>
      <c r="E66" s="1"/>
      <c r="I66" s="2"/>
      <c r="J66" s="2"/>
      <c r="K66" s="2"/>
      <c r="L66" s="7"/>
      <c r="N66" s="7"/>
      <c r="T66" s="10"/>
    </row>
    <row r="67" spans="4:20" ht="13.9" customHeight="1">
      <c r="D67" s="2"/>
      <c r="E67" s="1"/>
      <c r="I67" s="2"/>
      <c r="J67" s="2"/>
      <c r="K67" s="2"/>
      <c r="L67" s="7"/>
      <c r="N67" s="7"/>
      <c r="T67" s="10"/>
    </row>
    <row r="68" spans="4:20" ht="13.9" customHeight="1">
      <c r="D68" s="2"/>
      <c r="E68" s="1"/>
      <c r="I68" s="2"/>
      <c r="J68" s="2"/>
      <c r="K68" s="2"/>
      <c r="L68" s="7"/>
      <c r="N68" s="7"/>
      <c r="T68" s="10"/>
    </row>
    <row r="69" spans="4:20" ht="13.9" customHeight="1">
      <c r="D69" s="2"/>
      <c r="E69" s="1"/>
      <c r="I69" s="2"/>
      <c r="J69" s="2"/>
      <c r="K69" s="2"/>
      <c r="L69" s="7"/>
      <c r="N69" s="7"/>
      <c r="T69" s="10"/>
    </row>
    <row r="70" spans="4:20" ht="13.9" customHeight="1">
      <c r="D70" s="2"/>
      <c r="E70" s="1"/>
      <c r="I70" s="2"/>
      <c r="J70" s="2"/>
      <c r="K70" s="2"/>
      <c r="L70" s="7"/>
      <c r="N70" s="7"/>
      <c r="T70" s="10"/>
    </row>
    <row r="71" spans="4:20" ht="13.9" customHeight="1">
      <c r="D71" s="2"/>
      <c r="E71" s="1"/>
      <c r="I71" s="2"/>
      <c r="J71" s="2"/>
      <c r="K71" s="2"/>
      <c r="L71" s="7"/>
      <c r="N71" s="7"/>
      <c r="T71" s="10"/>
    </row>
    <row r="72" spans="4:20" ht="13.9" customHeight="1">
      <c r="D72" s="2"/>
      <c r="E72" s="1"/>
      <c r="I72" s="2"/>
      <c r="J72" s="2"/>
      <c r="K72" s="2"/>
      <c r="L72" s="7"/>
      <c r="N72" s="7"/>
      <c r="T72" s="10"/>
    </row>
  </sheetData>
  <phoneticPr fontId="6" type="noConversion"/>
  <hyperlinks>
    <hyperlink ref="B7" r:id="rId1" xr:uid="{426F8A59-D0D3-4B06-A2F3-2FB148EA51C0}"/>
    <hyperlink ref="B37" r:id="rId2" xr:uid="{2D379C01-EB9C-4FC6-AE11-39C65785E045}"/>
    <hyperlink ref="B3" r:id="rId3" xr:uid="{BD385BD7-588E-48EF-B301-D5FB5D51DCEB}"/>
    <hyperlink ref="B10" r:id="rId4" xr:uid="{D832F864-5E10-448D-B5E6-A41747F24422}"/>
    <hyperlink ref="B39" r:id="rId5" xr:uid="{00568186-9937-41F0-A573-81F07A883F35}"/>
    <hyperlink ref="B31" r:id="rId6" xr:uid="{005180B3-25D4-4F2E-A649-03376394116A}"/>
    <hyperlink ref="B8" r:id="rId7" xr:uid="{B49CD5A4-3D0B-4623-BA9B-93008A472BB3}"/>
    <hyperlink ref="A1" r:id="rId8" xr:uid="{14843B6A-D4ED-40CD-92DC-B778E9D772AF}"/>
    <hyperlink ref="B4" r:id="rId9" xr:uid="{23F477A8-940C-46FE-A25D-976F6B17DD02}"/>
    <hyperlink ref="B13" r:id="rId10" xr:uid="{38E70E01-0597-4952-9867-18D192DA9C54}"/>
    <hyperlink ref="B46" r:id="rId11" xr:uid="{9C77A58C-9158-42FD-B668-10E6EF96443A}"/>
    <hyperlink ref="B47" r:id="rId12" xr:uid="{1F425790-89FE-4AA0-AB7A-5EFD8C3CED33}"/>
    <hyperlink ref="B24" r:id="rId13" xr:uid="{BF852F1D-304C-4230-82DC-C6786B6DA415}"/>
    <hyperlink ref="B22" r:id="rId14" xr:uid="{010BEE70-37BC-42D7-9E9B-4E02BCD3B475}"/>
    <hyperlink ref="B26" r:id="rId15" xr:uid="{439B3A6C-7B0C-4471-8D6A-FDA8B07D1783}"/>
    <hyperlink ref="B11" r:id="rId16" xr:uid="{D8AA4EA0-DDCB-4730-8E82-0963ABB4BEE7}"/>
    <hyperlink ref="B23" r:id="rId17" xr:uid="{FAD18B57-5BC9-4E9F-825B-5996C227DF7F}"/>
    <hyperlink ref="B25" r:id="rId18" xr:uid="{CA84541E-7421-47DE-B081-587FF4477B48}"/>
    <hyperlink ref="B14" r:id="rId19" xr:uid="{A0E07B2D-8641-47EF-A293-8759FE82D9C5}"/>
    <hyperlink ref="B6" r:id="rId20" xr:uid="{BEEC5C98-5FDE-4FC8-965F-3E188368E7A1}"/>
  </hyperlinks>
  <pageMargins left="0.7" right="0.7" top="0.75" bottom="0.75" header="0.3" footer="0.3"/>
  <drawing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335E-5AF5-4EBA-8439-3724F125383B}">
  <dimension ref="B2:C18"/>
  <sheetViews>
    <sheetView workbookViewId="0">
      <selection activeCell="C19" sqref="C19"/>
    </sheetView>
  </sheetViews>
  <sheetFormatPr defaultColWidth="9.140625" defaultRowHeight="14.25"/>
  <cols>
    <col min="1" max="1" width="3.140625" style="1" customWidth="1"/>
    <col min="2" max="16384" width="9.140625" style="1"/>
  </cols>
  <sheetData>
    <row r="2" spans="2:3" ht="15">
      <c r="B2" s="8" t="s">
        <v>186</v>
      </c>
    </row>
    <row r="3" spans="2:3" ht="15">
      <c r="C3" s="19" t="s">
        <v>180</v>
      </c>
    </row>
    <row r="5" spans="2:3" ht="15">
      <c r="B5" s="8" t="s">
        <v>187</v>
      </c>
    </row>
    <row r="6" spans="2:3" ht="15">
      <c r="C6" s="19" t="s">
        <v>181</v>
      </c>
    </row>
    <row r="8" spans="2:3" ht="15">
      <c r="B8" s="8" t="s">
        <v>185</v>
      </c>
    </row>
    <row r="9" spans="2:3" ht="15">
      <c r="C9" s="19" t="s">
        <v>184</v>
      </c>
    </row>
    <row r="11" spans="2:3" ht="15">
      <c r="B11" s="8" t="s">
        <v>182</v>
      </c>
    </row>
    <row r="12" spans="2:3" ht="15">
      <c r="C12" s="19" t="s">
        <v>183</v>
      </c>
    </row>
    <row r="14" spans="2:3" ht="15">
      <c r="B14" s="8" t="s">
        <v>209</v>
      </c>
    </row>
    <row r="15" spans="2:3" ht="15">
      <c r="C15" s="19" t="s">
        <v>210</v>
      </c>
    </row>
    <row r="17" spans="2:3" ht="15">
      <c r="B17" s="8" t="s">
        <v>215</v>
      </c>
    </row>
    <row r="18" spans="2:3" ht="15">
      <c r="C18" s="19" t="s">
        <v>216</v>
      </c>
    </row>
  </sheetData>
  <hyperlinks>
    <hyperlink ref="C15" r:id="rId1" xr:uid="{046ED9C3-873B-4AED-AE52-047C1304B4DD}"/>
    <hyperlink ref="C9" r:id="rId2" xr:uid="{D2FD62B7-4573-4442-9977-2BD24CFF6B7E}"/>
    <hyperlink ref="C12" r:id="rId3" xr:uid="{563CD342-7D9D-4EB2-9431-8AC68DDC8416}"/>
    <hyperlink ref="C6" r:id="rId4" xr:uid="{C72D53E4-C0D1-4C0C-A3F9-EEBBAF97E75C}"/>
    <hyperlink ref="C3" r:id="rId5" xr:uid="{F176ED36-3845-4CB0-812A-445F5B28AB77}"/>
    <hyperlink ref="C18" r:id="rId6" xr:uid="{F1F77E08-9E30-4775-A957-D5EC664FDF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Useful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2025-05-19T08:50:44Z</dcterms:modified>
</cp:coreProperties>
</file>