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User\OneDrive\Desktop\Equity Research\Models\Health Care\MedTech\"/>
    </mc:Choice>
  </mc:AlternateContent>
  <xr:revisionPtr revIDLastSave="0" documentId="13_ncr:1_{08935B7D-67C5-4BB8-8710-EB2903C4DAD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Main" sheetId="1" r:id="rId1"/>
    <sheet name="Model" sheetId="2" r:id="rId2"/>
    <sheet name="Notes | Quant Analysis" sheetId="3" r:id="rId3"/>
    <sheet name="Management" sheetId="6" r:id="rId4"/>
    <sheet name="M&amp;A" sheetId="8" r:id="rId5"/>
    <sheet name="Med-Devices" sheetId="7" r:id="rId6"/>
    <sheet name="Diagnostics" sheetId="5" r:id="rId7"/>
    <sheet name="Table Formatting" sheetId="4" r:id="rId8"/>
  </sheets>
  <externalReferences>
    <externalReference r:id="rId9"/>
  </externalReferenc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 1_18fab8e8-2f25-4e06-805d-489ea63cdb06" name="Table 1" connection="Query - Table 1"/>
          <x15:modelTable id="Table 2_36c7d0bc-9c40-41c9-89a4-2370663274cd" name="Table 2" connection="Query - Table 2"/>
          <x15:modelTable id="Table 3_f0828032-6610-4b76-b711-cf533e189414" name="Table 3" connection="Query - Table 3"/>
          <x15:modelTable id="Table 4_eb6e130a-f4a6-4a2e-a211-18546d5872a6" name="Table 4" connection="Query - Table 4"/>
          <x15:modelTable id="Table 5_7a02b51d-27b5-4e57-b052-04f6e2226366" name="Table 5" connection="Query - Table 5"/>
          <x15:modelTable id="Table 6_f28d0110-d6b6-4604-a340-07307dcacd10" name="Table 6" connection="Query - Table 6"/>
          <x15:modelTable id="Table 7_3b001883-588c-49b1-bc7e-da059a75e022" name="Table 7" connection="Query - Table 7"/>
          <x15:modelTable id="Table 8_6fc64f7f-3cb0-41ac-83e2-6c0b94c4e5b8" name="Table 8" connection="Query - Table 8"/>
          <x15:modelTable id="Table 9_0c68e384-c54c-4308-8e67-ced4b06b84c0" name="Table 9" connection="Query - Table 9"/>
          <x15:modelTable id="Table 10_c91a8275-3729-4a8e-84e9-1883b6b3d5db" name="Table 10" connection="Query - Table 10"/>
          <x15:modelTable id="Table 11_889b1f9e-3f2a-4c3a-851e-c264af8bc4d7" name="Table 11" connection="Query - Table 11"/>
          <x15:modelTable id="Table 12_c3ef3e9b-1540-471e-ad67-fd8cd63b1495" name="Table 12" connection="Query - Table 12"/>
          <x15:modelTable id="Table 13_94da5790-cd4d-4118-88d0-e76d54416bce" name="Table 13" connection="Query - Table 1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BT123" i="2"/>
  <c r="BT122" i="2"/>
  <c r="BT115" i="2"/>
  <c r="BT112" i="2"/>
  <c r="BT111" i="2"/>
  <c r="BT110" i="2"/>
  <c r="BT106" i="2"/>
  <c r="BT108" i="2" s="1"/>
  <c r="BT96" i="2"/>
  <c r="BT67" i="2"/>
  <c r="BT55" i="2"/>
  <c r="BT54" i="2"/>
  <c r="BT52" i="2"/>
  <c r="BT58" i="2" s="1"/>
  <c r="BT41" i="2"/>
  <c r="BT40" i="2"/>
  <c r="BT39" i="2"/>
  <c r="BT38" i="2"/>
  <c r="BT37" i="2"/>
  <c r="BT36" i="2"/>
  <c r="BT35" i="2"/>
  <c r="BT34" i="2"/>
  <c r="BT33" i="2"/>
  <c r="BT32" i="2"/>
  <c r="BT31" i="2"/>
  <c r="BT30" i="2"/>
  <c r="BT29" i="2"/>
  <c r="BT28" i="2"/>
  <c r="BT27" i="2"/>
  <c r="BT26" i="2"/>
  <c r="BT25" i="2"/>
  <c r="BT24" i="2"/>
  <c r="BT20" i="2"/>
  <c r="BT12" i="2"/>
  <c r="BT22" i="2" s="1"/>
  <c r="BT7" i="2"/>
  <c r="BT124" i="2" l="1"/>
  <c r="BT48" i="2"/>
  <c r="BT44" i="2"/>
  <c r="BT42" i="2"/>
  <c r="BT47" i="2"/>
  <c r="BT45" i="2"/>
  <c r="BT46" i="2"/>
  <c r="BT59" i="2"/>
  <c r="BT56" i="2"/>
  <c r="BT81" i="2" l="1"/>
  <c r="BT63" i="2"/>
  <c r="BT68" i="2" s="1"/>
  <c r="BT80" i="2"/>
  <c r="BT114" i="2"/>
  <c r="BT113" i="2"/>
  <c r="BT79" i="2" l="1"/>
  <c r="BT73" i="2" l="1"/>
  <c r="BT82" i="2"/>
  <c r="BT75" i="2" l="1"/>
  <c r="BT83" i="2"/>
  <c r="BT116" i="2" l="1"/>
  <c r="BT77" i="2"/>
  <c r="BT119" i="2"/>
  <c r="BT117" i="2"/>
  <c r="BT84" i="2"/>
  <c r="CS9" i="2" l="1"/>
  <c r="CT9" i="2" s="1"/>
  <c r="CU9" i="2" s="1"/>
  <c r="CV9" i="2" s="1"/>
  <c r="CW9" i="2" s="1"/>
  <c r="CX9" i="2" s="1"/>
  <c r="CY9" i="2" s="1"/>
  <c r="CZ9" i="2" s="1"/>
  <c r="CS8" i="2"/>
  <c r="CT8" i="2" s="1"/>
  <c r="CR14" i="2"/>
  <c r="CS14" i="2" s="1"/>
  <c r="CT14" i="2" s="1"/>
  <c r="CU14" i="2" s="1"/>
  <c r="CV14" i="2" s="1"/>
  <c r="CW14" i="2" s="1"/>
  <c r="CX14" i="2" s="1"/>
  <c r="CY14" i="2" s="1"/>
  <c r="CZ14" i="2" s="1"/>
  <c r="CR13" i="2"/>
  <c r="CS13" i="2" s="1"/>
  <c r="CT13" i="2" s="1"/>
  <c r="CR8" i="2"/>
  <c r="CR9" i="2"/>
  <c r="CR10" i="2"/>
  <c r="CS10" i="2" s="1"/>
  <c r="CT10" i="2" s="1"/>
  <c r="CU10" i="2" s="1"/>
  <c r="CV10" i="2" s="1"/>
  <c r="CW10" i="2" s="1"/>
  <c r="CX10" i="2" s="1"/>
  <c r="CY10" i="2" s="1"/>
  <c r="CZ10" i="2" s="1"/>
  <c r="CR11" i="2"/>
  <c r="CS11" i="2" s="1"/>
  <c r="CT11" i="2" s="1"/>
  <c r="CU11" i="2" s="1"/>
  <c r="CV11" i="2" s="1"/>
  <c r="CW11" i="2" s="1"/>
  <c r="CX11" i="2" s="1"/>
  <c r="CY11" i="2" s="1"/>
  <c r="CZ11" i="2" s="1"/>
  <c r="DA92" i="2"/>
  <c r="CT91" i="2"/>
  <c r="CS91" i="2"/>
  <c r="CQ86" i="2"/>
  <c r="BS123" i="2"/>
  <c r="BS124" i="2" s="1"/>
  <c r="BS122" i="2"/>
  <c r="BS115" i="2"/>
  <c r="BS112" i="2"/>
  <c r="BS111" i="2"/>
  <c r="BS110" i="2"/>
  <c r="BS106" i="2"/>
  <c r="BS108" i="2" s="1"/>
  <c r="BS96" i="2"/>
  <c r="BS67" i="2"/>
  <c r="BS55" i="2"/>
  <c r="BS54" i="2"/>
  <c r="BS52" i="2"/>
  <c r="BS59" i="2" s="1"/>
  <c r="BS41" i="2"/>
  <c r="BS39" i="2"/>
  <c r="BS38" i="2"/>
  <c r="BS37" i="2"/>
  <c r="BS36" i="2"/>
  <c r="BS35" i="2"/>
  <c r="BS34" i="2"/>
  <c r="BS33" i="2"/>
  <c r="BS31" i="2"/>
  <c r="BS30" i="2"/>
  <c r="BS29" i="2"/>
  <c r="BS28" i="2"/>
  <c r="BS26" i="2"/>
  <c r="BS25" i="2"/>
  <c r="BS24" i="2"/>
  <c r="BS20" i="2"/>
  <c r="BS40" i="2" s="1"/>
  <c r="BS12" i="2"/>
  <c r="BS32" i="2" s="1"/>
  <c r="BS7" i="2"/>
  <c r="BR121" i="2"/>
  <c r="BR120" i="2"/>
  <c r="BS22" i="2" l="1"/>
  <c r="BS46" i="2" s="1"/>
  <c r="CU8" i="2"/>
  <c r="CT12" i="2"/>
  <c r="CU13" i="2"/>
  <c r="CS12" i="2"/>
  <c r="BS27" i="2"/>
  <c r="BS56" i="2"/>
  <c r="BS58" i="2"/>
  <c r="C3" i="2" a="1"/>
  <c r="DA94" i="2"/>
  <c r="DA93" i="2"/>
  <c r="CV101" i="2"/>
  <c r="CV103" i="2" s="1"/>
  <c r="CV108" i="2"/>
  <c r="CQ121" i="2"/>
  <c r="CQ120" i="2"/>
  <c r="BS44" i="2" l="1"/>
  <c r="BS47" i="2"/>
  <c r="BS42" i="2"/>
  <c r="BS61" i="2"/>
  <c r="BS114" i="2" s="1"/>
  <c r="BS48" i="2"/>
  <c r="BS45" i="2"/>
  <c r="CU12" i="2"/>
  <c r="CV8" i="2"/>
  <c r="CV13" i="2"/>
  <c r="CQ107" i="2"/>
  <c r="CQ105" i="2"/>
  <c r="CQ104" i="2"/>
  <c r="CV97" i="2" s="1"/>
  <c r="CQ103" i="2"/>
  <c r="CQ102" i="2"/>
  <c r="CQ101" i="2"/>
  <c r="CQ100" i="2"/>
  <c r="CQ99" i="2"/>
  <c r="CQ98" i="2"/>
  <c r="CQ95" i="2"/>
  <c r="CQ94" i="2"/>
  <c r="CQ93" i="2"/>
  <c r="CQ92" i="2"/>
  <c r="CQ91" i="2"/>
  <c r="CQ90" i="2"/>
  <c r="CQ89" i="2"/>
  <c r="CQ88" i="2"/>
  <c r="CQ87" i="2"/>
  <c r="CQ76" i="2"/>
  <c r="CQ74" i="2"/>
  <c r="CQ72" i="2"/>
  <c r="CR72" i="2" s="1"/>
  <c r="CS72" i="2" s="1"/>
  <c r="CT72" i="2" s="1"/>
  <c r="CU72" i="2" s="1"/>
  <c r="CV72" i="2" s="1"/>
  <c r="CW72" i="2" s="1"/>
  <c r="CX72" i="2" s="1"/>
  <c r="CY72" i="2" s="1"/>
  <c r="CZ72" i="2" s="1"/>
  <c r="CQ71" i="2"/>
  <c r="CQ70" i="2"/>
  <c r="CQ69" i="2"/>
  <c r="CQ66" i="2"/>
  <c r="CQ65" i="2"/>
  <c r="CQ64" i="2"/>
  <c r="CQ62" i="2"/>
  <c r="CQ51" i="2"/>
  <c r="CQ50" i="2"/>
  <c r="CQ19" i="2"/>
  <c r="CQ18" i="2"/>
  <c r="CQ17" i="2"/>
  <c r="CQ16" i="2"/>
  <c r="CQ15" i="2"/>
  <c r="CQ14" i="2"/>
  <c r="CQ13" i="2"/>
  <c r="CQ11" i="2"/>
  <c r="CQ10" i="2"/>
  <c r="CQ9" i="2"/>
  <c r="CQ8" i="2"/>
  <c r="BR21" i="2"/>
  <c r="CQ21" i="2" s="1"/>
  <c r="BR6" i="2"/>
  <c r="CQ6" i="2" s="1"/>
  <c r="BR5" i="2"/>
  <c r="CQ5" i="2" s="1"/>
  <c r="BR4" i="2"/>
  <c r="CQ4" i="2" s="1"/>
  <c r="BR123" i="2"/>
  <c r="BR122" i="2"/>
  <c r="BR124" i="2" s="1"/>
  <c r="BR112" i="2"/>
  <c r="BR111" i="2"/>
  <c r="BR110" i="2"/>
  <c r="BR106" i="2"/>
  <c r="BR108" i="2" s="1"/>
  <c r="CQ108" i="2" s="1"/>
  <c r="BR96" i="2"/>
  <c r="CQ96" i="2" s="1"/>
  <c r="BR67" i="2"/>
  <c r="BR115" i="2"/>
  <c r="BR55" i="2"/>
  <c r="BR54" i="2"/>
  <c r="BR52" i="2"/>
  <c r="BR7" i="2"/>
  <c r="CR64" i="2"/>
  <c r="CS64" i="2" s="1"/>
  <c r="CT64" i="2" s="1"/>
  <c r="CU64" i="2" s="1"/>
  <c r="CV64" i="2" s="1"/>
  <c r="CW64" i="2" s="1"/>
  <c r="CX64" i="2" s="1"/>
  <c r="CY64" i="2" s="1"/>
  <c r="CZ64" i="2" s="1"/>
  <c r="CC61" i="2"/>
  <c r="CB61" i="2"/>
  <c r="CA61" i="2"/>
  <c r="BP115" i="2"/>
  <c r="BO115" i="2"/>
  <c r="BM115" i="2"/>
  <c r="BL115" i="2"/>
  <c r="BK115" i="2"/>
  <c r="BI115" i="2"/>
  <c r="BH115" i="2"/>
  <c r="BG115" i="2"/>
  <c r="BP112" i="2"/>
  <c r="BO112" i="2"/>
  <c r="BN112" i="2"/>
  <c r="BM112" i="2"/>
  <c r="BL112" i="2"/>
  <c r="BK112" i="2"/>
  <c r="BJ112" i="2"/>
  <c r="BI112" i="2"/>
  <c r="BH112" i="2"/>
  <c r="BG112" i="2"/>
  <c r="BF112" i="2"/>
  <c r="BP111" i="2"/>
  <c r="BO111" i="2"/>
  <c r="BN111" i="2"/>
  <c r="BM111" i="2"/>
  <c r="BL111" i="2"/>
  <c r="BK111" i="2"/>
  <c r="BJ111" i="2"/>
  <c r="BI111" i="2"/>
  <c r="BH111" i="2"/>
  <c r="BG111" i="2"/>
  <c r="BF111" i="2"/>
  <c r="BP110" i="2"/>
  <c r="BO110" i="2"/>
  <c r="BN110" i="2"/>
  <c r="BM110" i="2"/>
  <c r="BL110" i="2"/>
  <c r="BK110" i="2"/>
  <c r="BJ110" i="2"/>
  <c r="BI110" i="2"/>
  <c r="BH110" i="2"/>
  <c r="BG110" i="2"/>
  <c r="BF110" i="2"/>
  <c r="BQ115" i="2"/>
  <c r="BQ112" i="2"/>
  <c r="BQ110" i="2"/>
  <c r="BQ111" i="2"/>
  <c r="BS80" i="2" l="1"/>
  <c r="BS63" i="2"/>
  <c r="BS81" i="2"/>
  <c r="BS113" i="2"/>
  <c r="CW13" i="2"/>
  <c r="CW8" i="2"/>
  <c r="CV12" i="2"/>
  <c r="BS68" i="2"/>
  <c r="BS79" i="2"/>
  <c r="CQ112" i="2"/>
  <c r="CQ111" i="2"/>
  <c r="CQ106" i="2"/>
  <c r="CQ110" i="2"/>
  <c r="BR58" i="2"/>
  <c r="BR59" i="2"/>
  <c r="BR20" i="2"/>
  <c r="BR12" i="2"/>
  <c r="BF106" i="2"/>
  <c r="BF108" i="2" s="1"/>
  <c r="BF96" i="2"/>
  <c r="AX74" i="2"/>
  <c r="AX72" i="2"/>
  <c r="AX71" i="2"/>
  <c r="AX70" i="2"/>
  <c r="AX69" i="2"/>
  <c r="AX66" i="2"/>
  <c r="AX65" i="2"/>
  <c r="AX64" i="2"/>
  <c r="AX62" i="2"/>
  <c r="BN74" i="2"/>
  <c r="BF74" i="2"/>
  <c r="BB74" i="2"/>
  <c r="BB72" i="2"/>
  <c r="BB71" i="2"/>
  <c r="BB70" i="2"/>
  <c r="BB69" i="2"/>
  <c r="BB66" i="2"/>
  <c r="BB65" i="2"/>
  <c r="BB64" i="2"/>
  <c r="BB62" i="2"/>
  <c r="BF72" i="2"/>
  <c r="BF71" i="2"/>
  <c r="BF70" i="2"/>
  <c r="BF69" i="2"/>
  <c r="BF66" i="2"/>
  <c r="BF65" i="2"/>
  <c r="BF64" i="2"/>
  <c r="BF62" i="2"/>
  <c r="BF115" i="2" s="1"/>
  <c r="BJ74" i="2"/>
  <c r="BJ72" i="2"/>
  <c r="BJ71" i="2"/>
  <c r="BJ70" i="2"/>
  <c r="BJ69" i="2"/>
  <c r="BJ66" i="2"/>
  <c r="BJ65" i="2"/>
  <c r="BJ64" i="2"/>
  <c r="BJ62" i="2"/>
  <c r="BJ115" i="2" s="1"/>
  <c r="BN72" i="2"/>
  <c r="BN71" i="2"/>
  <c r="BN70" i="2"/>
  <c r="BN69" i="2"/>
  <c r="BN66" i="2"/>
  <c r="BN64" i="2"/>
  <c r="BN65" i="2"/>
  <c r="BN62" i="2"/>
  <c r="BN115" i="2" s="1"/>
  <c r="CX8" i="2" l="1"/>
  <c r="CW12" i="2"/>
  <c r="CX13" i="2"/>
  <c r="BS82" i="2"/>
  <c r="BS73" i="2"/>
  <c r="BR22" i="2"/>
  <c r="CP121" i="2"/>
  <c r="CO121" i="2"/>
  <c r="CN121" i="2"/>
  <c r="CM121" i="2"/>
  <c r="CL121" i="2"/>
  <c r="CK121" i="2"/>
  <c r="CJ121" i="2"/>
  <c r="CI121" i="2"/>
  <c r="CH121" i="2"/>
  <c r="CG121" i="2"/>
  <c r="CF121" i="2"/>
  <c r="CE121" i="2"/>
  <c r="CD121" i="2"/>
  <c r="CC121" i="2"/>
  <c r="CB121" i="2"/>
  <c r="CA121" i="2"/>
  <c r="CP120" i="2"/>
  <c r="CO120" i="2"/>
  <c r="CN120" i="2"/>
  <c r="CM120" i="2"/>
  <c r="CL120" i="2"/>
  <c r="CK120" i="2"/>
  <c r="CJ120" i="2"/>
  <c r="CI120" i="2"/>
  <c r="CH120" i="2"/>
  <c r="CG120" i="2"/>
  <c r="CF120" i="2"/>
  <c r="CE120" i="2"/>
  <c r="CD120" i="2"/>
  <c r="CC120" i="2"/>
  <c r="CB120" i="2"/>
  <c r="CA120" i="2"/>
  <c r="CN108" i="2"/>
  <c r="CP107" i="2"/>
  <c r="CO107" i="2"/>
  <c r="CN107" i="2"/>
  <c r="CN106" i="2"/>
  <c r="CP105" i="2"/>
  <c r="CO105" i="2"/>
  <c r="CN105" i="2"/>
  <c r="CP104" i="2"/>
  <c r="CO104" i="2"/>
  <c r="CN104" i="2"/>
  <c r="CP103" i="2"/>
  <c r="CO103" i="2"/>
  <c r="CN103" i="2"/>
  <c r="CP102" i="2"/>
  <c r="CO102" i="2"/>
  <c r="CN102" i="2"/>
  <c r="CP101" i="2"/>
  <c r="CO101" i="2"/>
  <c r="CN101" i="2"/>
  <c r="CP100" i="2"/>
  <c r="CO100" i="2"/>
  <c r="CN100" i="2"/>
  <c r="CP99" i="2"/>
  <c r="CO99" i="2"/>
  <c r="CN99" i="2"/>
  <c r="CP98" i="2"/>
  <c r="CO98" i="2"/>
  <c r="CN98" i="2"/>
  <c r="CN96" i="2"/>
  <c r="CP95" i="2"/>
  <c r="CO95" i="2"/>
  <c r="CN95" i="2"/>
  <c r="CP94" i="2"/>
  <c r="CO94" i="2"/>
  <c r="CN94" i="2"/>
  <c r="CP93" i="2"/>
  <c r="CO93" i="2"/>
  <c r="CN93" i="2"/>
  <c r="CP92" i="2"/>
  <c r="CO92" i="2"/>
  <c r="CN92" i="2"/>
  <c r="CP91" i="2"/>
  <c r="CO91" i="2"/>
  <c r="CN91" i="2"/>
  <c r="CP90" i="2"/>
  <c r="CO90" i="2"/>
  <c r="CN90" i="2"/>
  <c r="CP89" i="2"/>
  <c r="CO89" i="2"/>
  <c r="CN89" i="2"/>
  <c r="CP88" i="2"/>
  <c r="CO88" i="2"/>
  <c r="CN88" i="2"/>
  <c r="CP87" i="2"/>
  <c r="CO87" i="2"/>
  <c r="CN87" i="2"/>
  <c r="CK72" i="2"/>
  <c r="CJ72" i="2"/>
  <c r="CI72" i="2"/>
  <c r="CH72" i="2"/>
  <c r="CG72" i="2"/>
  <c r="CF72" i="2"/>
  <c r="CE72" i="2"/>
  <c r="CD72" i="2"/>
  <c r="CC72" i="2"/>
  <c r="CB72" i="2"/>
  <c r="CA72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CP76" i="2"/>
  <c r="CP123" i="2" s="1"/>
  <c r="CO76" i="2"/>
  <c r="CO123" i="2" s="1"/>
  <c r="CN76" i="2"/>
  <c r="CN123" i="2" s="1"/>
  <c r="CM76" i="2"/>
  <c r="CM123" i="2" s="1"/>
  <c r="CL76" i="2"/>
  <c r="CL123" i="2" s="1"/>
  <c r="CK76" i="2"/>
  <c r="CK123" i="2" s="1"/>
  <c r="CJ76" i="2"/>
  <c r="CJ123" i="2" s="1"/>
  <c r="CI76" i="2"/>
  <c r="CI123" i="2" s="1"/>
  <c r="CH76" i="2"/>
  <c r="CH123" i="2" s="1"/>
  <c r="CG76" i="2"/>
  <c r="CG123" i="2" s="1"/>
  <c r="CF76" i="2"/>
  <c r="CF123" i="2" s="1"/>
  <c r="CE76" i="2"/>
  <c r="CE123" i="2" s="1"/>
  <c r="CD76" i="2"/>
  <c r="CD123" i="2" s="1"/>
  <c r="CC76" i="2"/>
  <c r="CC123" i="2" s="1"/>
  <c r="CB76" i="2"/>
  <c r="CB123" i="2" s="1"/>
  <c r="CA76" i="2"/>
  <c r="CA123" i="2" s="1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CP72" i="2"/>
  <c r="CO72" i="2"/>
  <c r="CN72" i="2"/>
  <c r="CM72" i="2"/>
  <c r="CL72" i="2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CK67" i="2"/>
  <c r="CJ67" i="2"/>
  <c r="CI67" i="2"/>
  <c r="CH67" i="2"/>
  <c r="CG67" i="2"/>
  <c r="CF67" i="2"/>
  <c r="CE67" i="2"/>
  <c r="CD67" i="2"/>
  <c r="CC67" i="2"/>
  <c r="CB67" i="2"/>
  <c r="CA67" i="2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CP62" i="2"/>
  <c r="CP115" i="2" s="1"/>
  <c r="CO62" i="2"/>
  <c r="CO115" i="2" s="1"/>
  <c r="CN62" i="2"/>
  <c r="CN115" i="2" s="1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CY13" i="2" l="1"/>
  <c r="CY8" i="2"/>
  <c r="CX12" i="2"/>
  <c r="BS83" i="2"/>
  <c r="BS75" i="2"/>
  <c r="CQ115" i="2"/>
  <c r="BR44" i="2"/>
  <c r="BR45" i="2"/>
  <c r="BR48" i="2"/>
  <c r="BR46" i="2"/>
  <c r="BR47" i="2"/>
  <c r="BR61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BF21" i="2"/>
  <c r="CN21" i="2" s="1"/>
  <c r="BJ8" i="2"/>
  <c r="BJ6" i="2"/>
  <c r="BJ5" i="2"/>
  <c r="BJ21" i="2"/>
  <c r="CO21" i="2" s="1"/>
  <c r="BN21" i="2"/>
  <c r="AX21" i="2"/>
  <c r="CL21" i="2" s="1"/>
  <c r="AX19" i="2"/>
  <c r="CL19" i="2" s="1"/>
  <c r="AX18" i="2"/>
  <c r="CL18" i="2" s="1"/>
  <c r="AX17" i="2"/>
  <c r="CL17" i="2" s="1"/>
  <c r="AX16" i="2"/>
  <c r="CL16" i="2" s="1"/>
  <c r="AX15" i="2"/>
  <c r="AX14" i="2"/>
  <c r="AX13" i="2"/>
  <c r="AX11" i="2"/>
  <c r="AX10" i="2"/>
  <c r="AX9" i="2"/>
  <c r="AX8" i="2"/>
  <c r="AX6" i="2"/>
  <c r="AX5" i="2"/>
  <c r="AX4" i="2"/>
  <c r="BB21" i="2"/>
  <c r="CM21" i="2" s="1"/>
  <c r="BB19" i="2"/>
  <c r="CM19" i="2" s="1"/>
  <c r="CM39" i="2" s="1"/>
  <c r="BB18" i="2"/>
  <c r="CM18" i="2" s="1"/>
  <c r="CM38" i="2" s="1"/>
  <c r="BB17" i="2"/>
  <c r="CM17" i="2" s="1"/>
  <c r="BB16" i="2"/>
  <c r="BB15" i="2"/>
  <c r="CM15" i="2" s="1"/>
  <c r="BB14" i="2"/>
  <c r="BB13" i="2"/>
  <c r="BB11" i="2"/>
  <c r="BB10" i="2"/>
  <c r="BB9" i="2"/>
  <c r="BB8" i="2"/>
  <c r="BB6" i="2"/>
  <c r="BB5" i="2"/>
  <c r="BB4" i="2"/>
  <c r="BD4" i="2"/>
  <c r="BH24" i="2" s="1"/>
  <c r="BF19" i="2"/>
  <c r="CN19" i="2" s="1"/>
  <c r="BF18" i="2"/>
  <c r="CN18" i="2" s="1"/>
  <c r="CN38" i="2" s="1"/>
  <c r="BF17" i="2"/>
  <c r="CN17" i="2" s="1"/>
  <c r="CN37" i="2" s="1"/>
  <c r="BF16" i="2"/>
  <c r="CN16" i="2" s="1"/>
  <c r="BF15" i="2"/>
  <c r="BF14" i="2"/>
  <c r="BF13" i="2"/>
  <c r="BF11" i="2"/>
  <c r="BF10" i="2"/>
  <c r="BF9" i="2"/>
  <c r="BF8" i="2"/>
  <c r="BF6" i="2"/>
  <c r="BF5" i="2"/>
  <c r="BJ19" i="2"/>
  <c r="CO19" i="2" s="1"/>
  <c r="BJ18" i="2"/>
  <c r="BJ17" i="2"/>
  <c r="CO17" i="2" s="1"/>
  <c r="BJ16" i="2"/>
  <c r="CO16" i="2" s="1"/>
  <c r="BJ15" i="2"/>
  <c r="CO15" i="2" s="1"/>
  <c r="BJ14" i="2"/>
  <c r="BJ13" i="2"/>
  <c r="BJ11" i="2"/>
  <c r="BJ10" i="2"/>
  <c r="BJ9" i="2"/>
  <c r="BJ4" i="2"/>
  <c r="BN19" i="2"/>
  <c r="BR39" i="2" s="1"/>
  <c r="BN18" i="2"/>
  <c r="BN17" i="2"/>
  <c r="BN16" i="2"/>
  <c r="BN15" i="2"/>
  <c r="BR35" i="2" s="1"/>
  <c r="BN14" i="2"/>
  <c r="BR34" i="2" s="1"/>
  <c r="BN13" i="2"/>
  <c r="BR33" i="2" s="1"/>
  <c r="BN11" i="2"/>
  <c r="BR31" i="2" s="1"/>
  <c r="BN10" i="2"/>
  <c r="BR30" i="2" s="1"/>
  <c r="BN9" i="2"/>
  <c r="BR29" i="2" s="1"/>
  <c r="BN8" i="2"/>
  <c r="BR28" i="2" s="1"/>
  <c r="BN6" i="2"/>
  <c r="BR26" i="2" s="1"/>
  <c r="BN5" i="2"/>
  <c r="BR25" i="2" s="1"/>
  <c r="BN4" i="2"/>
  <c r="BR24" i="2" s="1"/>
  <c r="CP15" i="2"/>
  <c r="CP19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BP106" i="2"/>
  <c r="BP108" i="2" s="1"/>
  <c r="BO106" i="2"/>
  <c r="BO108" i="2" s="1"/>
  <c r="BN106" i="2"/>
  <c r="BM106" i="2"/>
  <c r="BM108" i="2" s="1"/>
  <c r="BL106" i="2"/>
  <c r="BL108" i="2" s="1"/>
  <c r="BK106" i="2"/>
  <c r="BK108" i="2" s="1"/>
  <c r="BJ106" i="2"/>
  <c r="BI106" i="2"/>
  <c r="BI108" i="2" s="1"/>
  <c r="BH106" i="2"/>
  <c r="BH108" i="2" s="1"/>
  <c r="BG106" i="2"/>
  <c r="BG108" i="2" s="1"/>
  <c r="BP96" i="2"/>
  <c r="BO96" i="2"/>
  <c r="BN96" i="2"/>
  <c r="CP96" i="2" s="1"/>
  <c r="BM96" i="2"/>
  <c r="BL96" i="2"/>
  <c r="BK96" i="2"/>
  <c r="BJ96" i="2"/>
  <c r="CO96" i="2" s="1"/>
  <c r="BI96" i="2"/>
  <c r="BH96" i="2"/>
  <c r="BG96" i="2"/>
  <c r="BQ96" i="2"/>
  <c r="BQ106" i="2"/>
  <c r="BQ108" i="2" s="1"/>
  <c r="BP123" i="2"/>
  <c r="BO123" i="2"/>
  <c r="BN123" i="2"/>
  <c r="BM123" i="2"/>
  <c r="BL123" i="2"/>
  <c r="BK123" i="2"/>
  <c r="BJ123" i="2"/>
  <c r="BI123" i="2"/>
  <c r="BH123" i="2"/>
  <c r="BG123" i="2"/>
  <c r="BF123" i="2"/>
  <c r="BE123" i="2"/>
  <c r="BD123" i="2"/>
  <c r="BC123" i="2"/>
  <c r="BB123" i="2"/>
  <c r="BA123" i="2"/>
  <c r="AZ123" i="2"/>
  <c r="AY123" i="2"/>
  <c r="AX123" i="2"/>
  <c r="AW123" i="2"/>
  <c r="AV123" i="2"/>
  <c r="AU123" i="2"/>
  <c r="AT123" i="2"/>
  <c r="AS123" i="2"/>
  <c r="AR123" i="2"/>
  <c r="AQ123" i="2"/>
  <c r="AP123" i="2"/>
  <c r="AO123" i="2"/>
  <c r="AN123" i="2"/>
  <c r="AM123" i="2"/>
  <c r="AL123" i="2"/>
  <c r="AK123" i="2"/>
  <c r="AJ123" i="2"/>
  <c r="AI123" i="2"/>
  <c r="AH123" i="2"/>
  <c r="AG123" i="2"/>
  <c r="AF123" i="2"/>
  <c r="AE123" i="2"/>
  <c r="AD123" i="2"/>
  <c r="AC123" i="2"/>
  <c r="AB123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BQ123" i="2"/>
  <c r="BP122" i="2"/>
  <c r="BO122" i="2"/>
  <c r="BN122" i="2"/>
  <c r="BM122" i="2"/>
  <c r="BL122" i="2"/>
  <c r="BK122" i="2"/>
  <c r="BJ122" i="2"/>
  <c r="BI122" i="2"/>
  <c r="BH122" i="2"/>
  <c r="BG122" i="2"/>
  <c r="BF122" i="2"/>
  <c r="BE122" i="2"/>
  <c r="BD122" i="2"/>
  <c r="BC122" i="2"/>
  <c r="BB122" i="2"/>
  <c r="BA122" i="2"/>
  <c r="AZ122" i="2"/>
  <c r="AY122" i="2"/>
  <c r="CM122" i="2" s="1"/>
  <c r="AX122" i="2"/>
  <c r="AW122" i="2"/>
  <c r="AV122" i="2"/>
  <c r="AU122" i="2"/>
  <c r="AT122" i="2"/>
  <c r="AS122" i="2"/>
  <c r="AR122" i="2"/>
  <c r="AQ122" i="2"/>
  <c r="CK122" i="2" s="1"/>
  <c r="AP122" i="2"/>
  <c r="AO122" i="2"/>
  <c r="AN122" i="2"/>
  <c r="AM122" i="2"/>
  <c r="AL122" i="2"/>
  <c r="AK122" i="2"/>
  <c r="AJ122" i="2"/>
  <c r="AI122" i="2"/>
  <c r="CI122" i="2" s="1"/>
  <c r="AH122" i="2"/>
  <c r="AG122" i="2"/>
  <c r="AF122" i="2"/>
  <c r="AE122" i="2"/>
  <c r="AD122" i="2"/>
  <c r="AC122" i="2"/>
  <c r="AB122" i="2"/>
  <c r="AA122" i="2"/>
  <c r="CG122" i="2" s="1"/>
  <c r="Z122" i="2"/>
  <c r="Y122" i="2"/>
  <c r="X122" i="2"/>
  <c r="W122" i="2"/>
  <c r="V122" i="2"/>
  <c r="U122" i="2"/>
  <c r="T122" i="2"/>
  <c r="S122" i="2"/>
  <c r="CE122" i="2" s="1"/>
  <c r="R122" i="2"/>
  <c r="Q122" i="2"/>
  <c r="P122" i="2"/>
  <c r="O122" i="2"/>
  <c r="N122" i="2"/>
  <c r="N124" i="2" s="1"/>
  <c r="M122" i="2"/>
  <c r="L122" i="2"/>
  <c r="K122" i="2"/>
  <c r="CC122" i="2" s="1"/>
  <c r="J122" i="2"/>
  <c r="I122" i="2"/>
  <c r="H122" i="2"/>
  <c r="G122" i="2"/>
  <c r="F122" i="2"/>
  <c r="F124" i="2" s="1"/>
  <c r="E122" i="2"/>
  <c r="D122" i="2"/>
  <c r="C122" i="2"/>
  <c r="CA122" i="2" s="1"/>
  <c r="BQ122" i="2"/>
  <c r="BQ55" i="2"/>
  <c r="BQ54" i="2"/>
  <c r="BQ52" i="2"/>
  <c r="BQ59" i="2" s="1"/>
  <c r="BP52" i="2"/>
  <c r="BP59" i="2" s="1"/>
  <c r="BO52" i="2"/>
  <c r="BN52" i="2"/>
  <c r="BM52" i="2"/>
  <c r="BL52" i="2"/>
  <c r="BL58" i="2" s="1"/>
  <c r="BK52" i="2"/>
  <c r="BJ52" i="2"/>
  <c r="BJ58" i="2" s="1"/>
  <c r="BI52" i="2"/>
  <c r="BI59" i="2" s="1"/>
  <c r="BH52" i="2"/>
  <c r="BH59" i="2" s="1"/>
  <c r="BG52" i="2"/>
  <c r="BG58" i="2" s="1"/>
  <c r="BF52" i="2"/>
  <c r="BE52" i="2"/>
  <c r="BE58" i="2" s="1"/>
  <c r="BD52" i="2"/>
  <c r="BD58" i="2" s="1"/>
  <c r="BC52" i="2"/>
  <c r="BC58" i="2" s="1"/>
  <c r="BB52" i="2"/>
  <c r="BA52" i="2"/>
  <c r="BA59" i="2" s="1"/>
  <c r="AZ52" i="2"/>
  <c r="AZ59" i="2" s="1"/>
  <c r="AY52" i="2"/>
  <c r="AY58" i="2" s="1"/>
  <c r="AX52" i="2"/>
  <c r="AX58" i="2" s="1"/>
  <c r="AW52" i="2"/>
  <c r="AV52" i="2"/>
  <c r="AV59" i="2" s="1"/>
  <c r="AU52" i="2"/>
  <c r="AU58" i="2" s="1"/>
  <c r="BQ41" i="2"/>
  <c r="BP41" i="2"/>
  <c r="BO41" i="2"/>
  <c r="BM41" i="2"/>
  <c r="BL41" i="2"/>
  <c r="BK41" i="2"/>
  <c r="BI41" i="2"/>
  <c r="BH41" i="2"/>
  <c r="BG41" i="2"/>
  <c r="BE41" i="2"/>
  <c r="BD41" i="2"/>
  <c r="BC41" i="2"/>
  <c r="BA41" i="2"/>
  <c r="AZ41" i="2"/>
  <c r="AY41" i="2"/>
  <c r="BQ39" i="2"/>
  <c r="BP39" i="2"/>
  <c r="BO39" i="2"/>
  <c r="BM39" i="2"/>
  <c r="BL39" i="2"/>
  <c r="BK39" i="2"/>
  <c r="BI39" i="2"/>
  <c r="BH39" i="2"/>
  <c r="BG39" i="2"/>
  <c r="BE39" i="2"/>
  <c r="BD39" i="2"/>
  <c r="BC39" i="2"/>
  <c r="BA39" i="2"/>
  <c r="AZ39" i="2"/>
  <c r="AY39" i="2"/>
  <c r="BQ38" i="2"/>
  <c r="BP38" i="2"/>
  <c r="BO38" i="2"/>
  <c r="BM38" i="2"/>
  <c r="BL38" i="2"/>
  <c r="BK38" i="2"/>
  <c r="BI38" i="2"/>
  <c r="BH38" i="2"/>
  <c r="BG38" i="2"/>
  <c r="BE38" i="2"/>
  <c r="BD38" i="2"/>
  <c r="BC38" i="2"/>
  <c r="BB38" i="2"/>
  <c r="BA38" i="2"/>
  <c r="AZ38" i="2"/>
  <c r="AY38" i="2"/>
  <c r="BQ37" i="2"/>
  <c r="BP37" i="2"/>
  <c r="BO37" i="2"/>
  <c r="BM37" i="2"/>
  <c r="BL37" i="2"/>
  <c r="BK37" i="2"/>
  <c r="BI37" i="2"/>
  <c r="BH37" i="2"/>
  <c r="BG37" i="2"/>
  <c r="BE37" i="2"/>
  <c r="BD37" i="2"/>
  <c r="BC37" i="2"/>
  <c r="BA37" i="2"/>
  <c r="AZ37" i="2"/>
  <c r="AY37" i="2"/>
  <c r="BQ36" i="2"/>
  <c r="BP36" i="2"/>
  <c r="BO36" i="2"/>
  <c r="BM36" i="2"/>
  <c r="BL36" i="2"/>
  <c r="BK36" i="2"/>
  <c r="BI36" i="2"/>
  <c r="BH36" i="2"/>
  <c r="BG36" i="2"/>
  <c r="BE36" i="2"/>
  <c r="BD36" i="2"/>
  <c r="BC36" i="2"/>
  <c r="BA36" i="2"/>
  <c r="AZ36" i="2"/>
  <c r="AY36" i="2"/>
  <c r="BQ35" i="2"/>
  <c r="BP35" i="2"/>
  <c r="BO35" i="2"/>
  <c r="BM35" i="2"/>
  <c r="BL35" i="2"/>
  <c r="BK35" i="2"/>
  <c r="BI35" i="2"/>
  <c r="BH35" i="2"/>
  <c r="BG35" i="2"/>
  <c r="BE35" i="2"/>
  <c r="BD35" i="2"/>
  <c r="BC35" i="2"/>
  <c r="BA35" i="2"/>
  <c r="AZ35" i="2"/>
  <c r="AY35" i="2"/>
  <c r="BQ34" i="2"/>
  <c r="BP34" i="2"/>
  <c r="BO34" i="2"/>
  <c r="BM34" i="2"/>
  <c r="BL34" i="2"/>
  <c r="BK34" i="2"/>
  <c r="BI34" i="2"/>
  <c r="BH34" i="2"/>
  <c r="BG34" i="2"/>
  <c r="BE34" i="2"/>
  <c r="BD34" i="2"/>
  <c r="BC34" i="2"/>
  <c r="BA34" i="2"/>
  <c r="AZ34" i="2"/>
  <c r="AY34" i="2"/>
  <c r="BQ33" i="2"/>
  <c r="BP33" i="2"/>
  <c r="BO33" i="2"/>
  <c r="BM33" i="2"/>
  <c r="BL33" i="2"/>
  <c r="BK33" i="2"/>
  <c r="BI33" i="2"/>
  <c r="BH33" i="2"/>
  <c r="BG33" i="2"/>
  <c r="BE33" i="2"/>
  <c r="BD33" i="2"/>
  <c r="BC33" i="2"/>
  <c r="BA33" i="2"/>
  <c r="AZ33" i="2"/>
  <c r="AY33" i="2"/>
  <c r="BQ31" i="2"/>
  <c r="BP31" i="2"/>
  <c r="BO31" i="2"/>
  <c r="BM31" i="2"/>
  <c r="BL31" i="2"/>
  <c r="BK31" i="2"/>
  <c r="BI31" i="2"/>
  <c r="BH31" i="2"/>
  <c r="BG31" i="2"/>
  <c r="BE31" i="2"/>
  <c r="BD31" i="2"/>
  <c r="BC31" i="2"/>
  <c r="BA31" i="2"/>
  <c r="AZ31" i="2"/>
  <c r="AY31" i="2"/>
  <c r="BQ30" i="2"/>
  <c r="BP30" i="2"/>
  <c r="BO30" i="2"/>
  <c r="BM30" i="2"/>
  <c r="BL30" i="2"/>
  <c r="BK30" i="2"/>
  <c r="BI30" i="2"/>
  <c r="BH30" i="2"/>
  <c r="BG30" i="2"/>
  <c r="BE30" i="2"/>
  <c r="BD30" i="2"/>
  <c r="BC30" i="2"/>
  <c r="BA30" i="2"/>
  <c r="AZ30" i="2"/>
  <c r="AY30" i="2"/>
  <c r="BQ29" i="2"/>
  <c r="BP29" i="2"/>
  <c r="BO29" i="2"/>
  <c r="BM29" i="2"/>
  <c r="BL29" i="2"/>
  <c r="BK29" i="2"/>
  <c r="BI29" i="2"/>
  <c r="BH29" i="2"/>
  <c r="BG29" i="2"/>
  <c r="BE29" i="2"/>
  <c r="BD29" i="2"/>
  <c r="BC29" i="2"/>
  <c r="BA29" i="2"/>
  <c r="AZ29" i="2"/>
  <c r="AY29" i="2"/>
  <c r="BQ28" i="2"/>
  <c r="BP28" i="2"/>
  <c r="BO28" i="2"/>
  <c r="BM28" i="2"/>
  <c r="BL28" i="2"/>
  <c r="BK28" i="2"/>
  <c r="BI28" i="2"/>
  <c r="BH28" i="2"/>
  <c r="BG28" i="2"/>
  <c r="BE28" i="2"/>
  <c r="BD28" i="2"/>
  <c r="BC28" i="2"/>
  <c r="BA28" i="2"/>
  <c r="AZ28" i="2"/>
  <c r="AY28" i="2"/>
  <c r="BQ26" i="2"/>
  <c r="BP26" i="2"/>
  <c r="BO26" i="2"/>
  <c r="BM26" i="2"/>
  <c r="BL26" i="2"/>
  <c r="BK26" i="2"/>
  <c r="BI26" i="2"/>
  <c r="BH26" i="2"/>
  <c r="BG26" i="2"/>
  <c r="BE26" i="2"/>
  <c r="BD26" i="2"/>
  <c r="BC26" i="2"/>
  <c r="BA26" i="2"/>
  <c r="AZ26" i="2"/>
  <c r="AY26" i="2"/>
  <c r="BQ25" i="2"/>
  <c r="BP25" i="2"/>
  <c r="BO25" i="2"/>
  <c r="BM25" i="2"/>
  <c r="BL25" i="2"/>
  <c r="BK25" i="2"/>
  <c r="BI25" i="2"/>
  <c r="BH25" i="2"/>
  <c r="BG25" i="2"/>
  <c r="BE25" i="2"/>
  <c r="BD25" i="2"/>
  <c r="BC25" i="2"/>
  <c r="BA25" i="2"/>
  <c r="AZ25" i="2"/>
  <c r="AY25" i="2"/>
  <c r="BP24" i="2"/>
  <c r="BO24" i="2"/>
  <c r="BM24" i="2"/>
  <c r="BL24" i="2"/>
  <c r="BK24" i="2"/>
  <c r="BI24" i="2"/>
  <c r="BG24" i="2"/>
  <c r="BE24" i="2"/>
  <c r="BC24" i="2"/>
  <c r="BA24" i="2"/>
  <c r="AZ24" i="2"/>
  <c r="AY24" i="2"/>
  <c r="BQ24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BQ67" i="2"/>
  <c r="BP20" i="2"/>
  <c r="BO20" i="2"/>
  <c r="BM20" i="2"/>
  <c r="BL20" i="2"/>
  <c r="BK20" i="2"/>
  <c r="BI20" i="2"/>
  <c r="BH20" i="2"/>
  <c r="BG20" i="2"/>
  <c r="BE20" i="2"/>
  <c r="BD20" i="2"/>
  <c r="BC20" i="2"/>
  <c r="BA20" i="2"/>
  <c r="AZ20" i="2"/>
  <c r="AY20" i="2"/>
  <c r="AW20" i="2"/>
  <c r="AV20" i="2"/>
  <c r="AU20" i="2"/>
  <c r="BP12" i="2"/>
  <c r="BO12" i="2"/>
  <c r="BM12" i="2"/>
  <c r="BL12" i="2"/>
  <c r="BK12" i="2"/>
  <c r="BI12" i="2"/>
  <c r="BH12" i="2"/>
  <c r="BG12" i="2"/>
  <c r="BE12" i="2"/>
  <c r="BD12" i="2"/>
  <c r="BC12" i="2"/>
  <c r="BA12" i="2"/>
  <c r="AZ12" i="2"/>
  <c r="AY12" i="2"/>
  <c r="AW12" i="2"/>
  <c r="AV12" i="2"/>
  <c r="AU12" i="2"/>
  <c r="BP7" i="2"/>
  <c r="BO7" i="2"/>
  <c r="BM7" i="2"/>
  <c r="BL7" i="2"/>
  <c r="BK7" i="2"/>
  <c r="BI7" i="2"/>
  <c r="BH7" i="2"/>
  <c r="BG7" i="2"/>
  <c r="BE7" i="2"/>
  <c r="BD7" i="2"/>
  <c r="BC7" i="2"/>
  <c r="BA7" i="2"/>
  <c r="AZ7" i="2"/>
  <c r="AY7" i="2"/>
  <c r="AW7" i="2"/>
  <c r="AV7" i="2"/>
  <c r="AU7" i="2"/>
  <c r="BQ20" i="2"/>
  <c r="BQ12" i="2"/>
  <c r="BQ7" i="2"/>
  <c r="CZ8" i="2" l="1"/>
  <c r="CZ12" i="2" s="1"/>
  <c r="CY12" i="2"/>
  <c r="CZ13" i="2"/>
  <c r="BS116" i="2"/>
  <c r="BS119" i="2"/>
  <c r="BS77" i="2"/>
  <c r="BS117" i="2"/>
  <c r="BS84" i="2"/>
  <c r="CO122" i="2"/>
  <c r="CQ7" i="2"/>
  <c r="CQ20" i="2"/>
  <c r="CP18" i="2"/>
  <c r="BR38" i="2"/>
  <c r="CP21" i="2"/>
  <c r="BR41" i="2"/>
  <c r="CQ122" i="2"/>
  <c r="BN58" i="2"/>
  <c r="BR56" i="2"/>
  <c r="CO39" i="2"/>
  <c r="CQ52" i="2"/>
  <c r="BB124" i="2"/>
  <c r="CQ123" i="2"/>
  <c r="CP16" i="2"/>
  <c r="BR36" i="2"/>
  <c r="CQ12" i="2"/>
  <c r="CQ67" i="2"/>
  <c r="CB122" i="2"/>
  <c r="CD122" i="2"/>
  <c r="CN122" i="2"/>
  <c r="CP17" i="2"/>
  <c r="BR37" i="2"/>
  <c r="BR113" i="2"/>
  <c r="BR114" i="2"/>
  <c r="BR63" i="2"/>
  <c r="BR80" i="2"/>
  <c r="BR81" i="2"/>
  <c r="BR68" i="2"/>
  <c r="BR79" i="2"/>
  <c r="W79" i="2"/>
  <c r="W68" i="2"/>
  <c r="X79" i="2"/>
  <c r="X68" i="2"/>
  <c r="F79" i="2"/>
  <c r="F68" i="2"/>
  <c r="V68" i="2"/>
  <c r="V79" i="2"/>
  <c r="AD79" i="2"/>
  <c r="AD68" i="2"/>
  <c r="AL79" i="2"/>
  <c r="AL68" i="2"/>
  <c r="AT79" i="2"/>
  <c r="AT68" i="2"/>
  <c r="CJ63" i="2"/>
  <c r="AM79" i="2"/>
  <c r="AM68" i="2"/>
  <c r="H79" i="2"/>
  <c r="H68" i="2"/>
  <c r="BN31" i="2"/>
  <c r="I79" i="2"/>
  <c r="I68" i="2"/>
  <c r="Q79" i="2"/>
  <c r="Q68" i="2"/>
  <c r="AG68" i="2"/>
  <c r="AG79" i="2"/>
  <c r="AO79" i="2"/>
  <c r="AO68" i="2"/>
  <c r="CH63" i="2"/>
  <c r="AE79" i="2"/>
  <c r="AE68" i="2"/>
  <c r="P79" i="2"/>
  <c r="P68" i="2"/>
  <c r="AN79" i="2"/>
  <c r="AN68" i="2"/>
  <c r="CM37" i="2"/>
  <c r="J79" i="2"/>
  <c r="J68" i="2"/>
  <c r="R79" i="2"/>
  <c r="R68" i="2"/>
  <c r="Z79" i="2"/>
  <c r="Z68" i="2"/>
  <c r="AH79" i="2"/>
  <c r="AH68" i="2"/>
  <c r="AP79" i="2"/>
  <c r="AP68" i="2"/>
  <c r="AF68" i="2"/>
  <c r="AF79" i="2"/>
  <c r="CF122" i="2"/>
  <c r="CH122" i="2"/>
  <c r="CJ122" i="2"/>
  <c r="CL122" i="2"/>
  <c r="CP122" i="2"/>
  <c r="CA63" i="2"/>
  <c r="C79" i="2"/>
  <c r="C68" i="2"/>
  <c r="K79" i="2"/>
  <c r="K68" i="2"/>
  <c r="CE63" i="2"/>
  <c r="S79" i="2"/>
  <c r="S68" i="2"/>
  <c r="CG63" i="2"/>
  <c r="AA79" i="2"/>
  <c r="AA68" i="2"/>
  <c r="CI63" i="2"/>
  <c r="AI79" i="2"/>
  <c r="AI68" i="2"/>
  <c r="CK63" i="2"/>
  <c r="AQ79" i="2"/>
  <c r="AQ68" i="2"/>
  <c r="CD63" i="2"/>
  <c r="O68" i="2"/>
  <c r="O79" i="2"/>
  <c r="D79" i="2"/>
  <c r="D68" i="2"/>
  <c r="L79" i="2"/>
  <c r="L68" i="2"/>
  <c r="T79" i="2"/>
  <c r="T68" i="2"/>
  <c r="AB79" i="2"/>
  <c r="AB68" i="2"/>
  <c r="AJ79" i="2"/>
  <c r="AJ68" i="2"/>
  <c r="AR79" i="2"/>
  <c r="AR68" i="2"/>
  <c r="CB63" i="2"/>
  <c r="G68" i="2"/>
  <c r="G79" i="2"/>
  <c r="E68" i="2"/>
  <c r="E79" i="2"/>
  <c r="M79" i="2"/>
  <c r="M68" i="2"/>
  <c r="U79" i="2"/>
  <c r="U68" i="2"/>
  <c r="AC79" i="2"/>
  <c r="AC68" i="2"/>
  <c r="AK79" i="2"/>
  <c r="AK68" i="2"/>
  <c r="AS79" i="2"/>
  <c r="AS68" i="2"/>
  <c r="BJ108" i="2"/>
  <c r="CO108" i="2" s="1"/>
  <c r="CO106" i="2"/>
  <c r="BN108" i="2"/>
  <c r="CP108" i="2" s="1"/>
  <c r="CP106" i="2"/>
  <c r="AL124" i="2"/>
  <c r="AK124" i="2"/>
  <c r="V124" i="2"/>
  <c r="AT124" i="2"/>
  <c r="CF63" i="2"/>
  <c r="Y79" i="2"/>
  <c r="Y68" i="2"/>
  <c r="N79" i="2"/>
  <c r="N68" i="2"/>
  <c r="CC63" i="2"/>
  <c r="CL67" i="2"/>
  <c r="CN67" i="2"/>
  <c r="CP67" i="2"/>
  <c r="BN26" i="2"/>
  <c r="CP36" i="2"/>
  <c r="CR16" i="2"/>
  <c r="CS16" i="2" s="1"/>
  <c r="CN41" i="2"/>
  <c r="CP37" i="2"/>
  <c r="CR17" i="2"/>
  <c r="CS17" i="2" s="1"/>
  <c r="CT17" i="2" s="1"/>
  <c r="CU17" i="2" s="1"/>
  <c r="CV17" i="2" s="1"/>
  <c r="CW17" i="2" s="1"/>
  <c r="CX17" i="2" s="1"/>
  <c r="CY17" i="2" s="1"/>
  <c r="CZ17" i="2" s="1"/>
  <c r="CR18" i="2"/>
  <c r="CS18" i="2" s="1"/>
  <c r="CT18" i="2" s="1"/>
  <c r="CU18" i="2" s="1"/>
  <c r="CV18" i="2" s="1"/>
  <c r="CW18" i="2" s="1"/>
  <c r="CX18" i="2" s="1"/>
  <c r="CY18" i="2" s="1"/>
  <c r="CZ18" i="2" s="1"/>
  <c r="BQ124" i="2"/>
  <c r="CO36" i="2"/>
  <c r="BF30" i="2"/>
  <c r="CN39" i="2"/>
  <c r="CM41" i="2"/>
  <c r="CR21" i="2"/>
  <c r="CS21" i="2" s="1"/>
  <c r="CT21" i="2" s="1"/>
  <c r="CU21" i="2" s="1"/>
  <c r="CV21" i="2" s="1"/>
  <c r="CW21" i="2" s="1"/>
  <c r="CX21" i="2" s="1"/>
  <c r="CY21" i="2" s="1"/>
  <c r="CZ21" i="2" s="1"/>
  <c r="CP41" i="2"/>
  <c r="CR15" i="2"/>
  <c r="CS15" i="2" s="1"/>
  <c r="CT15" i="2" s="1"/>
  <c r="CU15" i="2" s="1"/>
  <c r="CV15" i="2" s="1"/>
  <c r="CW15" i="2" s="1"/>
  <c r="CX15" i="2" s="1"/>
  <c r="CY15" i="2" s="1"/>
  <c r="CZ15" i="2" s="1"/>
  <c r="CP35" i="2"/>
  <c r="CM67" i="2"/>
  <c r="CO67" i="2"/>
  <c r="CR19" i="2"/>
  <c r="CS19" i="2" s="1"/>
  <c r="CT19" i="2" s="1"/>
  <c r="CU19" i="2" s="1"/>
  <c r="CV19" i="2" s="1"/>
  <c r="CW19" i="2" s="1"/>
  <c r="CX19" i="2" s="1"/>
  <c r="CY19" i="2" s="1"/>
  <c r="CZ19" i="2" s="1"/>
  <c r="CP39" i="2"/>
  <c r="CO37" i="2"/>
  <c r="CO41" i="2"/>
  <c r="BN20" i="2"/>
  <c r="BD24" i="2"/>
  <c r="BN25" i="2"/>
  <c r="BF4" i="2"/>
  <c r="BB7" i="2"/>
  <c r="CM7" i="2" s="1"/>
  <c r="AY59" i="2"/>
  <c r="D124" i="2"/>
  <c r="L124" i="2"/>
  <c r="BK56" i="2"/>
  <c r="BN7" i="2"/>
  <c r="E124" i="2"/>
  <c r="BI58" i="2"/>
  <c r="BN24" i="2"/>
  <c r="BB29" i="2"/>
  <c r="I124" i="2"/>
  <c r="Q124" i="2"/>
  <c r="Y124" i="2"/>
  <c r="AG124" i="2"/>
  <c r="AO124" i="2"/>
  <c r="AW124" i="2"/>
  <c r="BE124" i="2"/>
  <c r="BP58" i="2"/>
  <c r="BG59" i="2"/>
  <c r="BN29" i="2"/>
  <c r="BF31" i="2"/>
  <c r="BN59" i="2"/>
  <c r="BN56" i="2"/>
  <c r="BJ59" i="2"/>
  <c r="BJ56" i="2"/>
  <c r="BF56" i="2"/>
  <c r="BF58" i="2"/>
  <c r="BF59" i="2"/>
  <c r="BB58" i="2"/>
  <c r="BB59" i="2"/>
  <c r="BB56" i="2"/>
  <c r="AX59" i="2"/>
  <c r="AW58" i="2"/>
  <c r="AW59" i="2"/>
  <c r="AV58" i="2"/>
  <c r="AU59" i="2"/>
  <c r="BN41" i="2"/>
  <c r="AY56" i="2"/>
  <c r="BC56" i="2"/>
  <c r="BC59" i="2"/>
  <c r="BG56" i="2"/>
  <c r="AZ58" i="2"/>
  <c r="BD56" i="2"/>
  <c r="AZ56" i="2"/>
  <c r="BA56" i="2"/>
  <c r="BA58" i="2"/>
  <c r="BD59" i="2"/>
  <c r="BH58" i="2"/>
  <c r="BH56" i="2"/>
  <c r="BE59" i="2"/>
  <c r="BE56" i="2"/>
  <c r="BI56" i="2"/>
  <c r="BM56" i="2"/>
  <c r="BK59" i="2"/>
  <c r="BO56" i="2"/>
  <c r="BK58" i="2"/>
  <c r="BO58" i="2"/>
  <c r="BO59" i="2"/>
  <c r="BL56" i="2"/>
  <c r="BL59" i="2"/>
  <c r="BP56" i="2"/>
  <c r="BM58" i="2"/>
  <c r="BM59" i="2"/>
  <c r="BB35" i="2"/>
  <c r="BB30" i="2"/>
  <c r="BB26" i="2"/>
  <c r="BB25" i="2"/>
  <c r="BB36" i="2"/>
  <c r="CL15" i="2"/>
  <c r="CM35" i="2" s="1"/>
  <c r="CM16" i="2"/>
  <c r="CM36" i="2" s="1"/>
  <c r="BB31" i="2"/>
  <c r="BB41" i="2"/>
  <c r="AX20" i="2"/>
  <c r="CL20" i="2" s="1"/>
  <c r="AX12" i="2"/>
  <c r="BB28" i="2"/>
  <c r="BF41" i="2"/>
  <c r="BB39" i="2"/>
  <c r="BB37" i="2"/>
  <c r="BB12" i="2"/>
  <c r="AX7" i="2"/>
  <c r="CL7" i="2" s="1"/>
  <c r="BF29" i="2"/>
  <c r="BF26" i="2"/>
  <c r="BF7" i="2"/>
  <c r="BF27" i="2" s="1"/>
  <c r="BN37" i="2"/>
  <c r="BN35" i="2"/>
  <c r="BJ31" i="2"/>
  <c r="BJ25" i="2"/>
  <c r="BJ30" i="2"/>
  <c r="BF12" i="2"/>
  <c r="BN39" i="2"/>
  <c r="BJ35" i="2"/>
  <c r="BN30" i="2"/>
  <c r="BJ7" i="2"/>
  <c r="CO7" i="2" s="1"/>
  <c r="BJ38" i="2"/>
  <c r="BF38" i="2"/>
  <c r="BJ37" i="2"/>
  <c r="CN15" i="2"/>
  <c r="CN35" i="2" s="1"/>
  <c r="BF35" i="2"/>
  <c r="BJ29" i="2"/>
  <c r="BJ26" i="2"/>
  <c r="BJ41" i="2"/>
  <c r="BJ39" i="2"/>
  <c r="BN38" i="2"/>
  <c r="CO18" i="2"/>
  <c r="CO38" i="2" s="1"/>
  <c r="BJ36" i="2"/>
  <c r="BJ12" i="2"/>
  <c r="BJ28" i="2"/>
  <c r="BF39" i="2"/>
  <c r="BF20" i="2"/>
  <c r="CN20" i="2" s="1"/>
  <c r="BB33" i="2"/>
  <c r="BB34" i="2"/>
  <c r="BB20" i="2"/>
  <c r="CM20" i="2" s="1"/>
  <c r="BF33" i="2"/>
  <c r="BF34" i="2"/>
  <c r="BF36" i="2"/>
  <c r="BF37" i="2"/>
  <c r="BF28" i="2"/>
  <c r="BB24" i="2"/>
  <c r="BF24" i="2"/>
  <c r="BF25" i="2"/>
  <c r="BJ33" i="2"/>
  <c r="BJ34" i="2"/>
  <c r="BJ24" i="2"/>
  <c r="BJ20" i="2"/>
  <c r="CO20" i="2" s="1"/>
  <c r="BN34" i="2"/>
  <c r="BN28" i="2"/>
  <c r="BN33" i="2"/>
  <c r="BN36" i="2"/>
  <c r="BN12" i="2"/>
  <c r="BR32" i="2" s="1"/>
  <c r="G124" i="2"/>
  <c r="O124" i="2"/>
  <c r="W124" i="2"/>
  <c r="AE124" i="2"/>
  <c r="AM124" i="2"/>
  <c r="AU124" i="2"/>
  <c r="BC124" i="2"/>
  <c r="BK124" i="2"/>
  <c r="BE27" i="2"/>
  <c r="BG32" i="2"/>
  <c r="BM124" i="2"/>
  <c r="BM32" i="2"/>
  <c r="C124" i="2"/>
  <c r="K124" i="2"/>
  <c r="S124" i="2"/>
  <c r="AA124" i="2"/>
  <c r="AI124" i="2"/>
  <c r="AQ124" i="2"/>
  <c r="AY124" i="2"/>
  <c r="BG124" i="2"/>
  <c r="BO124" i="2"/>
  <c r="BP32" i="2"/>
  <c r="M124" i="2"/>
  <c r="U124" i="2"/>
  <c r="AC124" i="2"/>
  <c r="AS124" i="2"/>
  <c r="BA124" i="2"/>
  <c r="BI124" i="2"/>
  <c r="AD124" i="2"/>
  <c r="BJ124" i="2"/>
  <c r="H124" i="2"/>
  <c r="P124" i="2"/>
  <c r="X124" i="2"/>
  <c r="AF124" i="2"/>
  <c r="AN124" i="2"/>
  <c r="AV124" i="2"/>
  <c r="BD124" i="2"/>
  <c r="BL124" i="2"/>
  <c r="J124" i="2"/>
  <c r="R124" i="2"/>
  <c r="Z124" i="2"/>
  <c r="AH124" i="2"/>
  <c r="AP124" i="2"/>
  <c r="AX124" i="2"/>
  <c r="BF124" i="2"/>
  <c r="BN124" i="2"/>
  <c r="BI40" i="2"/>
  <c r="BM40" i="2"/>
  <c r="T124" i="2"/>
  <c r="AB124" i="2"/>
  <c r="AJ124" i="2"/>
  <c r="AR124" i="2"/>
  <c r="AZ124" i="2"/>
  <c r="BH124" i="2"/>
  <c r="BP124" i="2"/>
  <c r="BQ56" i="2"/>
  <c r="BO32" i="2"/>
  <c r="BQ58" i="2"/>
  <c r="BM27" i="2"/>
  <c r="AY32" i="2"/>
  <c r="BA40" i="2"/>
  <c r="AY27" i="2"/>
  <c r="BG27" i="2"/>
  <c r="BO27" i="2"/>
  <c r="BA32" i="2"/>
  <c r="BI32" i="2"/>
  <c r="BC40" i="2"/>
  <c r="BK40" i="2"/>
  <c r="AZ32" i="2"/>
  <c r="AZ27" i="2"/>
  <c r="BH27" i="2"/>
  <c r="BP27" i="2"/>
  <c r="BD40" i="2"/>
  <c r="BL40" i="2"/>
  <c r="BH32" i="2"/>
  <c r="BA27" i="2"/>
  <c r="BI27" i="2"/>
  <c r="BC32" i="2"/>
  <c r="BK32" i="2"/>
  <c r="BE40" i="2"/>
  <c r="BD32" i="2"/>
  <c r="BL32" i="2"/>
  <c r="BO40" i="2"/>
  <c r="BC27" i="2"/>
  <c r="BK27" i="2"/>
  <c r="BE32" i="2"/>
  <c r="AY40" i="2"/>
  <c r="BG40" i="2"/>
  <c r="BP40" i="2"/>
  <c r="BD27" i="2"/>
  <c r="BL27" i="2"/>
  <c r="AZ40" i="2"/>
  <c r="BH40" i="2"/>
  <c r="BQ40" i="2"/>
  <c r="BQ32" i="2"/>
  <c r="BQ27" i="2"/>
  <c r="AZ22" i="2"/>
  <c r="AY22" i="2"/>
  <c r="BG22" i="2"/>
  <c r="BO22" i="2"/>
  <c r="BH22" i="2"/>
  <c r="BP22" i="2"/>
  <c r="AU22" i="2"/>
  <c r="BC22" i="2"/>
  <c r="BK22" i="2"/>
  <c r="AV22" i="2"/>
  <c r="BD22" i="2"/>
  <c r="BL22" i="2"/>
  <c r="BA22" i="2"/>
  <c r="BI22" i="2"/>
  <c r="AW22" i="2"/>
  <c r="BE22" i="2"/>
  <c r="BM22" i="2"/>
  <c r="BQ22" i="2"/>
  <c r="CT16" i="2" l="1"/>
  <c r="CS20" i="2"/>
  <c r="CB124" i="2"/>
  <c r="CA124" i="2"/>
  <c r="CQ124" i="2"/>
  <c r="CJ124" i="2"/>
  <c r="CP7" i="2"/>
  <c r="BR27" i="2"/>
  <c r="CQ59" i="2"/>
  <c r="CQ58" i="2"/>
  <c r="CQ22" i="2"/>
  <c r="CO124" i="2"/>
  <c r="CH124" i="2"/>
  <c r="CP20" i="2"/>
  <c r="BR40" i="2"/>
  <c r="CQ47" i="2"/>
  <c r="BR73" i="2"/>
  <c r="BR82" i="2"/>
  <c r="AC82" i="2"/>
  <c r="AC73" i="2"/>
  <c r="O82" i="2"/>
  <c r="O73" i="2"/>
  <c r="AA82" i="2"/>
  <c r="AA73" i="2"/>
  <c r="CG68" i="2"/>
  <c r="C73" i="2"/>
  <c r="C82" i="2"/>
  <c r="R82" i="2"/>
  <c r="R73" i="2"/>
  <c r="Q82" i="2"/>
  <c r="Q73" i="2"/>
  <c r="CH68" i="2"/>
  <c r="AF82" i="2"/>
  <c r="AF73" i="2"/>
  <c r="AT82" i="2"/>
  <c r="AT73" i="2"/>
  <c r="CK124" i="2"/>
  <c r="CD124" i="2"/>
  <c r="CP38" i="2"/>
  <c r="AR82" i="2"/>
  <c r="AR73" i="2"/>
  <c r="L73" i="2"/>
  <c r="L82" i="2"/>
  <c r="S82" i="2"/>
  <c r="S73" i="2"/>
  <c r="T82" i="2"/>
  <c r="T73" i="2"/>
  <c r="CF124" i="2"/>
  <c r="CE68" i="2"/>
  <c r="U82" i="2"/>
  <c r="U73" i="2"/>
  <c r="AQ82" i="2"/>
  <c r="AQ73" i="2"/>
  <c r="AP82" i="2"/>
  <c r="AP73" i="2"/>
  <c r="I82" i="2"/>
  <c r="I73" i="2"/>
  <c r="CI124" i="2"/>
  <c r="CK68" i="2"/>
  <c r="AS82" i="2"/>
  <c r="AS73" i="2"/>
  <c r="M82" i="2"/>
  <c r="M73" i="2"/>
  <c r="AH82" i="2"/>
  <c r="AH73" i="2"/>
  <c r="AO82" i="2"/>
  <c r="AO73" i="2"/>
  <c r="AL73" i="2"/>
  <c r="AL82" i="2"/>
  <c r="X82" i="2"/>
  <c r="X73" i="2"/>
  <c r="CM124" i="2"/>
  <c r="CP124" i="2"/>
  <c r="AJ82" i="2"/>
  <c r="AJ73" i="2"/>
  <c r="D73" i="2"/>
  <c r="D82" i="2"/>
  <c r="AI82" i="2"/>
  <c r="AI73" i="2"/>
  <c r="AN82" i="2"/>
  <c r="AN73" i="2"/>
  <c r="H82" i="2"/>
  <c r="H73" i="2"/>
  <c r="V82" i="2"/>
  <c r="V73" i="2"/>
  <c r="F82" i="2"/>
  <c r="F73" i="2"/>
  <c r="CG124" i="2"/>
  <c r="CE124" i="2"/>
  <c r="CN124" i="2"/>
  <c r="CI68" i="2"/>
  <c r="AK82" i="2"/>
  <c r="AK73" i="2"/>
  <c r="K73" i="2"/>
  <c r="K82" i="2"/>
  <c r="Z82" i="2"/>
  <c r="Z73" i="2"/>
  <c r="AD73" i="2"/>
  <c r="AD82" i="2"/>
  <c r="W82" i="2"/>
  <c r="W73" i="2"/>
  <c r="CB68" i="2"/>
  <c r="G82" i="2"/>
  <c r="G73" i="2"/>
  <c r="AE82" i="2"/>
  <c r="AE73" i="2"/>
  <c r="J82" i="2"/>
  <c r="J73" i="2"/>
  <c r="CC124" i="2"/>
  <c r="CL124" i="2"/>
  <c r="CA68" i="2"/>
  <c r="E82" i="2"/>
  <c r="E73" i="2"/>
  <c r="AB82" i="2"/>
  <c r="AB73" i="2"/>
  <c r="CD68" i="2"/>
  <c r="P82" i="2"/>
  <c r="P73" i="2"/>
  <c r="AG82" i="2"/>
  <c r="AG73" i="2"/>
  <c r="CJ68" i="2"/>
  <c r="AM82" i="2"/>
  <c r="AM73" i="2"/>
  <c r="Y82" i="2"/>
  <c r="Y73" i="2"/>
  <c r="CF68" i="2"/>
  <c r="N82" i="2"/>
  <c r="N73" i="2"/>
  <c r="CC68" i="2"/>
  <c r="CM27" i="2"/>
  <c r="CP40" i="2"/>
  <c r="CP27" i="2"/>
  <c r="BN22" i="2"/>
  <c r="CM40" i="2"/>
  <c r="CN7" i="2"/>
  <c r="CO35" i="2"/>
  <c r="CO40" i="2"/>
  <c r="CN40" i="2"/>
  <c r="CN36" i="2"/>
  <c r="BJ27" i="2"/>
  <c r="AU48" i="2"/>
  <c r="AU47" i="2"/>
  <c r="AU46" i="2"/>
  <c r="AU45" i="2"/>
  <c r="AU44" i="2"/>
  <c r="AY45" i="2"/>
  <c r="AY48" i="2"/>
  <c r="AY44" i="2"/>
  <c r="AY47" i="2"/>
  <c r="AY46" i="2"/>
  <c r="BB40" i="2"/>
  <c r="AX22" i="2"/>
  <c r="AX48" i="2" s="1"/>
  <c r="BB32" i="2"/>
  <c r="AV47" i="2"/>
  <c r="AV44" i="2"/>
  <c r="AV46" i="2"/>
  <c r="AV45" i="2"/>
  <c r="AV48" i="2"/>
  <c r="BF32" i="2"/>
  <c r="AZ47" i="2"/>
  <c r="AZ45" i="2"/>
  <c r="AZ48" i="2"/>
  <c r="AZ46" i="2"/>
  <c r="AZ44" i="2"/>
  <c r="BB27" i="2"/>
  <c r="AW48" i="2"/>
  <c r="AW46" i="2"/>
  <c r="AW47" i="2"/>
  <c r="AW44" i="2"/>
  <c r="AW45" i="2"/>
  <c r="BA46" i="2"/>
  <c r="BA47" i="2"/>
  <c r="BA48" i="2"/>
  <c r="BA44" i="2"/>
  <c r="BA45" i="2"/>
  <c r="BB22" i="2"/>
  <c r="BB48" i="2" s="1"/>
  <c r="BF22" i="2"/>
  <c r="BF46" i="2" s="1"/>
  <c r="BC46" i="2"/>
  <c r="BC48" i="2"/>
  <c r="BC44" i="2"/>
  <c r="BC45" i="2"/>
  <c r="BC47" i="2"/>
  <c r="BN27" i="2"/>
  <c r="BG48" i="2"/>
  <c r="BG47" i="2"/>
  <c r="BG46" i="2"/>
  <c r="BG45" i="2"/>
  <c r="BG44" i="2"/>
  <c r="BJ32" i="2"/>
  <c r="BD46" i="2"/>
  <c r="BD45" i="2"/>
  <c r="BD44" i="2"/>
  <c r="BD48" i="2"/>
  <c r="BD47" i="2"/>
  <c r="BN32" i="2"/>
  <c r="BH44" i="2"/>
  <c r="BH45" i="2"/>
  <c r="BH48" i="2"/>
  <c r="BH46" i="2"/>
  <c r="BH47" i="2"/>
  <c r="BF40" i="2"/>
  <c r="BJ40" i="2"/>
  <c r="BE48" i="2"/>
  <c r="BE45" i="2"/>
  <c r="BE47" i="2"/>
  <c r="BE44" i="2"/>
  <c r="BE46" i="2"/>
  <c r="BI47" i="2"/>
  <c r="BI45" i="2"/>
  <c r="BI48" i="2"/>
  <c r="BI46" i="2"/>
  <c r="BI44" i="2"/>
  <c r="BJ22" i="2"/>
  <c r="BJ46" i="2" s="1"/>
  <c r="BN40" i="2"/>
  <c r="BN46" i="2"/>
  <c r="BN45" i="2"/>
  <c r="BN48" i="2"/>
  <c r="BK47" i="2"/>
  <c r="BK45" i="2"/>
  <c r="BK48" i="2"/>
  <c r="BK46" i="2"/>
  <c r="BK44" i="2"/>
  <c r="BO47" i="2"/>
  <c r="BO44" i="2"/>
  <c r="BO46" i="2"/>
  <c r="BO48" i="2"/>
  <c r="BO45" i="2"/>
  <c r="BL46" i="2"/>
  <c r="BL44" i="2"/>
  <c r="BL47" i="2"/>
  <c r="BL48" i="2"/>
  <c r="BL45" i="2"/>
  <c r="BP48" i="2"/>
  <c r="BP47" i="2"/>
  <c r="BP44" i="2"/>
  <c r="BP46" i="2"/>
  <c r="BP45" i="2"/>
  <c r="BM44" i="2"/>
  <c r="BM47" i="2"/>
  <c r="BM48" i="2"/>
  <c r="BM45" i="2"/>
  <c r="BM46" i="2"/>
  <c r="BM42" i="2"/>
  <c r="BC42" i="2"/>
  <c r="AY42" i="2"/>
  <c r="BQ48" i="2"/>
  <c r="BQ44" i="2"/>
  <c r="AZ42" i="2"/>
  <c r="BI42" i="2"/>
  <c r="BP61" i="2"/>
  <c r="BP42" i="2"/>
  <c r="BH42" i="2"/>
  <c r="BQ46" i="2"/>
  <c r="BQ45" i="2"/>
  <c r="BK42" i="2"/>
  <c r="BL42" i="2"/>
  <c r="BO42" i="2"/>
  <c r="BE42" i="2"/>
  <c r="BA42" i="2"/>
  <c r="BD42" i="2"/>
  <c r="BG42" i="2"/>
  <c r="BQ47" i="2"/>
  <c r="BQ61" i="2"/>
  <c r="BQ42" i="2"/>
  <c r="CU16" i="2" l="1"/>
  <c r="CT20" i="2"/>
  <c r="BP63" i="2"/>
  <c r="BP114" i="2"/>
  <c r="BP113" i="2"/>
  <c r="BQ114" i="2"/>
  <c r="BQ113" i="2"/>
  <c r="BN47" i="2"/>
  <c r="BR42" i="2"/>
  <c r="CQ44" i="2"/>
  <c r="CQ48" i="2"/>
  <c r="CQ45" i="2"/>
  <c r="CQ46" i="2"/>
  <c r="BR83" i="2"/>
  <c r="BR75" i="2"/>
  <c r="E83" i="2"/>
  <c r="E75" i="2"/>
  <c r="D83" i="2"/>
  <c r="D75" i="2"/>
  <c r="AS83" i="2"/>
  <c r="AS75" i="2"/>
  <c r="AJ83" i="2"/>
  <c r="AJ75" i="2"/>
  <c r="AO83" i="2"/>
  <c r="AO75" i="2"/>
  <c r="CD73" i="2"/>
  <c r="CD83" i="2" s="1"/>
  <c r="P83" i="2"/>
  <c r="P75" i="2"/>
  <c r="G83" i="2"/>
  <c r="G75" i="2"/>
  <c r="CJ73" i="2"/>
  <c r="CJ83" i="2" s="1"/>
  <c r="AN83" i="2"/>
  <c r="AN75" i="2"/>
  <c r="U83" i="2"/>
  <c r="U75" i="2"/>
  <c r="S75" i="2"/>
  <c r="CE73" i="2"/>
  <c r="CE83" i="2" s="1"/>
  <c r="S83" i="2"/>
  <c r="Q83" i="2"/>
  <c r="Q75" i="2"/>
  <c r="AG83" i="2"/>
  <c r="AG75" i="2"/>
  <c r="CB73" i="2"/>
  <c r="CB83" i="2" s="1"/>
  <c r="H83" i="2"/>
  <c r="H75" i="2"/>
  <c r="CK73" i="2"/>
  <c r="CK83" i="2" s="1"/>
  <c r="AQ83" i="2"/>
  <c r="AQ75" i="2"/>
  <c r="AA75" i="2"/>
  <c r="CG73" i="2"/>
  <c r="CG83" i="2" s="1"/>
  <c r="AA83" i="2"/>
  <c r="F83" i="2"/>
  <c r="F75" i="2"/>
  <c r="AH83" i="2"/>
  <c r="AH75" i="2"/>
  <c r="AT83" i="2"/>
  <c r="AT75" i="2"/>
  <c r="O83" i="2"/>
  <c r="O75" i="2"/>
  <c r="AE83" i="2"/>
  <c r="AE75" i="2"/>
  <c r="AL83" i="2"/>
  <c r="AL75" i="2"/>
  <c r="K83" i="2"/>
  <c r="K75" i="2"/>
  <c r="I75" i="2"/>
  <c r="I83" i="2"/>
  <c r="R83" i="2"/>
  <c r="R75" i="2"/>
  <c r="C75" i="2"/>
  <c r="CA73" i="2"/>
  <c r="CA83" i="2" s="1"/>
  <c r="C83" i="2"/>
  <c r="AD83" i="2"/>
  <c r="AD75" i="2"/>
  <c r="Z83" i="2"/>
  <c r="Z75" i="2"/>
  <c r="BN44" i="2"/>
  <c r="AM83" i="2"/>
  <c r="AM75" i="2"/>
  <c r="J75" i="2"/>
  <c r="J83" i="2"/>
  <c r="W83" i="2"/>
  <c r="W75" i="2"/>
  <c r="AK83" i="2"/>
  <c r="AK75" i="2"/>
  <c r="AI83" i="2"/>
  <c r="AI75" i="2"/>
  <c r="CI73" i="2"/>
  <c r="CI83" i="2" s="1"/>
  <c r="X83" i="2"/>
  <c r="X75" i="2"/>
  <c r="L83" i="2"/>
  <c r="L75" i="2"/>
  <c r="AC83" i="2"/>
  <c r="AC75" i="2"/>
  <c r="T75" i="2"/>
  <c r="T83" i="2"/>
  <c r="BQ81" i="2"/>
  <c r="AB83" i="2"/>
  <c r="AB75" i="2"/>
  <c r="V83" i="2"/>
  <c r="V75" i="2"/>
  <c r="M83" i="2"/>
  <c r="M75" i="2"/>
  <c r="AP83" i="2"/>
  <c r="AP75" i="2"/>
  <c r="AR83" i="2"/>
  <c r="AR75" i="2"/>
  <c r="CH73" i="2"/>
  <c r="CH83" i="2" s="1"/>
  <c r="AF83" i="2"/>
  <c r="AF75" i="2"/>
  <c r="Y83" i="2"/>
  <c r="Y75" i="2"/>
  <c r="CF73" i="2"/>
  <c r="CF83" i="2" s="1"/>
  <c r="N83" i="2"/>
  <c r="CC73" i="2"/>
  <c r="CC83" i="2" s="1"/>
  <c r="N75" i="2"/>
  <c r="CN27" i="2"/>
  <c r="CO27" i="2"/>
  <c r="AX45" i="2"/>
  <c r="AX47" i="2"/>
  <c r="AX44" i="2"/>
  <c r="AX46" i="2"/>
  <c r="BB45" i="2"/>
  <c r="BB47" i="2"/>
  <c r="BB44" i="2"/>
  <c r="BB46" i="2"/>
  <c r="BB42" i="2"/>
  <c r="BF44" i="2"/>
  <c r="BF42" i="2"/>
  <c r="BF45" i="2"/>
  <c r="BF47" i="2"/>
  <c r="BF48" i="2"/>
  <c r="BJ47" i="2"/>
  <c r="BJ48" i="2"/>
  <c r="BJ42" i="2"/>
  <c r="BJ45" i="2"/>
  <c r="BJ44" i="2"/>
  <c r="BN42" i="2"/>
  <c r="BP80" i="2"/>
  <c r="BP81" i="2"/>
  <c r="BQ80" i="2"/>
  <c r="BQ63" i="2"/>
  <c r="BQ68" i="2" s="1"/>
  <c r="CV16" i="2" l="1"/>
  <c r="CU20" i="2"/>
  <c r="BR84" i="2"/>
  <c r="BR119" i="2"/>
  <c r="BR117" i="2"/>
  <c r="BR116" i="2"/>
  <c r="BR77" i="2"/>
  <c r="AC84" i="2"/>
  <c r="AC77" i="2"/>
  <c r="AC119" i="2"/>
  <c r="AG77" i="2"/>
  <c r="AG84" i="2"/>
  <c r="AG119" i="2"/>
  <c r="CD75" i="2"/>
  <c r="P84" i="2"/>
  <c r="P77" i="2"/>
  <c r="P119" i="2"/>
  <c r="J84" i="2"/>
  <c r="J77" i="2"/>
  <c r="J119" i="2"/>
  <c r="AB84" i="2"/>
  <c r="AB77" i="2"/>
  <c r="AB119" i="2"/>
  <c r="O84" i="2"/>
  <c r="O77" i="2"/>
  <c r="O119" i="2"/>
  <c r="AK84" i="2"/>
  <c r="AK77" i="2"/>
  <c r="AK119" i="2"/>
  <c r="AT84" i="2"/>
  <c r="AT77" i="2"/>
  <c r="AT119" i="2"/>
  <c r="AA84" i="2"/>
  <c r="AA77" i="2"/>
  <c r="CG75" i="2"/>
  <c r="AA119" i="2"/>
  <c r="D84" i="2"/>
  <c r="D77" i="2"/>
  <c r="D119" i="2"/>
  <c r="I84" i="2"/>
  <c r="I77" i="2"/>
  <c r="I119" i="2"/>
  <c r="CE75" i="2"/>
  <c r="S84" i="2"/>
  <c r="S77" i="2"/>
  <c r="S119" i="2"/>
  <c r="AR84" i="2"/>
  <c r="AR77" i="2"/>
  <c r="AR119" i="2"/>
  <c r="CI75" i="2"/>
  <c r="AI84" i="2"/>
  <c r="AI77" i="2"/>
  <c r="AI119" i="2"/>
  <c r="K84" i="2"/>
  <c r="K77" i="2"/>
  <c r="K119" i="2"/>
  <c r="L84" i="2"/>
  <c r="L77" i="2"/>
  <c r="L119" i="2"/>
  <c r="Z84" i="2"/>
  <c r="Z77" i="2"/>
  <c r="Z119" i="2"/>
  <c r="R84" i="2"/>
  <c r="R77" i="2"/>
  <c r="R119" i="2"/>
  <c r="CK75" i="2"/>
  <c r="AQ84" i="2"/>
  <c r="AQ77" i="2"/>
  <c r="AQ119" i="2"/>
  <c r="Q77" i="2"/>
  <c r="Q84" i="2"/>
  <c r="Q119" i="2"/>
  <c r="CJ75" i="2"/>
  <c r="AN84" i="2"/>
  <c r="AN77" i="2"/>
  <c r="AN119" i="2"/>
  <c r="AM84" i="2"/>
  <c r="AM77" i="2"/>
  <c r="AM119" i="2"/>
  <c r="U84" i="2"/>
  <c r="U77" i="2"/>
  <c r="U119" i="2"/>
  <c r="W84" i="2"/>
  <c r="W77" i="2"/>
  <c r="W119" i="2"/>
  <c r="AL84" i="2"/>
  <c r="AL77" i="2"/>
  <c r="AL119" i="2"/>
  <c r="AH84" i="2"/>
  <c r="AH77" i="2"/>
  <c r="AH119" i="2"/>
  <c r="AO84" i="2"/>
  <c r="AO77" i="2"/>
  <c r="AO119" i="2"/>
  <c r="E84" i="2"/>
  <c r="E77" i="2"/>
  <c r="E119" i="2"/>
  <c r="T84" i="2"/>
  <c r="T77" i="2"/>
  <c r="T119" i="2"/>
  <c r="M84" i="2"/>
  <c r="M77" i="2"/>
  <c r="M119" i="2"/>
  <c r="CH75" i="2"/>
  <c r="AF84" i="2"/>
  <c r="AF77" i="2"/>
  <c r="AF119" i="2"/>
  <c r="X77" i="2"/>
  <c r="X84" i="2"/>
  <c r="X119" i="2"/>
  <c r="AS84" i="2"/>
  <c r="AS77" i="2"/>
  <c r="AS119" i="2"/>
  <c r="AP84" i="2"/>
  <c r="AP77" i="2"/>
  <c r="AP119" i="2"/>
  <c r="CA75" i="2"/>
  <c r="C84" i="2"/>
  <c r="C77" i="2"/>
  <c r="C119" i="2"/>
  <c r="V84" i="2"/>
  <c r="V77" i="2"/>
  <c r="V119" i="2"/>
  <c r="AD84" i="2"/>
  <c r="AD77" i="2"/>
  <c r="AD119" i="2"/>
  <c r="AE84" i="2"/>
  <c r="AE77" i="2"/>
  <c r="AE119" i="2"/>
  <c r="F84" i="2"/>
  <c r="F77" i="2"/>
  <c r="F119" i="2"/>
  <c r="CB75" i="2"/>
  <c r="H77" i="2"/>
  <c r="H84" i="2"/>
  <c r="H119" i="2"/>
  <c r="G84" i="2"/>
  <c r="G77" i="2"/>
  <c r="G119" i="2"/>
  <c r="AJ84" i="2"/>
  <c r="AJ77" i="2"/>
  <c r="AJ119" i="2"/>
  <c r="Y84" i="2"/>
  <c r="Y77" i="2"/>
  <c r="Y119" i="2"/>
  <c r="CF75" i="2"/>
  <c r="CC75" i="2"/>
  <c r="N84" i="2"/>
  <c r="N77" i="2"/>
  <c r="N119" i="2"/>
  <c r="BP68" i="2"/>
  <c r="BP79" i="2"/>
  <c r="BQ79" i="2"/>
  <c r="BQ73" i="2"/>
  <c r="BQ82" i="2"/>
  <c r="CW16" i="2" l="1"/>
  <c r="CV20" i="2"/>
  <c r="CD119" i="2"/>
  <c r="CJ77" i="2"/>
  <c r="CE119" i="2"/>
  <c r="CK119" i="2"/>
  <c r="CE77" i="2"/>
  <c r="CC77" i="2"/>
  <c r="CK77" i="2"/>
  <c r="CB119" i="2"/>
  <c r="CA77" i="2"/>
  <c r="CJ119" i="2"/>
  <c r="CF119" i="2"/>
  <c r="CI77" i="2"/>
  <c r="CG119" i="2"/>
  <c r="CB77" i="2"/>
  <c r="CG77" i="2"/>
  <c r="CF77" i="2"/>
  <c r="CH119" i="2"/>
  <c r="CD77" i="2"/>
  <c r="CI119" i="2"/>
  <c r="CH77" i="2"/>
  <c r="CA119" i="2"/>
  <c r="CC119" i="2"/>
  <c r="BP73" i="2"/>
  <c r="BP82" i="2"/>
  <c r="BQ83" i="2"/>
  <c r="BQ75" i="2"/>
  <c r="CX16" i="2" l="1"/>
  <c r="CW20" i="2"/>
  <c r="BQ119" i="2"/>
  <c r="BQ117" i="2"/>
  <c r="BQ116" i="2"/>
  <c r="BP75" i="2"/>
  <c r="BP83" i="2"/>
  <c r="BQ84" i="2"/>
  <c r="BQ77" i="2"/>
  <c r="CY16" i="2" l="1"/>
  <c r="CX20" i="2"/>
  <c r="BP119" i="2"/>
  <c r="BP117" i="2"/>
  <c r="BP116" i="2"/>
  <c r="BP77" i="2"/>
  <c r="BP84" i="2"/>
  <c r="CZ16" i="2" l="1"/>
  <c r="CZ20" i="2" s="1"/>
  <c r="CY20" i="2"/>
  <c r="G1449" i="3"/>
  <c r="G1448" i="3"/>
  <c r="G1447" i="3"/>
  <c r="G1446" i="3"/>
  <c r="G1445" i="3"/>
  <c r="G1444" i="3"/>
  <c r="G1443" i="3"/>
  <c r="G1442" i="3"/>
  <c r="G1441" i="3"/>
  <c r="G1440" i="3"/>
  <c r="G1439" i="3"/>
  <c r="G1438" i="3"/>
  <c r="G1437" i="3"/>
  <c r="G1436" i="3"/>
  <c r="G1435" i="3"/>
  <c r="G1434" i="3"/>
  <c r="G1433" i="3"/>
  <c r="G1432" i="3"/>
  <c r="G1431" i="3"/>
  <c r="G1430" i="3"/>
  <c r="G1429" i="3"/>
  <c r="G1428" i="3"/>
  <c r="G1427" i="3"/>
  <c r="G1426" i="3"/>
  <c r="G1425" i="3"/>
  <c r="G1424" i="3"/>
  <c r="G1423" i="3"/>
  <c r="G1422" i="3"/>
  <c r="G1421" i="3"/>
  <c r="G1420" i="3"/>
  <c r="G1419" i="3"/>
  <c r="G1418" i="3"/>
  <c r="G1417" i="3"/>
  <c r="G1416" i="3"/>
  <c r="G1415" i="3"/>
  <c r="G1414" i="3"/>
  <c r="G1413" i="3"/>
  <c r="G1412" i="3"/>
  <c r="G1411" i="3"/>
  <c r="G1410" i="3"/>
  <c r="G1409" i="3"/>
  <c r="G1408" i="3"/>
  <c r="G1407" i="3"/>
  <c r="G1406" i="3"/>
  <c r="G1405" i="3"/>
  <c r="G1404" i="3"/>
  <c r="G1403" i="3"/>
  <c r="G1402" i="3"/>
  <c r="G1401" i="3"/>
  <c r="G1400" i="3"/>
  <c r="G1399" i="3"/>
  <c r="G1398" i="3"/>
  <c r="G1397" i="3"/>
  <c r="G1396" i="3"/>
  <c r="G1395" i="3"/>
  <c r="G1394" i="3"/>
  <c r="G1393" i="3"/>
  <c r="G1392" i="3"/>
  <c r="G1391" i="3"/>
  <c r="G1390" i="3"/>
  <c r="G1389" i="3"/>
  <c r="G1388" i="3"/>
  <c r="G1387" i="3"/>
  <c r="G1386" i="3"/>
  <c r="G1385" i="3"/>
  <c r="G1384" i="3"/>
  <c r="G1383" i="3"/>
  <c r="G1382" i="3"/>
  <c r="G1381" i="3"/>
  <c r="G1380" i="3"/>
  <c r="G1379" i="3"/>
  <c r="G1378" i="3"/>
  <c r="G1377" i="3"/>
  <c r="G1376" i="3"/>
  <c r="G1375" i="3"/>
  <c r="G1374" i="3"/>
  <c r="G1373" i="3"/>
  <c r="G1372" i="3"/>
  <c r="G1371" i="3"/>
  <c r="G1370" i="3"/>
  <c r="G1369" i="3"/>
  <c r="G1368" i="3"/>
  <c r="G1367" i="3"/>
  <c r="G1366" i="3"/>
  <c r="G1365" i="3"/>
  <c r="G1364" i="3"/>
  <c r="G1363" i="3"/>
  <c r="G1362" i="3"/>
  <c r="G1361" i="3"/>
  <c r="G1360" i="3"/>
  <c r="G1359" i="3"/>
  <c r="G1358" i="3"/>
  <c r="G1357" i="3"/>
  <c r="G1356" i="3"/>
  <c r="G1355" i="3"/>
  <c r="G1354" i="3"/>
  <c r="G1353" i="3"/>
  <c r="G1352" i="3"/>
  <c r="G1351" i="3"/>
  <c r="G1350" i="3"/>
  <c r="G1349" i="3"/>
  <c r="G1348" i="3"/>
  <c r="G1347" i="3"/>
  <c r="G1346" i="3"/>
  <c r="G1345" i="3"/>
  <c r="G1344" i="3"/>
  <c r="G1343" i="3"/>
  <c r="G1342" i="3"/>
  <c r="G1341" i="3"/>
  <c r="G1340" i="3"/>
  <c r="G1339" i="3"/>
  <c r="G1338" i="3"/>
  <c r="G1337" i="3"/>
  <c r="G1336" i="3"/>
  <c r="G1335" i="3"/>
  <c r="G1334" i="3"/>
  <c r="G1333" i="3"/>
  <c r="G1332" i="3"/>
  <c r="G1331" i="3"/>
  <c r="G1330" i="3"/>
  <c r="G1329" i="3"/>
  <c r="G1328" i="3"/>
  <c r="G1327" i="3"/>
  <c r="G1326" i="3"/>
  <c r="G1325" i="3"/>
  <c r="G1324" i="3"/>
  <c r="G1323" i="3"/>
  <c r="G1322" i="3"/>
  <c r="G1321" i="3"/>
  <c r="G1320" i="3"/>
  <c r="G1319" i="3"/>
  <c r="G1318" i="3"/>
  <c r="G1317" i="3"/>
  <c r="G1316" i="3"/>
  <c r="G1315" i="3"/>
  <c r="G1314" i="3"/>
  <c r="G1313" i="3"/>
  <c r="G1312" i="3"/>
  <c r="G1311" i="3"/>
  <c r="G1310" i="3"/>
  <c r="G1309" i="3"/>
  <c r="G1308" i="3"/>
  <c r="G1307" i="3"/>
  <c r="G1306" i="3"/>
  <c r="G1305" i="3"/>
  <c r="G1304" i="3"/>
  <c r="G1303" i="3"/>
  <c r="G1302" i="3"/>
  <c r="G1301" i="3"/>
  <c r="G1300" i="3"/>
  <c r="G1299" i="3"/>
  <c r="G1298" i="3"/>
  <c r="G1297" i="3"/>
  <c r="G1296" i="3"/>
  <c r="G1295" i="3"/>
  <c r="G1294" i="3"/>
  <c r="G1293" i="3"/>
  <c r="G1292" i="3"/>
  <c r="G1291" i="3"/>
  <c r="G1290" i="3"/>
  <c r="G1289" i="3"/>
  <c r="G1288" i="3"/>
  <c r="G1287" i="3"/>
  <c r="G1286" i="3"/>
  <c r="G1285" i="3"/>
  <c r="G1284" i="3"/>
  <c r="G1283" i="3"/>
  <c r="G1282" i="3"/>
  <c r="G1281" i="3"/>
  <c r="G1280" i="3"/>
  <c r="G1279" i="3"/>
  <c r="G1278" i="3"/>
  <c r="G1277" i="3"/>
  <c r="G1276" i="3"/>
  <c r="G1275" i="3"/>
  <c r="G1274" i="3"/>
  <c r="G1273" i="3"/>
  <c r="G1272" i="3"/>
  <c r="G1271" i="3"/>
  <c r="G1270" i="3"/>
  <c r="G1269" i="3"/>
  <c r="G1268" i="3"/>
  <c r="G1267" i="3"/>
  <c r="G1266" i="3"/>
  <c r="G1265" i="3"/>
  <c r="G1264" i="3"/>
  <c r="G1263" i="3"/>
  <c r="G1262" i="3"/>
  <c r="G1261" i="3"/>
  <c r="G1260" i="3"/>
  <c r="G1259" i="3"/>
  <c r="G1258" i="3"/>
  <c r="G1257" i="3"/>
  <c r="G1256" i="3"/>
  <c r="G1255" i="3"/>
  <c r="G1254" i="3"/>
  <c r="G1253" i="3"/>
  <c r="G1252" i="3"/>
  <c r="G1251" i="3"/>
  <c r="G1250" i="3"/>
  <c r="G1249" i="3"/>
  <c r="G1248" i="3"/>
  <c r="G1247" i="3"/>
  <c r="G1246" i="3"/>
  <c r="G1245" i="3"/>
  <c r="G1244" i="3"/>
  <c r="G1243" i="3"/>
  <c r="G1242" i="3"/>
  <c r="G1241" i="3"/>
  <c r="G1240" i="3"/>
  <c r="G1239" i="3"/>
  <c r="G1238" i="3"/>
  <c r="G1237" i="3"/>
  <c r="G1236" i="3"/>
  <c r="G1235" i="3"/>
  <c r="G1234" i="3"/>
  <c r="G1233" i="3"/>
  <c r="G1232" i="3"/>
  <c r="G1231" i="3"/>
  <c r="G1230" i="3"/>
  <c r="G1229" i="3"/>
  <c r="G1228" i="3"/>
  <c r="G1227" i="3"/>
  <c r="G1226" i="3"/>
  <c r="G1225" i="3"/>
  <c r="G1224" i="3"/>
  <c r="G1223" i="3"/>
  <c r="G1222" i="3"/>
  <c r="G1221" i="3"/>
  <c r="G1220" i="3"/>
  <c r="G1219" i="3"/>
  <c r="G1218" i="3"/>
  <c r="G1217" i="3"/>
  <c r="G1216" i="3"/>
  <c r="G1215" i="3"/>
  <c r="G1214" i="3"/>
  <c r="G1213" i="3"/>
  <c r="G1212" i="3"/>
  <c r="G1211" i="3"/>
  <c r="G1210" i="3"/>
  <c r="G1209" i="3"/>
  <c r="G1208" i="3"/>
  <c r="G1207" i="3"/>
  <c r="G1206" i="3"/>
  <c r="G1205" i="3"/>
  <c r="G1204" i="3"/>
  <c r="G1203" i="3"/>
  <c r="G1202" i="3"/>
  <c r="G1201" i="3"/>
  <c r="G1200" i="3"/>
  <c r="G1199" i="3"/>
  <c r="G1198" i="3"/>
  <c r="G1197" i="3"/>
  <c r="G1196" i="3"/>
  <c r="G1195" i="3"/>
  <c r="G1194" i="3"/>
  <c r="G1193" i="3"/>
  <c r="G1192" i="3"/>
  <c r="G1191" i="3"/>
  <c r="G1190" i="3"/>
  <c r="G1189" i="3"/>
  <c r="G1188" i="3"/>
  <c r="G1187" i="3"/>
  <c r="G1186" i="3"/>
  <c r="G1185" i="3"/>
  <c r="G1184" i="3"/>
  <c r="G1183" i="3"/>
  <c r="G1182" i="3"/>
  <c r="G1181" i="3"/>
  <c r="G1180" i="3"/>
  <c r="G1179" i="3"/>
  <c r="G1178" i="3"/>
  <c r="G1177" i="3"/>
  <c r="G1176" i="3"/>
  <c r="G1175" i="3"/>
  <c r="G1174" i="3"/>
  <c r="G1173" i="3"/>
  <c r="G1172" i="3"/>
  <c r="G1171" i="3"/>
  <c r="G1170" i="3"/>
  <c r="G1169" i="3"/>
  <c r="G1168" i="3"/>
  <c r="G1167" i="3"/>
  <c r="G1166" i="3"/>
  <c r="G1165" i="3"/>
  <c r="G1164" i="3"/>
  <c r="G1163" i="3"/>
  <c r="G1162" i="3"/>
  <c r="G1161" i="3"/>
  <c r="G1160" i="3"/>
  <c r="G1159" i="3"/>
  <c r="G1158" i="3"/>
  <c r="G1157" i="3"/>
  <c r="G1156" i="3"/>
  <c r="G1155" i="3"/>
  <c r="G1154" i="3"/>
  <c r="G1153" i="3"/>
  <c r="G1152" i="3"/>
  <c r="G1151" i="3"/>
  <c r="G1150" i="3"/>
  <c r="G1149" i="3"/>
  <c r="G1148" i="3"/>
  <c r="G1147" i="3"/>
  <c r="G1146" i="3"/>
  <c r="G1145" i="3"/>
  <c r="G1144" i="3"/>
  <c r="G1143" i="3"/>
  <c r="G1142" i="3"/>
  <c r="G1141" i="3"/>
  <c r="G1140" i="3"/>
  <c r="G1139" i="3"/>
  <c r="G1138" i="3"/>
  <c r="G1137" i="3"/>
  <c r="G1136" i="3"/>
  <c r="G1135" i="3"/>
  <c r="G1134" i="3"/>
  <c r="G1133" i="3"/>
  <c r="G1132" i="3"/>
  <c r="G1131" i="3"/>
  <c r="G1130" i="3"/>
  <c r="G1129" i="3"/>
  <c r="G1128" i="3"/>
  <c r="G1127" i="3"/>
  <c r="G1126" i="3"/>
  <c r="G1125" i="3"/>
  <c r="G1124" i="3"/>
  <c r="G1123" i="3"/>
  <c r="G1122" i="3"/>
  <c r="G1121" i="3"/>
  <c r="G1120" i="3"/>
  <c r="G1119" i="3"/>
  <c r="G1118" i="3"/>
  <c r="G1117" i="3"/>
  <c r="G1116" i="3"/>
  <c r="G1115" i="3"/>
  <c r="G1114" i="3"/>
  <c r="G1113" i="3"/>
  <c r="G1112" i="3"/>
  <c r="G1111" i="3"/>
  <c r="G1110" i="3"/>
  <c r="G1109" i="3"/>
  <c r="G1108" i="3"/>
  <c r="G1107" i="3"/>
  <c r="G1106" i="3"/>
  <c r="G1105" i="3"/>
  <c r="G1104" i="3"/>
  <c r="G1103" i="3"/>
  <c r="G1102" i="3"/>
  <c r="G1101" i="3"/>
  <c r="G1100" i="3"/>
  <c r="G1099" i="3"/>
  <c r="G1098" i="3"/>
  <c r="G1097" i="3"/>
  <c r="G1096" i="3"/>
  <c r="G1095" i="3"/>
  <c r="G1094" i="3"/>
  <c r="G1093" i="3"/>
  <c r="G1092" i="3"/>
  <c r="G1091" i="3"/>
  <c r="G1090" i="3"/>
  <c r="G1089" i="3"/>
  <c r="G1088" i="3"/>
  <c r="G1087" i="3"/>
  <c r="G1086" i="3"/>
  <c r="G1085" i="3"/>
  <c r="G1084" i="3"/>
  <c r="G1083" i="3"/>
  <c r="G1082" i="3"/>
  <c r="G1081" i="3"/>
  <c r="G1080" i="3"/>
  <c r="G1079" i="3"/>
  <c r="G1078" i="3"/>
  <c r="G1077" i="3"/>
  <c r="G1076" i="3"/>
  <c r="G1075" i="3"/>
  <c r="G1074" i="3"/>
  <c r="G1073" i="3"/>
  <c r="G1072" i="3"/>
  <c r="G1071" i="3"/>
  <c r="G1070" i="3"/>
  <c r="G1069" i="3"/>
  <c r="G1068" i="3"/>
  <c r="G1067" i="3"/>
  <c r="G1066" i="3"/>
  <c r="G1065" i="3"/>
  <c r="G1064" i="3"/>
  <c r="G1063" i="3"/>
  <c r="G1062" i="3"/>
  <c r="G1061" i="3"/>
  <c r="G1060" i="3"/>
  <c r="G1059" i="3"/>
  <c r="G1058" i="3"/>
  <c r="G1057" i="3"/>
  <c r="G1056" i="3"/>
  <c r="G1055" i="3"/>
  <c r="G1054" i="3"/>
  <c r="G1053" i="3"/>
  <c r="G1052" i="3"/>
  <c r="G1051" i="3"/>
  <c r="G1050" i="3"/>
  <c r="G1049" i="3"/>
  <c r="G1048" i="3"/>
  <c r="G1047" i="3"/>
  <c r="G1046" i="3"/>
  <c r="G1045" i="3"/>
  <c r="G1044" i="3"/>
  <c r="G1043" i="3"/>
  <c r="G1042" i="3"/>
  <c r="G1041" i="3"/>
  <c r="G1040" i="3"/>
  <c r="G1039" i="3"/>
  <c r="G1038" i="3"/>
  <c r="G1037" i="3"/>
  <c r="G1036" i="3"/>
  <c r="G1035" i="3"/>
  <c r="G1034" i="3"/>
  <c r="G1033" i="3"/>
  <c r="G1032" i="3"/>
  <c r="G1031" i="3"/>
  <c r="G1030" i="3"/>
  <c r="G1029" i="3"/>
  <c r="G1028" i="3"/>
  <c r="G1027" i="3"/>
  <c r="G1026" i="3"/>
  <c r="G1025" i="3"/>
  <c r="G1024" i="3"/>
  <c r="G1023" i="3"/>
  <c r="G1022" i="3"/>
  <c r="G1021" i="3"/>
  <c r="G1020" i="3"/>
  <c r="G1019" i="3"/>
  <c r="G1018" i="3"/>
  <c r="G1017" i="3"/>
  <c r="G1016" i="3"/>
  <c r="G1015" i="3"/>
  <c r="G1014" i="3"/>
  <c r="G1013" i="3"/>
  <c r="G1012" i="3"/>
  <c r="G1011" i="3"/>
  <c r="G1010" i="3"/>
  <c r="G1009" i="3"/>
  <c r="G1008" i="3"/>
  <c r="G1007" i="3"/>
  <c r="G1006" i="3"/>
  <c r="G1005" i="3"/>
  <c r="G1004" i="3"/>
  <c r="G1003" i="3"/>
  <c r="G1002" i="3"/>
  <c r="G1001" i="3"/>
  <c r="G1000" i="3"/>
  <c r="G999" i="3"/>
  <c r="G998" i="3"/>
  <c r="G997" i="3"/>
  <c r="G996" i="3"/>
  <c r="G995" i="3"/>
  <c r="G994" i="3"/>
  <c r="G993" i="3"/>
  <c r="G992" i="3"/>
  <c r="G991" i="3"/>
  <c r="G990" i="3"/>
  <c r="G989" i="3"/>
  <c r="G988" i="3"/>
  <c r="G987" i="3"/>
  <c r="G986" i="3"/>
  <c r="G985" i="3"/>
  <c r="G984" i="3"/>
  <c r="G983" i="3"/>
  <c r="G982" i="3"/>
  <c r="G981" i="3"/>
  <c r="G980" i="3"/>
  <c r="G979" i="3"/>
  <c r="G978" i="3"/>
  <c r="G977" i="3"/>
  <c r="G976" i="3"/>
  <c r="G975" i="3"/>
  <c r="G974" i="3"/>
  <c r="G973" i="3"/>
  <c r="G972" i="3"/>
  <c r="G971" i="3"/>
  <c r="G970" i="3"/>
  <c r="G969" i="3"/>
  <c r="G968" i="3"/>
  <c r="G967" i="3"/>
  <c r="G966" i="3"/>
  <c r="G965" i="3"/>
  <c r="G964" i="3"/>
  <c r="G963" i="3"/>
  <c r="G962" i="3"/>
  <c r="G961" i="3"/>
  <c r="G960" i="3"/>
  <c r="G959" i="3"/>
  <c r="G958" i="3"/>
  <c r="G957" i="3"/>
  <c r="G956" i="3"/>
  <c r="G955" i="3"/>
  <c r="G954" i="3"/>
  <c r="G953" i="3"/>
  <c r="G952" i="3"/>
  <c r="G951" i="3"/>
  <c r="G950" i="3"/>
  <c r="G949" i="3"/>
  <c r="G948" i="3"/>
  <c r="G947" i="3"/>
  <c r="G946" i="3"/>
  <c r="G945" i="3"/>
  <c r="G944" i="3"/>
  <c r="G943" i="3"/>
  <c r="G942" i="3"/>
  <c r="G941" i="3"/>
  <c r="G940" i="3"/>
  <c r="G939" i="3"/>
  <c r="G938" i="3"/>
  <c r="G937" i="3"/>
  <c r="G936" i="3"/>
  <c r="G935" i="3"/>
  <c r="G934" i="3"/>
  <c r="G933" i="3"/>
  <c r="G932" i="3"/>
  <c r="G931" i="3"/>
  <c r="G930" i="3"/>
  <c r="G929" i="3"/>
  <c r="G928" i="3"/>
  <c r="G927" i="3"/>
  <c r="G926" i="3"/>
  <c r="G925" i="3"/>
  <c r="G924" i="3"/>
  <c r="G923" i="3"/>
  <c r="G922" i="3"/>
  <c r="G921" i="3"/>
  <c r="G920" i="3"/>
  <c r="G919" i="3"/>
  <c r="G918" i="3"/>
  <c r="G917" i="3"/>
  <c r="G916" i="3"/>
  <c r="G915" i="3"/>
  <c r="G914" i="3"/>
  <c r="G913" i="3"/>
  <c r="G912" i="3"/>
  <c r="G911" i="3"/>
  <c r="G910" i="3"/>
  <c r="G909" i="3"/>
  <c r="G908" i="3"/>
  <c r="G907" i="3"/>
  <c r="G906" i="3"/>
  <c r="G905" i="3"/>
  <c r="G904" i="3"/>
  <c r="G903" i="3"/>
  <c r="G902" i="3"/>
  <c r="G901" i="3"/>
  <c r="G900" i="3"/>
  <c r="G899" i="3"/>
  <c r="G898" i="3"/>
  <c r="G897" i="3"/>
  <c r="G896" i="3"/>
  <c r="G895" i="3"/>
  <c r="G894" i="3"/>
  <c r="G893" i="3"/>
  <c r="G892" i="3"/>
  <c r="G891" i="3"/>
  <c r="G890" i="3"/>
  <c r="G889" i="3"/>
  <c r="G888" i="3"/>
  <c r="G887" i="3"/>
  <c r="G886" i="3"/>
  <c r="G885" i="3"/>
  <c r="G884" i="3"/>
  <c r="G883" i="3"/>
  <c r="G882" i="3"/>
  <c r="G881" i="3"/>
  <c r="G880" i="3"/>
  <c r="G879" i="3"/>
  <c r="G878" i="3"/>
  <c r="G877" i="3"/>
  <c r="G876" i="3"/>
  <c r="G875" i="3"/>
  <c r="G874" i="3"/>
  <c r="G873" i="3"/>
  <c r="G872" i="3"/>
  <c r="G871" i="3"/>
  <c r="G870" i="3"/>
  <c r="G869" i="3"/>
  <c r="G868" i="3"/>
  <c r="G867" i="3"/>
  <c r="G866" i="3"/>
  <c r="G865" i="3"/>
  <c r="G864" i="3"/>
  <c r="G863" i="3"/>
  <c r="G862" i="3"/>
  <c r="G861" i="3"/>
  <c r="G860" i="3"/>
  <c r="G859" i="3"/>
  <c r="G858" i="3"/>
  <c r="G857" i="3"/>
  <c r="G856" i="3"/>
  <c r="G855" i="3"/>
  <c r="G854" i="3"/>
  <c r="G853" i="3"/>
  <c r="G852" i="3"/>
  <c r="G851" i="3"/>
  <c r="G850" i="3"/>
  <c r="G849" i="3"/>
  <c r="G848" i="3"/>
  <c r="G847" i="3"/>
  <c r="G846" i="3"/>
  <c r="G845" i="3"/>
  <c r="G844" i="3"/>
  <c r="G843" i="3"/>
  <c r="G842" i="3"/>
  <c r="G841" i="3"/>
  <c r="G840" i="3"/>
  <c r="G839" i="3"/>
  <c r="G838" i="3"/>
  <c r="G837" i="3"/>
  <c r="G836" i="3"/>
  <c r="G835" i="3"/>
  <c r="G834" i="3"/>
  <c r="G833" i="3"/>
  <c r="G832" i="3"/>
  <c r="G831" i="3"/>
  <c r="G830" i="3"/>
  <c r="G829" i="3"/>
  <c r="G828" i="3"/>
  <c r="G827" i="3"/>
  <c r="G826" i="3"/>
  <c r="G825" i="3"/>
  <c r="G824" i="3"/>
  <c r="G823" i="3"/>
  <c r="G822" i="3"/>
  <c r="G821" i="3"/>
  <c r="G820" i="3"/>
  <c r="G819" i="3"/>
  <c r="G818" i="3"/>
  <c r="G817" i="3"/>
  <c r="G816" i="3"/>
  <c r="G815" i="3"/>
  <c r="G814" i="3"/>
  <c r="G813" i="3"/>
  <c r="G812" i="3"/>
  <c r="G811" i="3"/>
  <c r="G810" i="3"/>
  <c r="G809" i="3"/>
  <c r="G808" i="3"/>
  <c r="G807" i="3"/>
  <c r="G806" i="3"/>
  <c r="G805" i="3"/>
  <c r="G804" i="3"/>
  <c r="G803" i="3"/>
  <c r="G802" i="3"/>
  <c r="G801" i="3"/>
  <c r="G800" i="3"/>
  <c r="G799" i="3"/>
  <c r="G798" i="3"/>
  <c r="G797" i="3"/>
  <c r="G796" i="3"/>
  <c r="G795" i="3"/>
  <c r="G794" i="3"/>
  <c r="G793" i="3"/>
  <c r="G792" i="3"/>
  <c r="G791" i="3"/>
  <c r="G790" i="3"/>
  <c r="G789" i="3"/>
  <c r="G788" i="3"/>
  <c r="G787" i="3"/>
  <c r="G786" i="3"/>
  <c r="G785" i="3"/>
  <c r="G784" i="3"/>
  <c r="G783" i="3"/>
  <c r="G782" i="3"/>
  <c r="G781" i="3"/>
  <c r="G780" i="3"/>
  <c r="G779" i="3"/>
  <c r="G778" i="3"/>
  <c r="G777" i="3"/>
  <c r="G776" i="3"/>
  <c r="G775" i="3"/>
  <c r="G774" i="3"/>
  <c r="G773" i="3"/>
  <c r="G772" i="3"/>
  <c r="G771" i="3"/>
  <c r="G770" i="3"/>
  <c r="G769" i="3"/>
  <c r="G768" i="3"/>
  <c r="G767" i="3"/>
  <c r="G766" i="3"/>
  <c r="G765" i="3"/>
  <c r="G764" i="3"/>
  <c r="G763" i="3"/>
  <c r="G762" i="3"/>
  <c r="G761" i="3"/>
  <c r="G760" i="3"/>
  <c r="G759" i="3"/>
  <c r="G758" i="3"/>
  <c r="G757" i="3"/>
  <c r="G756" i="3"/>
  <c r="G755" i="3"/>
  <c r="G754" i="3"/>
  <c r="G753" i="3"/>
  <c r="G752" i="3"/>
  <c r="G751" i="3"/>
  <c r="G750" i="3"/>
  <c r="G749" i="3"/>
  <c r="G748" i="3"/>
  <c r="G747" i="3"/>
  <c r="G746" i="3"/>
  <c r="G745" i="3"/>
  <c r="G744" i="3"/>
  <c r="G743" i="3"/>
  <c r="G742" i="3"/>
  <c r="G741" i="3"/>
  <c r="G740" i="3"/>
  <c r="G739" i="3"/>
  <c r="G738" i="3"/>
  <c r="G737" i="3"/>
  <c r="G736" i="3"/>
  <c r="G735" i="3"/>
  <c r="G734" i="3"/>
  <c r="G733" i="3"/>
  <c r="G732" i="3"/>
  <c r="G731" i="3"/>
  <c r="G730" i="3"/>
  <c r="G729" i="3"/>
  <c r="G728" i="3"/>
  <c r="G727" i="3"/>
  <c r="G726" i="3"/>
  <c r="G725" i="3"/>
  <c r="G724" i="3"/>
  <c r="G723" i="3"/>
  <c r="G722" i="3"/>
  <c r="G721" i="3"/>
  <c r="G720" i="3"/>
  <c r="G719" i="3"/>
  <c r="G718" i="3"/>
  <c r="G717" i="3"/>
  <c r="G716" i="3"/>
  <c r="G715" i="3"/>
  <c r="G714" i="3"/>
  <c r="G713" i="3"/>
  <c r="G712" i="3"/>
  <c r="G711" i="3"/>
  <c r="G710" i="3"/>
  <c r="G709" i="3"/>
  <c r="G708" i="3"/>
  <c r="G707" i="3"/>
  <c r="G706" i="3"/>
  <c r="G705" i="3"/>
  <c r="G704" i="3"/>
  <c r="G703" i="3"/>
  <c r="G702" i="3"/>
  <c r="G701" i="3"/>
  <c r="G700" i="3"/>
  <c r="G699" i="3"/>
  <c r="G698" i="3"/>
  <c r="G697" i="3"/>
  <c r="G696" i="3"/>
  <c r="G695" i="3"/>
  <c r="G694" i="3"/>
  <c r="G693" i="3"/>
  <c r="G692" i="3"/>
  <c r="G691" i="3"/>
  <c r="G690" i="3"/>
  <c r="G689" i="3"/>
  <c r="G688" i="3"/>
  <c r="G687" i="3"/>
  <c r="G686" i="3"/>
  <c r="G685" i="3"/>
  <c r="G684" i="3"/>
  <c r="G683" i="3"/>
  <c r="G682" i="3"/>
  <c r="G681" i="3"/>
  <c r="G680" i="3"/>
  <c r="G679" i="3"/>
  <c r="G678" i="3"/>
  <c r="G677" i="3"/>
  <c r="G676" i="3"/>
  <c r="G675" i="3"/>
  <c r="G674" i="3"/>
  <c r="G673" i="3"/>
  <c r="G672" i="3"/>
  <c r="G671" i="3"/>
  <c r="G670" i="3"/>
  <c r="G669" i="3"/>
  <c r="G668" i="3"/>
  <c r="G667" i="3"/>
  <c r="G666" i="3"/>
  <c r="G665" i="3"/>
  <c r="G664" i="3"/>
  <c r="G663" i="3"/>
  <c r="G662" i="3"/>
  <c r="G661" i="3"/>
  <c r="G660" i="3"/>
  <c r="G659" i="3"/>
  <c r="G658" i="3"/>
  <c r="G657" i="3"/>
  <c r="G656" i="3"/>
  <c r="G655" i="3"/>
  <c r="G654" i="3"/>
  <c r="G653" i="3"/>
  <c r="G652" i="3"/>
  <c r="G651" i="3"/>
  <c r="G650" i="3"/>
  <c r="G649" i="3"/>
  <c r="G648" i="3"/>
  <c r="G647" i="3"/>
  <c r="G646" i="3"/>
  <c r="G645" i="3"/>
  <c r="G644" i="3"/>
  <c r="G643" i="3"/>
  <c r="G642" i="3"/>
  <c r="G641" i="3"/>
  <c r="G640" i="3"/>
  <c r="G639" i="3"/>
  <c r="G638" i="3"/>
  <c r="G637" i="3"/>
  <c r="G636" i="3"/>
  <c r="G635" i="3"/>
  <c r="G634" i="3"/>
  <c r="G633" i="3"/>
  <c r="G632" i="3"/>
  <c r="G631" i="3"/>
  <c r="G630" i="3"/>
  <c r="G629" i="3"/>
  <c r="G628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DA99" i="2" l="1"/>
  <c r="DA97" i="2"/>
  <c r="BN61" i="2"/>
  <c r="BM61" i="2"/>
  <c r="BL61" i="2"/>
  <c r="BK61" i="2"/>
  <c r="BJ61" i="2"/>
  <c r="BI61" i="2"/>
  <c r="BH61" i="2"/>
  <c r="BG61" i="2"/>
  <c r="BF61" i="2"/>
  <c r="BE61" i="2"/>
  <c r="BE63" i="2" s="1"/>
  <c r="BD61" i="2"/>
  <c r="BD63" i="2" s="1"/>
  <c r="BC61" i="2"/>
  <c r="BB61" i="2"/>
  <c r="BA61" i="2"/>
  <c r="AZ61" i="2"/>
  <c r="AY61" i="2"/>
  <c r="AX61" i="2"/>
  <c r="AW61" i="2"/>
  <c r="AV61" i="2"/>
  <c r="AU61" i="2"/>
  <c r="BO61" i="2"/>
  <c r="CN86" i="2"/>
  <c r="CO86" i="2"/>
  <c r="CP86" i="2"/>
  <c r="CK61" i="2"/>
  <c r="CJ61" i="2"/>
  <c r="CI61" i="2"/>
  <c r="CH61" i="2"/>
  <c r="CG61" i="2"/>
  <c r="CF61" i="2"/>
  <c r="CE61" i="2"/>
  <c r="CD61" i="2"/>
  <c r="CP52" i="2"/>
  <c r="CQ56" i="2" s="1"/>
  <c r="CO52" i="2"/>
  <c r="CN52" i="2"/>
  <c r="CM52" i="2"/>
  <c r="CL52" i="2"/>
  <c r="CP51" i="2"/>
  <c r="CQ55" i="2" s="1"/>
  <c r="CO51" i="2"/>
  <c r="CN51" i="2"/>
  <c r="CM51" i="2"/>
  <c r="CL51" i="2"/>
  <c r="CP50" i="2"/>
  <c r="CQ54" i="2" s="1"/>
  <c r="CO50" i="2"/>
  <c r="CN50" i="2"/>
  <c r="CM50" i="2"/>
  <c r="CL50" i="2"/>
  <c r="CP22" i="2"/>
  <c r="CO22" i="2"/>
  <c r="CN22" i="2"/>
  <c r="CM22" i="2"/>
  <c r="CL22" i="2"/>
  <c r="CP14" i="2"/>
  <c r="CO14" i="2"/>
  <c r="CO34" i="2" s="1"/>
  <c r="CN14" i="2"/>
  <c r="CM14" i="2"/>
  <c r="CL14" i="2"/>
  <c r="CP13" i="2"/>
  <c r="CO13" i="2"/>
  <c r="CN13" i="2"/>
  <c r="CM13" i="2"/>
  <c r="CL13" i="2"/>
  <c r="CP12" i="2"/>
  <c r="CO12" i="2"/>
  <c r="CN12" i="2"/>
  <c r="CM12" i="2"/>
  <c r="CL12" i="2"/>
  <c r="CP11" i="2"/>
  <c r="CO11" i="2"/>
  <c r="CN11" i="2"/>
  <c r="CN31" i="2" s="1"/>
  <c r="CM11" i="2"/>
  <c r="CL11" i="2"/>
  <c r="CP10" i="2"/>
  <c r="CO10" i="2"/>
  <c r="CN10" i="2"/>
  <c r="CM10" i="2"/>
  <c r="CL10" i="2"/>
  <c r="CP9" i="2"/>
  <c r="CO9" i="2"/>
  <c r="CN9" i="2"/>
  <c r="CM9" i="2"/>
  <c r="CL9" i="2"/>
  <c r="CP8" i="2"/>
  <c r="CO8" i="2"/>
  <c r="CN8" i="2"/>
  <c r="CM8" i="2"/>
  <c r="CM28" i="2" s="1"/>
  <c r="CL8" i="2"/>
  <c r="CP6" i="2"/>
  <c r="CO6" i="2"/>
  <c r="CN6" i="2"/>
  <c r="CM6" i="2"/>
  <c r="CL6" i="2"/>
  <c r="CP5" i="2"/>
  <c r="CO5" i="2"/>
  <c r="CO25" i="2" s="1"/>
  <c r="CN5" i="2"/>
  <c r="CM5" i="2"/>
  <c r="CL5" i="2"/>
  <c r="CM4" i="2"/>
  <c r="CO4" i="2"/>
  <c r="CP4" i="2"/>
  <c r="CN4" i="2"/>
  <c r="CL4" i="2"/>
  <c r="CL44" i="2" s="1"/>
  <c r="CB3" i="2"/>
  <c r="CC3" i="2" s="1"/>
  <c r="CD3" i="2" s="1"/>
  <c r="CE3" i="2" s="1"/>
  <c r="CF3" i="2" s="1"/>
  <c r="CG3" i="2" s="1"/>
  <c r="CH3" i="2" s="1"/>
  <c r="CI3" i="2" s="1"/>
  <c r="CJ3" i="2" s="1"/>
  <c r="CK3" i="2" s="1"/>
  <c r="CL3" i="2" s="1"/>
  <c r="CM3" i="2" s="1"/>
  <c r="CN3" i="2" s="1"/>
  <c r="CO3" i="2" s="1"/>
  <c r="CP3" i="2" s="1"/>
  <c r="CQ3" i="2" s="1"/>
  <c r="CR3" i="2" s="1"/>
  <c r="CS3" i="2" s="1"/>
  <c r="CT3" i="2" s="1"/>
  <c r="CU3" i="2" s="1"/>
  <c r="CV3" i="2" s="1"/>
  <c r="CW3" i="2" s="1"/>
  <c r="CX3" i="2" s="1"/>
  <c r="CY3" i="2" s="1"/>
  <c r="CZ3" i="2" s="1"/>
  <c r="DA3" i="2" s="1"/>
  <c r="DB3" i="2" s="1"/>
  <c r="DC3" i="2" s="1"/>
  <c r="DD3" i="2" s="1"/>
  <c r="DE3" i="2" s="1"/>
  <c r="DF3" i="2" s="1"/>
  <c r="DG3" i="2" s="1"/>
  <c r="DH3" i="2" s="1"/>
  <c r="DI3" i="2" s="1"/>
  <c r="DJ3" i="2" s="1"/>
  <c r="DK3" i="2" s="1"/>
  <c r="DL3" i="2" s="1"/>
  <c r="DM3" i="2" s="1"/>
  <c r="DN3" i="2" s="1"/>
  <c r="DO3" i="2" s="1"/>
  <c r="DP3" i="2" s="1"/>
  <c r="DQ3" i="2" s="1"/>
  <c r="DR3" i="2" s="1"/>
  <c r="DS3" i="2" s="1"/>
  <c r="DT3" i="2" s="1"/>
  <c r="DU3" i="2" s="1"/>
  <c r="DV3" i="2" s="1"/>
  <c r="DW3" i="2" s="1"/>
  <c r="DX3" i="2" s="1"/>
  <c r="DY3" i="2" s="1"/>
  <c r="DZ3" i="2" s="1"/>
  <c r="EA3" i="2" s="1"/>
  <c r="EB3" i="2" s="1"/>
  <c r="EC3" i="2" s="1"/>
  <c r="ED3" i="2" s="1"/>
  <c r="EE3" i="2" s="1"/>
  <c r="EF3" i="2" s="1"/>
  <c r="EG3" i="2" s="1"/>
  <c r="EH3" i="2" s="1"/>
  <c r="EI3" i="2" s="1"/>
  <c r="EJ3" i="2" s="1"/>
  <c r="EK3" i="2" s="1"/>
  <c r="EL3" i="2" s="1"/>
  <c r="EM3" i="2" s="1"/>
  <c r="EN3" i="2" s="1"/>
  <c r="EO3" i="2" s="1"/>
  <c r="EP3" i="2" s="1"/>
  <c r="EQ3" i="2" s="1"/>
  <c r="ER3" i="2" s="1"/>
  <c r="ES3" i="2" s="1"/>
  <c r="ET3" i="2" s="1"/>
  <c r="EU3" i="2" s="1"/>
  <c r="EV3" i="2" s="1"/>
  <c r="EW3" i="2" s="1"/>
  <c r="EX3" i="2" s="1"/>
  <c r="G194" i="3"/>
  <c r="C5" i="1"/>
  <c r="C8" i="1" l="1"/>
  <c r="CV94" i="2"/>
  <c r="CN110" i="2"/>
  <c r="CN112" i="2"/>
  <c r="CN111" i="2"/>
  <c r="BI114" i="2"/>
  <c r="BI113" i="2"/>
  <c r="BO114" i="2"/>
  <c r="BO113" i="2"/>
  <c r="BJ114" i="2"/>
  <c r="BJ113" i="2"/>
  <c r="BK114" i="2"/>
  <c r="BK113" i="2"/>
  <c r="BL113" i="2"/>
  <c r="BL114" i="2"/>
  <c r="BM63" i="2"/>
  <c r="BM113" i="2"/>
  <c r="BM114" i="2"/>
  <c r="BF113" i="2"/>
  <c r="BF114" i="2"/>
  <c r="BN113" i="2"/>
  <c r="BN114" i="2"/>
  <c r="CP112" i="2"/>
  <c r="CP110" i="2"/>
  <c r="CP111" i="2"/>
  <c r="BG114" i="2"/>
  <c r="BG113" i="2"/>
  <c r="CO110" i="2"/>
  <c r="CO112" i="2"/>
  <c r="CO111" i="2"/>
  <c r="BH114" i="2"/>
  <c r="BH113" i="2"/>
  <c r="CK80" i="2"/>
  <c r="CK81" i="2"/>
  <c r="CK79" i="2"/>
  <c r="CK82" i="2"/>
  <c r="CK84" i="2"/>
  <c r="CD80" i="2"/>
  <c r="CD81" i="2"/>
  <c r="CD79" i="2"/>
  <c r="CD82" i="2"/>
  <c r="CD84" i="2"/>
  <c r="CO28" i="2"/>
  <c r="CM26" i="2"/>
  <c r="CL46" i="2"/>
  <c r="CN56" i="2"/>
  <c r="CM33" i="2"/>
  <c r="CM30" i="2"/>
  <c r="CN33" i="2"/>
  <c r="CM56" i="2"/>
  <c r="CE81" i="2"/>
  <c r="CE80" i="2"/>
  <c r="CE79" i="2"/>
  <c r="CE82" i="2"/>
  <c r="CE84" i="2"/>
  <c r="CO44" i="2"/>
  <c r="CP28" i="2"/>
  <c r="CN30" i="2"/>
  <c r="CO33" i="2"/>
  <c r="CL59" i="2"/>
  <c r="CG81" i="2"/>
  <c r="CG80" i="2"/>
  <c r="CG79" i="2"/>
  <c r="CG82" i="2"/>
  <c r="CG84" i="2"/>
  <c r="CH81" i="2"/>
  <c r="CH80" i="2"/>
  <c r="CH79" i="2"/>
  <c r="CH82" i="2"/>
  <c r="CH84" i="2"/>
  <c r="CM25" i="2"/>
  <c r="CP26" i="2"/>
  <c r="CN29" i="2"/>
  <c r="CM34" i="2"/>
  <c r="CA80" i="2"/>
  <c r="CA81" i="2"/>
  <c r="CA79" i="2"/>
  <c r="CA82" i="2"/>
  <c r="CA84" i="2"/>
  <c r="CI80" i="2"/>
  <c r="CI81" i="2"/>
  <c r="CI79" i="2"/>
  <c r="CI82" i="2"/>
  <c r="CI84" i="2"/>
  <c r="CB80" i="2"/>
  <c r="CB81" i="2"/>
  <c r="CB79" i="2"/>
  <c r="CB82" i="2"/>
  <c r="CB84" i="2"/>
  <c r="CJ81" i="2"/>
  <c r="CJ80" i="2"/>
  <c r="CJ79" i="2"/>
  <c r="CJ82" i="2"/>
  <c r="CJ84" i="2"/>
  <c r="CF80" i="2"/>
  <c r="CF81" i="2"/>
  <c r="CF79" i="2"/>
  <c r="CF82" i="2"/>
  <c r="CF84" i="2"/>
  <c r="CC81" i="2"/>
  <c r="CC80" i="2"/>
  <c r="CC79" i="2"/>
  <c r="CC82" i="2"/>
  <c r="CC84" i="2"/>
  <c r="CN26" i="2"/>
  <c r="CM32" i="2"/>
  <c r="CM46" i="2"/>
  <c r="CP33" i="2"/>
  <c r="CN42" i="2"/>
  <c r="CN48" i="2"/>
  <c r="CN47" i="2"/>
  <c r="CN45" i="2"/>
  <c r="CO56" i="2"/>
  <c r="CO26" i="2"/>
  <c r="CM29" i="2"/>
  <c r="CP30" i="2"/>
  <c r="CN32" i="2"/>
  <c r="CN46" i="2"/>
  <c r="CO42" i="2"/>
  <c r="CO48" i="2"/>
  <c r="CO47" i="2"/>
  <c r="CO45" i="2"/>
  <c r="CM59" i="2"/>
  <c r="CM55" i="2"/>
  <c r="CP56" i="2"/>
  <c r="CN25" i="2"/>
  <c r="CO29" i="2"/>
  <c r="CM31" i="2"/>
  <c r="CP32" i="2"/>
  <c r="CP46" i="2"/>
  <c r="CN34" i="2"/>
  <c r="CL58" i="2"/>
  <c r="CO55" i="2"/>
  <c r="CO59" i="2"/>
  <c r="CM42" i="2"/>
  <c r="CM48" i="2"/>
  <c r="CM45" i="2"/>
  <c r="CM47" i="2"/>
  <c r="CM44" i="2"/>
  <c r="CN59" i="2"/>
  <c r="CN55" i="2"/>
  <c r="CP29" i="2"/>
  <c r="CM58" i="2"/>
  <c r="CM54" i="2"/>
  <c r="CP55" i="2"/>
  <c r="CP59" i="2"/>
  <c r="CO32" i="2"/>
  <c r="CO46" i="2"/>
  <c r="CN44" i="2"/>
  <c r="CP25" i="2"/>
  <c r="CN28" i="2"/>
  <c r="CO31" i="2"/>
  <c r="CP34" i="2"/>
  <c r="CN58" i="2"/>
  <c r="CN54" i="2"/>
  <c r="CP54" i="2"/>
  <c r="CP58" i="2"/>
  <c r="CO30" i="2"/>
  <c r="CP42" i="2"/>
  <c r="CP48" i="2"/>
  <c r="CP47" i="2"/>
  <c r="CP45" i="2"/>
  <c r="CR4" i="2"/>
  <c r="CS4" i="2" s="1"/>
  <c r="CT4" i="2" s="1"/>
  <c r="CU4" i="2" s="1"/>
  <c r="CV4" i="2" s="1"/>
  <c r="CW4" i="2" s="1"/>
  <c r="CX4" i="2" s="1"/>
  <c r="CY4" i="2" s="1"/>
  <c r="CZ4" i="2" s="1"/>
  <c r="CP44" i="2"/>
  <c r="CP31" i="2"/>
  <c r="CL48" i="2"/>
  <c r="CL47" i="2"/>
  <c r="CL45" i="2"/>
  <c r="CO58" i="2"/>
  <c r="CO54" i="2"/>
  <c r="AU63" i="2"/>
  <c r="AU81" i="2"/>
  <c r="AU80" i="2"/>
  <c r="BC63" i="2"/>
  <c r="BC81" i="2"/>
  <c r="BC80" i="2"/>
  <c r="BK63" i="2"/>
  <c r="BK80" i="2"/>
  <c r="BK81" i="2"/>
  <c r="AV63" i="2"/>
  <c r="AV81" i="2"/>
  <c r="AV80" i="2"/>
  <c r="BD80" i="2"/>
  <c r="BD81" i="2"/>
  <c r="BL63" i="2"/>
  <c r="BL81" i="2"/>
  <c r="BL80" i="2"/>
  <c r="BN63" i="2"/>
  <c r="BN81" i="2"/>
  <c r="BN80" i="2"/>
  <c r="AY80" i="2"/>
  <c r="AY81" i="2"/>
  <c r="AZ63" i="2"/>
  <c r="AZ80" i="2"/>
  <c r="AZ81" i="2"/>
  <c r="BH63" i="2"/>
  <c r="BH80" i="2"/>
  <c r="BH81" i="2"/>
  <c r="BE81" i="2"/>
  <c r="BE80" i="2"/>
  <c r="BF63" i="2"/>
  <c r="BF81" i="2"/>
  <c r="BF80" i="2"/>
  <c r="BG81" i="2"/>
  <c r="BG80" i="2"/>
  <c r="BA63" i="2"/>
  <c r="BA80" i="2"/>
  <c r="BA81" i="2"/>
  <c r="BI63" i="2"/>
  <c r="BI80" i="2"/>
  <c r="BI81" i="2"/>
  <c r="AW81" i="2"/>
  <c r="AW80" i="2"/>
  <c r="AX63" i="2"/>
  <c r="AX80" i="2"/>
  <c r="AX81" i="2"/>
  <c r="BO63" i="2"/>
  <c r="CQ63" i="2" s="1"/>
  <c r="BO81" i="2"/>
  <c r="BO80" i="2"/>
  <c r="BB63" i="2"/>
  <c r="BB80" i="2"/>
  <c r="BB81" i="2"/>
  <c r="BJ63" i="2"/>
  <c r="BJ80" i="2"/>
  <c r="BJ81" i="2"/>
  <c r="BM81" i="2"/>
  <c r="BM80" i="2"/>
  <c r="CM61" i="2"/>
  <c r="CO61" i="2"/>
  <c r="CV91" i="2"/>
  <c r="AY63" i="2"/>
  <c r="BG63" i="2"/>
  <c r="CL61" i="2"/>
  <c r="CN61" i="2"/>
  <c r="CP61" i="2"/>
  <c r="AW63" i="2"/>
  <c r="K277" i="3"/>
  <c r="K278" i="3" s="1"/>
  <c r="K276" i="3"/>
  <c r="K275" i="3"/>
  <c r="K274" i="3"/>
  <c r="K273" i="3"/>
  <c r="CM24" i="2"/>
  <c r="CN24" i="2"/>
  <c r="CO24" i="2"/>
  <c r="CR6" i="2"/>
  <c r="CS6" i="2" s="1"/>
  <c r="CT6" i="2" s="1"/>
  <c r="CU6" i="2" s="1"/>
  <c r="CV6" i="2" s="1"/>
  <c r="CW6" i="2" s="1"/>
  <c r="CX6" i="2" s="1"/>
  <c r="CY6" i="2" s="1"/>
  <c r="CZ6" i="2" s="1"/>
  <c r="CP24" i="2"/>
  <c r="CV95" i="2" l="1"/>
  <c r="CV96" i="2"/>
  <c r="CP114" i="2"/>
  <c r="CP113" i="2"/>
  <c r="CN113" i="2"/>
  <c r="CN114" i="2"/>
  <c r="CO114" i="2"/>
  <c r="CO113" i="2"/>
  <c r="CL81" i="2"/>
  <c r="CL80" i="2"/>
  <c r="CO80" i="2"/>
  <c r="CO81" i="2"/>
  <c r="CN80" i="2"/>
  <c r="CN81" i="2"/>
  <c r="CM81" i="2"/>
  <c r="CM80" i="2"/>
  <c r="CP80" i="2"/>
  <c r="CP81" i="2"/>
  <c r="CQ27" i="2"/>
  <c r="CR5" i="2"/>
  <c r="CN63" i="2"/>
  <c r="CN79" i="2" s="1"/>
  <c r="CL63" i="2"/>
  <c r="CL79" i="2" s="1"/>
  <c r="CQ32" i="2"/>
  <c r="CO63" i="2"/>
  <c r="CO79" i="2" s="1"/>
  <c r="CP63" i="2"/>
  <c r="CP79" i="2" s="1"/>
  <c r="CM63" i="2"/>
  <c r="CM79" i="2" s="1"/>
  <c r="BE68" i="2"/>
  <c r="BE79" i="2"/>
  <c r="BO68" i="2"/>
  <c r="CQ68" i="2" s="1"/>
  <c r="BO79" i="2"/>
  <c r="BI68" i="2"/>
  <c r="BI79" i="2"/>
  <c r="BF68" i="2"/>
  <c r="BF79" i="2"/>
  <c r="AZ68" i="2"/>
  <c r="AZ79" i="2"/>
  <c r="BL68" i="2"/>
  <c r="BL79" i="2"/>
  <c r="AW68" i="2"/>
  <c r="AW79" i="2"/>
  <c r="AX68" i="2"/>
  <c r="AX79" i="2"/>
  <c r="BA68" i="2"/>
  <c r="BA79" i="2"/>
  <c r="BD68" i="2"/>
  <c r="BD79" i="2"/>
  <c r="BK68" i="2"/>
  <c r="BK79" i="2"/>
  <c r="BC68" i="2"/>
  <c r="BC79" i="2"/>
  <c r="BB68" i="2"/>
  <c r="BB79" i="2"/>
  <c r="BH68" i="2"/>
  <c r="BH79" i="2"/>
  <c r="BN68" i="2"/>
  <c r="BN79" i="2"/>
  <c r="BG68" i="2"/>
  <c r="BG79" i="2"/>
  <c r="AV68" i="2"/>
  <c r="AV79" i="2"/>
  <c r="BJ68" i="2"/>
  <c r="BJ79" i="2"/>
  <c r="AY68" i="2"/>
  <c r="AY79" i="2"/>
  <c r="AU68" i="2"/>
  <c r="AU79" i="2"/>
  <c r="BM68" i="2"/>
  <c r="BM79" i="2"/>
  <c r="P295" i="3"/>
  <c r="M285" i="3"/>
  <c r="M293" i="3"/>
  <c r="M301" i="3"/>
  <c r="M309" i="3"/>
  <c r="M317" i="3"/>
  <c r="M325" i="3"/>
  <c r="M333" i="3"/>
  <c r="M341" i="3"/>
  <c r="M349" i="3"/>
  <c r="M357" i="3"/>
  <c r="M284" i="3"/>
  <c r="M312" i="3"/>
  <c r="M336" i="3"/>
  <c r="M289" i="3"/>
  <c r="M313" i="3"/>
  <c r="M345" i="3"/>
  <c r="M298" i="3"/>
  <c r="M322" i="3"/>
  <c r="M362" i="3"/>
  <c r="M315" i="3"/>
  <c r="M339" i="3"/>
  <c r="M292" i="3"/>
  <c r="M324" i="3"/>
  <c r="M356" i="3"/>
  <c r="M286" i="3"/>
  <c r="M294" i="3"/>
  <c r="M302" i="3"/>
  <c r="M310" i="3"/>
  <c r="M318" i="3"/>
  <c r="M326" i="3"/>
  <c r="M334" i="3"/>
  <c r="M342" i="3"/>
  <c r="M350" i="3"/>
  <c r="M358" i="3"/>
  <c r="M304" i="3"/>
  <c r="M320" i="3"/>
  <c r="M344" i="3"/>
  <c r="M297" i="3"/>
  <c r="M321" i="3"/>
  <c r="M353" i="3"/>
  <c r="M306" i="3"/>
  <c r="M330" i="3"/>
  <c r="M354" i="3"/>
  <c r="M307" i="3"/>
  <c r="M331" i="3"/>
  <c r="M355" i="3"/>
  <c r="M308" i="3"/>
  <c r="M332" i="3"/>
  <c r="M364" i="3"/>
  <c r="M287" i="3"/>
  <c r="M295" i="3"/>
  <c r="M303" i="3"/>
  <c r="M311" i="3"/>
  <c r="M319" i="3"/>
  <c r="M327" i="3"/>
  <c r="M335" i="3"/>
  <c r="M343" i="3"/>
  <c r="M351" i="3"/>
  <c r="M359" i="3"/>
  <c r="M296" i="3"/>
  <c r="M328" i="3"/>
  <c r="M360" i="3"/>
  <c r="M305" i="3"/>
  <c r="M329" i="3"/>
  <c r="M361" i="3"/>
  <c r="M314" i="3"/>
  <c r="M346" i="3"/>
  <c r="M299" i="3"/>
  <c r="M347" i="3"/>
  <c r="M300" i="3"/>
  <c r="M340" i="3"/>
  <c r="M288" i="3"/>
  <c r="M352" i="3"/>
  <c r="M337" i="3"/>
  <c r="M290" i="3"/>
  <c r="M338" i="3"/>
  <c r="M291" i="3"/>
  <c r="M323" i="3"/>
  <c r="M363" i="3"/>
  <c r="M316" i="3"/>
  <c r="M348" i="3"/>
  <c r="P285" i="3"/>
  <c r="P284" i="3"/>
  <c r="P287" i="3"/>
  <c r="P294" i="3"/>
  <c r="P286" i="3"/>
  <c r="P297" i="3"/>
  <c r="P293" i="3"/>
  <c r="P289" i="3"/>
  <c r="P292" i="3"/>
  <c r="P296" i="3"/>
  <c r="P291" i="3"/>
  <c r="P288" i="3"/>
  <c r="P290" i="3"/>
  <c r="CS5" i="2" l="1"/>
  <c r="CR7" i="2"/>
  <c r="CR27" i="2" s="1"/>
  <c r="CV110" i="2"/>
  <c r="CM68" i="2"/>
  <c r="CM82" i="2" s="1"/>
  <c r="CQ61" i="2"/>
  <c r="CP68" i="2"/>
  <c r="CP82" i="2" s="1"/>
  <c r="CL68" i="2"/>
  <c r="CL82" i="2" s="1"/>
  <c r="CO68" i="2"/>
  <c r="CO82" i="2" s="1"/>
  <c r="CN68" i="2"/>
  <c r="CN82" i="2" s="1"/>
  <c r="AU73" i="2"/>
  <c r="AU82" i="2"/>
  <c r="BF73" i="2"/>
  <c r="BF82" i="2"/>
  <c r="AX73" i="2"/>
  <c r="AX82" i="2"/>
  <c r="AY73" i="2"/>
  <c r="AY82" i="2"/>
  <c r="BN73" i="2"/>
  <c r="BN82" i="2"/>
  <c r="BK73" i="2"/>
  <c r="BK82" i="2"/>
  <c r="AW73" i="2"/>
  <c r="AW82" i="2"/>
  <c r="BI73" i="2"/>
  <c r="BI82" i="2"/>
  <c r="BC73" i="2"/>
  <c r="BC82" i="2"/>
  <c r="BG73" i="2"/>
  <c r="BG82" i="2"/>
  <c r="BJ73" i="2"/>
  <c r="BJ82" i="2"/>
  <c r="BH73" i="2"/>
  <c r="BH82" i="2"/>
  <c r="BD73" i="2"/>
  <c r="BD82" i="2"/>
  <c r="BL73" i="2"/>
  <c r="BL82" i="2"/>
  <c r="BO73" i="2"/>
  <c r="CQ73" i="2" s="1"/>
  <c r="CQ83" i="2" s="1"/>
  <c r="BO82" i="2"/>
  <c r="AV73" i="2"/>
  <c r="AV82" i="2"/>
  <c r="BB73" i="2"/>
  <c r="BB82" i="2"/>
  <c r="BA73" i="2"/>
  <c r="BA82" i="2"/>
  <c r="AZ73" i="2"/>
  <c r="AZ82" i="2"/>
  <c r="BE73" i="2"/>
  <c r="BE82" i="2"/>
  <c r="BM73" i="2"/>
  <c r="BM82" i="2"/>
  <c r="CT5" i="2" l="1"/>
  <c r="CS7" i="2"/>
  <c r="CS22" i="2" s="1"/>
  <c r="CQ113" i="2"/>
  <c r="CQ114" i="2"/>
  <c r="CQ81" i="2"/>
  <c r="CQ80" i="2"/>
  <c r="CQ79" i="2"/>
  <c r="CQ82" i="2"/>
  <c r="CM73" i="2"/>
  <c r="CM83" i="2" s="1"/>
  <c r="CQ42" i="2"/>
  <c r="CP73" i="2"/>
  <c r="CP83" i="2" s="1"/>
  <c r="CL73" i="2"/>
  <c r="CL83" i="2" s="1"/>
  <c r="CO73" i="2"/>
  <c r="CO83" i="2" s="1"/>
  <c r="CN73" i="2"/>
  <c r="CN83" i="2" s="1"/>
  <c r="BB75" i="2"/>
  <c r="BB119" i="2" s="1"/>
  <c r="BB83" i="2"/>
  <c r="AY75" i="2"/>
  <c r="AY83" i="2"/>
  <c r="BN75" i="2"/>
  <c r="BN83" i="2"/>
  <c r="AV75" i="2"/>
  <c r="AV119" i="2" s="1"/>
  <c r="AV83" i="2"/>
  <c r="AU75" i="2"/>
  <c r="AU83" i="2"/>
  <c r="BH75" i="2"/>
  <c r="BH83" i="2"/>
  <c r="AZ75" i="2"/>
  <c r="AZ119" i="2" s="1"/>
  <c r="AZ83" i="2"/>
  <c r="BJ75" i="2"/>
  <c r="BJ83" i="2"/>
  <c r="AX75" i="2"/>
  <c r="AX119" i="2" s="1"/>
  <c r="AX83" i="2"/>
  <c r="BD75" i="2"/>
  <c r="BD119" i="2" s="1"/>
  <c r="BD83" i="2"/>
  <c r="BE75" i="2"/>
  <c r="BE119" i="2" s="1"/>
  <c r="BE83" i="2"/>
  <c r="BL75" i="2"/>
  <c r="BL83" i="2"/>
  <c r="BG75" i="2"/>
  <c r="BG83" i="2"/>
  <c r="BF75" i="2"/>
  <c r="BF83" i="2"/>
  <c r="BC75" i="2"/>
  <c r="BC83" i="2"/>
  <c r="BI75" i="2"/>
  <c r="BI83" i="2"/>
  <c r="BO75" i="2"/>
  <c r="BO83" i="2"/>
  <c r="AW75" i="2"/>
  <c r="AW119" i="2" s="1"/>
  <c r="AW83" i="2"/>
  <c r="BA75" i="2"/>
  <c r="BA119" i="2" s="1"/>
  <c r="BA83" i="2"/>
  <c r="BK75" i="2"/>
  <c r="BK83" i="2"/>
  <c r="BM75" i="2"/>
  <c r="BM83" i="2"/>
  <c r="CS27" i="2" l="1"/>
  <c r="CU5" i="2"/>
  <c r="CT7" i="2"/>
  <c r="CT22" i="2" s="1"/>
  <c r="BF119" i="2"/>
  <c r="BF117" i="2"/>
  <c r="BF116" i="2"/>
  <c r="BN119" i="2"/>
  <c r="BN117" i="2"/>
  <c r="BN116" i="2"/>
  <c r="BH119" i="2"/>
  <c r="BH117" i="2"/>
  <c r="BH116" i="2"/>
  <c r="BG117" i="2"/>
  <c r="BG116" i="2"/>
  <c r="BO119" i="2"/>
  <c r="CQ119" i="2" s="1"/>
  <c r="CQ75" i="2"/>
  <c r="BO117" i="2"/>
  <c r="BO116" i="2"/>
  <c r="BK116" i="2"/>
  <c r="BK117" i="2"/>
  <c r="BL119" i="2"/>
  <c r="BL116" i="2"/>
  <c r="BL117" i="2"/>
  <c r="BJ119" i="2"/>
  <c r="BJ117" i="2"/>
  <c r="BJ116" i="2"/>
  <c r="BM119" i="2"/>
  <c r="BM116" i="2"/>
  <c r="BM117" i="2"/>
  <c r="BI119" i="2"/>
  <c r="BI117" i="2"/>
  <c r="BI116" i="2"/>
  <c r="AY119" i="2"/>
  <c r="CM119" i="2" s="1"/>
  <c r="CM75" i="2"/>
  <c r="CM84" i="2" s="1"/>
  <c r="BC119" i="2"/>
  <c r="CN119" i="2" s="1"/>
  <c r="CN75" i="2"/>
  <c r="BG119" i="2"/>
  <c r="CO75" i="2"/>
  <c r="AU119" i="2"/>
  <c r="CL119" i="2" s="1"/>
  <c r="CL75" i="2"/>
  <c r="CL84" i="2" s="1"/>
  <c r="BK119" i="2"/>
  <c r="CP75" i="2"/>
  <c r="BG77" i="2"/>
  <c r="BG84" i="2"/>
  <c r="BJ77" i="2"/>
  <c r="BJ84" i="2"/>
  <c r="AV77" i="2"/>
  <c r="AV84" i="2"/>
  <c r="AU77" i="2"/>
  <c r="AU84" i="2"/>
  <c r="BK77" i="2"/>
  <c r="BK84" i="2"/>
  <c r="BB77" i="2"/>
  <c r="BB84" i="2"/>
  <c r="BL77" i="2"/>
  <c r="BL84" i="2"/>
  <c r="BA77" i="2"/>
  <c r="BA84" i="2"/>
  <c r="BE77" i="2"/>
  <c r="BE84" i="2"/>
  <c r="BN77" i="2"/>
  <c r="BN84" i="2"/>
  <c r="BO77" i="2"/>
  <c r="CQ77" i="2" s="1"/>
  <c r="BO84" i="2"/>
  <c r="AY77" i="2"/>
  <c r="AY84" i="2"/>
  <c r="AX77" i="2"/>
  <c r="AX84" i="2"/>
  <c r="BI77" i="2"/>
  <c r="BI84" i="2"/>
  <c r="BC77" i="2"/>
  <c r="BC84" i="2"/>
  <c r="AZ77" i="2"/>
  <c r="AZ84" i="2"/>
  <c r="AW77" i="2"/>
  <c r="AW84" i="2"/>
  <c r="BF77" i="2"/>
  <c r="BF84" i="2"/>
  <c r="BD77" i="2"/>
  <c r="BD84" i="2"/>
  <c r="BH77" i="2"/>
  <c r="BH84" i="2"/>
  <c r="BM77" i="2"/>
  <c r="BM84" i="2"/>
  <c r="CT27" i="2" l="1"/>
  <c r="CV5" i="2"/>
  <c r="CU7" i="2"/>
  <c r="CU22" i="2" s="1"/>
  <c r="CO119" i="2"/>
  <c r="CQ84" i="2"/>
  <c r="CQ117" i="2"/>
  <c r="CQ116" i="2"/>
  <c r="CP119" i="2"/>
  <c r="CN84" i="2"/>
  <c r="CN117" i="2"/>
  <c r="CN116" i="2"/>
  <c r="CP84" i="2"/>
  <c r="CP117" i="2"/>
  <c r="CP116" i="2"/>
  <c r="CO84" i="2"/>
  <c r="CO117" i="2"/>
  <c r="CO116" i="2"/>
  <c r="CX91" i="2"/>
  <c r="CX92" i="2" s="1"/>
  <c r="CN77" i="2"/>
  <c r="CL77" i="2"/>
  <c r="CM77" i="2"/>
  <c r="CO77" i="2"/>
  <c r="CP77" i="2"/>
  <c r="CU27" i="2" l="1"/>
  <c r="CW5" i="2"/>
  <c r="CV7" i="2"/>
  <c r="CV22" i="2" s="1"/>
  <c r="CR70" i="2"/>
  <c r="CV27" i="2" l="1"/>
  <c r="CX5" i="2"/>
  <c r="CW7" i="2"/>
  <c r="CW22" i="2" s="1"/>
  <c r="CW27" i="2" l="1"/>
  <c r="CY5" i="2"/>
  <c r="CX7" i="2"/>
  <c r="CX22" i="2" s="1"/>
  <c r="CX27" i="2" l="1"/>
  <c r="CZ5" i="2"/>
  <c r="CZ7" i="2" s="1"/>
  <c r="CZ22" i="2" s="1"/>
  <c r="CY7" i="2"/>
  <c r="CY22" i="2" s="1"/>
  <c r="CZ27" i="2" l="1"/>
  <c r="CY27" i="2"/>
  <c r="CR12" i="2"/>
  <c r="CR32" i="2" s="1"/>
  <c r="CR20" i="2" s="1"/>
  <c r="CQ40" i="2"/>
  <c r="CR40" i="2" l="1"/>
  <c r="CR22" i="2"/>
  <c r="CS32" i="2"/>
  <c r="CT32" i="2" l="1"/>
  <c r="CS40" i="2"/>
  <c r="CR61" i="2"/>
  <c r="CR42" i="2"/>
  <c r="CS61" i="2" l="1"/>
  <c r="CS42" i="2"/>
  <c r="CR66" i="2"/>
  <c r="CR65" i="2"/>
  <c r="CR62" i="2"/>
  <c r="CR63" i="2" s="1"/>
  <c r="CT40" i="2"/>
  <c r="CU32" i="2"/>
  <c r="CR67" i="2" l="1"/>
  <c r="CR68" i="2" s="1"/>
  <c r="CR73" i="2" s="1"/>
  <c r="CR74" i="2" s="1"/>
  <c r="CR75" i="2" s="1"/>
  <c r="CT61" i="2"/>
  <c r="CT42" i="2"/>
  <c r="CV32" i="2"/>
  <c r="CU40" i="2"/>
  <c r="CS66" i="2"/>
  <c r="CS65" i="2"/>
  <c r="CS62" i="2"/>
  <c r="CS63" i="2" s="1"/>
  <c r="CS67" i="2" l="1"/>
  <c r="CS68" i="2" s="1"/>
  <c r="CS82" i="2" s="1"/>
  <c r="CR82" i="2"/>
  <c r="CR86" i="2"/>
  <c r="CR84" i="2"/>
  <c r="CU61" i="2"/>
  <c r="CU42" i="2"/>
  <c r="CV40" i="2"/>
  <c r="CW32" i="2"/>
  <c r="CT62" i="2"/>
  <c r="CT63" i="2" s="1"/>
  <c r="CT66" i="2"/>
  <c r="CT65" i="2"/>
  <c r="CT67" i="2" l="1"/>
  <c r="CT68" i="2" s="1"/>
  <c r="CT82" i="2" s="1"/>
  <c r="CV61" i="2"/>
  <c r="CV42" i="2"/>
  <c r="CX32" i="2"/>
  <c r="CU66" i="2"/>
  <c r="CU62" i="2"/>
  <c r="CU63" i="2" s="1"/>
  <c r="CU65" i="2"/>
  <c r="CU67" i="2" s="1"/>
  <c r="CW40" i="2"/>
  <c r="CS70" i="2"/>
  <c r="CS73" i="2" s="1"/>
  <c r="CS74" i="2" s="1"/>
  <c r="CS75" i="2" s="1"/>
  <c r="CS84" i="2" s="1"/>
  <c r="CU68" i="2" l="1"/>
  <c r="CU82" i="2" s="1"/>
  <c r="CW61" i="2"/>
  <c r="CW42" i="2"/>
  <c r="CX40" i="2"/>
  <c r="CS86" i="2"/>
  <c r="CY32" i="2"/>
  <c r="CV65" i="2"/>
  <c r="CV66" i="2"/>
  <c r="CV62" i="2"/>
  <c r="CV63" i="2" s="1"/>
  <c r="CV67" i="2" l="1"/>
  <c r="CV68" i="2" s="1"/>
  <c r="CV82" i="2" s="1"/>
  <c r="CZ32" i="2"/>
  <c r="CY40" i="2"/>
  <c r="CT70" i="2"/>
  <c r="CT73" i="2" s="1"/>
  <c r="CT74" i="2" s="1"/>
  <c r="CT75" i="2" s="1"/>
  <c r="CT84" i="2" s="1"/>
  <c r="CX61" i="2"/>
  <c r="CX42" i="2"/>
  <c r="CW66" i="2"/>
  <c r="CW65" i="2"/>
  <c r="CW62" i="2"/>
  <c r="CW63" i="2" s="1"/>
  <c r="CT86" i="2" l="1"/>
  <c r="CX62" i="2"/>
  <c r="CX63" i="2" s="1"/>
  <c r="CX66" i="2"/>
  <c r="CX65" i="2"/>
  <c r="CY61" i="2"/>
  <c r="CY42" i="2"/>
  <c r="CW67" i="2"/>
  <c r="CW68" i="2" s="1"/>
  <c r="CW82" i="2" s="1"/>
  <c r="CZ40" i="2"/>
  <c r="CX67" i="2" l="1"/>
  <c r="CX68" i="2" s="1"/>
  <c r="CX82" i="2" s="1"/>
  <c r="CY66" i="2"/>
  <c r="CY65" i="2"/>
  <c r="CY62" i="2"/>
  <c r="CY63" i="2" s="1"/>
  <c r="CZ61" i="2"/>
  <c r="CZ42" i="2"/>
  <c r="CU70" i="2"/>
  <c r="CU73" i="2" s="1"/>
  <c r="CU74" i="2" s="1"/>
  <c r="CU75" i="2" s="1"/>
  <c r="CU84" i="2" s="1"/>
  <c r="CY67" i="2" l="1"/>
  <c r="CY68" i="2" s="1"/>
  <c r="CY82" i="2" s="1"/>
  <c r="CU86" i="2"/>
  <c r="CZ66" i="2"/>
  <c r="CZ65" i="2"/>
  <c r="CZ62" i="2"/>
  <c r="CZ63" i="2" s="1"/>
  <c r="CZ67" i="2" l="1"/>
  <c r="CZ68" i="2" s="1"/>
  <c r="CZ82" i="2" s="1"/>
  <c r="CV70" i="2"/>
  <c r="CV73" i="2" s="1"/>
  <c r="CV74" i="2" s="1"/>
  <c r="CV75" i="2" s="1"/>
  <c r="CV86" i="2" s="1"/>
  <c r="CW70" i="2" l="1"/>
  <c r="CW73" i="2" s="1"/>
  <c r="CW74" i="2" s="1"/>
  <c r="CW75" i="2" s="1"/>
  <c r="CW84" i="2" s="1"/>
  <c r="CV84" i="2"/>
  <c r="CW86" i="2" l="1"/>
  <c r="CX70" i="2" s="1"/>
  <c r="CX73" i="2" s="1"/>
  <c r="CX74" i="2" s="1"/>
  <c r="CX75" i="2" s="1"/>
  <c r="CX86" i="2" s="1"/>
  <c r="CY70" i="2" l="1"/>
  <c r="CY73" i="2" s="1"/>
  <c r="CY74" i="2" s="1"/>
  <c r="CY75" i="2" s="1"/>
  <c r="CY84" i="2" s="1"/>
  <c r="CX84" i="2"/>
  <c r="CY86" i="2" l="1"/>
  <c r="CZ70" i="2" s="1"/>
  <c r="CZ73" i="2" s="1"/>
  <c r="CZ74" i="2" s="1"/>
  <c r="CZ75" i="2" s="1"/>
  <c r="CZ86" i="2" s="1"/>
  <c r="CZ84" i="2" l="1"/>
  <c r="DA75" i="2"/>
  <c r="DB75" i="2" s="1"/>
  <c r="DC75" i="2" s="1"/>
  <c r="DD75" i="2" s="1"/>
  <c r="DE75" i="2" s="1"/>
  <c r="DF75" i="2" s="1"/>
  <c r="DG75" i="2" s="1"/>
  <c r="DH75" i="2" s="1"/>
  <c r="DI75" i="2" s="1"/>
  <c r="DJ75" i="2" s="1"/>
  <c r="DK75" i="2" s="1"/>
  <c r="DL75" i="2" s="1"/>
  <c r="DM75" i="2" s="1"/>
  <c r="DN75" i="2" s="1"/>
  <c r="DO75" i="2" s="1"/>
  <c r="DP75" i="2" s="1"/>
  <c r="DQ75" i="2" s="1"/>
  <c r="DR75" i="2" s="1"/>
  <c r="DS75" i="2" s="1"/>
  <c r="DT75" i="2" s="1"/>
  <c r="DU75" i="2" s="1"/>
  <c r="DV75" i="2" s="1"/>
  <c r="DW75" i="2" s="1"/>
  <c r="DX75" i="2" s="1"/>
  <c r="DY75" i="2" s="1"/>
  <c r="DZ75" i="2" s="1"/>
  <c r="EA75" i="2" s="1"/>
  <c r="EB75" i="2" s="1"/>
  <c r="EC75" i="2" s="1"/>
  <c r="ED75" i="2" s="1"/>
  <c r="EE75" i="2" s="1"/>
  <c r="EF75" i="2" s="1"/>
  <c r="EG75" i="2" s="1"/>
  <c r="EH75" i="2" s="1"/>
  <c r="EI75" i="2" s="1"/>
  <c r="EJ75" i="2" s="1"/>
  <c r="EK75" i="2" s="1"/>
  <c r="EL75" i="2" s="1"/>
  <c r="EM75" i="2" s="1"/>
  <c r="EN75" i="2" s="1"/>
  <c r="EO75" i="2" s="1"/>
  <c r="EP75" i="2" s="1"/>
  <c r="EQ75" i="2" s="1"/>
  <c r="ER75" i="2" s="1"/>
  <c r="ES75" i="2" s="1"/>
  <c r="ET75" i="2" s="1"/>
  <c r="EU75" i="2" s="1"/>
  <c r="EV75" i="2" s="1"/>
  <c r="EW75" i="2" s="1"/>
  <c r="EX75" i="2" s="1"/>
  <c r="DA96" i="2" l="1"/>
  <c r="DA98" i="2" s="1"/>
  <c r="DA100" i="2" l="1"/>
  <c r="DB100" i="2" s="1"/>
  <c r="CZ101" i="2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1BFD82-9C3E-46A4-94E5-E6A708A797B7}" name="Query - Table 1" description="Connection to the 'Table 1' query in the workbook." type="100" refreshedVersion="8" minRefreshableVersion="5">
    <extLst>
      <ext xmlns:x15="http://schemas.microsoft.com/office/spreadsheetml/2010/11/main" uri="{DE250136-89BD-433C-8126-D09CA5730AF9}">
        <x15:connection id="fe71dffb-9cf2-46e7-a3a3-0887267e360c"/>
      </ext>
    </extLst>
  </connection>
  <connection id="2" xr16:uid="{DC87B428-FCC1-432C-AF5A-672E0EB0EC9A}" name="Query - Table 10" description="Connection to the 'Table 10' query in the workbook." type="100" refreshedVersion="8" minRefreshableVersion="5">
    <extLst>
      <ext xmlns:x15="http://schemas.microsoft.com/office/spreadsheetml/2010/11/main" uri="{DE250136-89BD-433C-8126-D09CA5730AF9}">
        <x15:connection id="d9fd33be-01cc-420e-b3e7-1a163e54e739"/>
      </ext>
    </extLst>
  </connection>
  <connection id="3" xr16:uid="{5967E380-8C6D-421D-B951-CC7AD39FBDB5}" name="Query - Table 11" description="Connection to the 'Table 11' query in the workbook." type="100" refreshedVersion="8" minRefreshableVersion="5">
    <extLst>
      <ext xmlns:x15="http://schemas.microsoft.com/office/spreadsheetml/2010/11/main" uri="{DE250136-89BD-433C-8126-D09CA5730AF9}">
        <x15:connection id="d0c5c2ab-7923-49b0-a66f-bbd663c6c219"/>
      </ext>
    </extLst>
  </connection>
  <connection id="4" xr16:uid="{A959C3FC-1199-468A-9ABE-94E777822CC2}" name="Query - Table 12" description="Connection to the 'Table 12' query in the workbook." type="100" refreshedVersion="8" minRefreshableVersion="5">
    <extLst>
      <ext xmlns:x15="http://schemas.microsoft.com/office/spreadsheetml/2010/11/main" uri="{DE250136-89BD-433C-8126-D09CA5730AF9}">
        <x15:connection id="54095f71-8615-46f3-ad36-50d5d5f737b0"/>
      </ext>
    </extLst>
  </connection>
  <connection id="5" xr16:uid="{526435C4-F5C0-48BD-9088-0D8C9A5CBD8D}" name="Query - Table 13" description="Connection to the 'Table 13' query in the workbook." type="100" refreshedVersion="8" minRefreshableVersion="5">
    <extLst>
      <ext xmlns:x15="http://schemas.microsoft.com/office/spreadsheetml/2010/11/main" uri="{DE250136-89BD-433C-8126-D09CA5730AF9}">
        <x15:connection id="87b9f7f4-d57c-4d4c-864b-9d9cce017013"/>
      </ext>
    </extLst>
  </connection>
  <connection id="6" xr16:uid="{967D7927-C342-40BE-84E2-1C0EF5FA2329}" name="Query - Table 2" description="Connection to the 'Table 2' query in the workbook." type="100" refreshedVersion="8" minRefreshableVersion="5">
    <extLst>
      <ext xmlns:x15="http://schemas.microsoft.com/office/spreadsheetml/2010/11/main" uri="{DE250136-89BD-433C-8126-D09CA5730AF9}">
        <x15:connection id="24f13450-29dd-4f0f-8a42-502fe67f4842"/>
      </ext>
    </extLst>
  </connection>
  <connection id="7" xr16:uid="{F171DA28-EFDB-4DCC-93E5-A94E0DF420E3}" name="Query - Table 3" description="Connection to the 'Table 3' query in the workbook." type="100" refreshedVersion="8" minRefreshableVersion="5">
    <extLst>
      <ext xmlns:x15="http://schemas.microsoft.com/office/spreadsheetml/2010/11/main" uri="{DE250136-89BD-433C-8126-D09CA5730AF9}">
        <x15:connection id="12c54142-1720-4661-ac48-e1e0dbc20dea"/>
      </ext>
    </extLst>
  </connection>
  <connection id="8" xr16:uid="{42588BC6-4AEC-4E96-8132-B95BB2E319D1}" name="Query - Table 4" description="Connection to the 'Table 4' query in the workbook." type="100" refreshedVersion="8" minRefreshableVersion="5">
    <extLst>
      <ext xmlns:x15="http://schemas.microsoft.com/office/spreadsheetml/2010/11/main" uri="{DE250136-89BD-433C-8126-D09CA5730AF9}">
        <x15:connection id="0b82a564-fb7b-4dd4-bfdc-fc0fc5ca0bdc"/>
      </ext>
    </extLst>
  </connection>
  <connection id="9" xr16:uid="{C08B0186-4F1B-49F9-85B4-1F6754B71886}" name="Query - Table 5" description="Connection to the 'Table 5' query in the workbook." type="100" refreshedVersion="8" minRefreshableVersion="5">
    <extLst>
      <ext xmlns:x15="http://schemas.microsoft.com/office/spreadsheetml/2010/11/main" uri="{DE250136-89BD-433C-8126-D09CA5730AF9}">
        <x15:connection id="663ae76b-a8de-46db-b721-0f065c3ce5a1"/>
      </ext>
    </extLst>
  </connection>
  <connection id="10" xr16:uid="{4889D135-0ECD-42D7-A636-DBD927359D07}" name="Query - Table 6" description="Connection to the 'Table 6' query in the workbook." type="100" refreshedVersion="8" minRefreshableVersion="5">
    <extLst>
      <ext xmlns:x15="http://schemas.microsoft.com/office/spreadsheetml/2010/11/main" uri="{DE250136-89BD-433C-8126-D09CA5730AF9}">
        <x15:connection id="54d416c7-83e8-4d2e-82fe-c548e4583d22"/>
      </ext>
    </extLst>
  </connection>
  <connection id="11" xr16:uid="{FE395689-0BF5-43DF-8A91-11192718CB64}" name="Query - Table 7" description="Connection to the 'Table 7' query in the workbook." type="100" refreshedVersion="8" minRefreshableVersion="5">
    <extLst>
      <ext xmlns:x15="http://schemas.microsoft.com/office/spreadsheetml/2010/11/main" uri="{DE250136-89BD-433C-8126-D09CA5730AF9}">
        <x15:connection id="f9651a86-69ee-411b-9029-13f098d77aa1"/>
      </ext>
    </extLst>
  </connection>
  <connection id="12" xr16:uid="{4710ED10-3DFF-4DF4-A9B9-A79D46947E7A}" name="Query - Table 8" description="Connection to the 'Table 8' query in the workbook." type="100" refreshedVersion="8" minRefreshableVersion="5">
    <extLst>
      <ext xmlns:x15="http://schemas.microsoft.com/office/spreadsheetml/2010/11/main" uri="{DE250136-89BD-433C-8126-D09CA5730AF9}">
        <x15:connection id="541c7081-e14e-41be-a885-77b4a1476d37"/>
      </ext>
    </extLst>
  </connection>
  <connection id="13" xr16:uid="{FF88C9E2-9AF5-4909-A678-A07B40695A77}" name="Query - Table 9" description="Connection to the 'Table 9' query in the workbook." type="100" refreshedVersion="8" minRefreshableVersion="5">
    <extLst>
      <ext xmlns:x15="http://schemas.microsoft.com/office/spreadsheetml/2010/11/main" uri="{DE250136-89BD-433C-8126-D09CA5730AF9}">
        <x15:connection id="974498ad-4470-4a45-b838-4c61bc24adcf"/>
      </ext>
    </extLst>
  </connection>
  <connection id="14" xr16:uid="{FC43178F-850F-4F28-8575-DEFDA4D16B6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<sst xmlns="http://schemas.openxmlformats.org/spreadsheetml/2006/main" count="2816" uniqueCount="2280">
  <si>
    <t>Master</t>
  </si>
  <si>
    <t xml:space="preserve">Price </t>
  </si>
  <si>
    <t>SO</t>
  </si>
  <si>
    <t>MC</t>
  </si>
  <si>
    <t>Cash</t>
  </si>
  <si>
    <t>Debt</t>
  </si>
  <si>
    <t>EV</t>
  </si>
  <si>
    <t>Investor Relations Contact:</t>
  </si>
  <si>
    <t>SEC filings</t>
  </si>
  <si>
    <t>Godel Terminal</t>
  </si>
  <si>
    <t>Company Overview:</t>
  </si>
  <si>
    <t>[Bold Title]</t>
  </si>
  <si>
    <t>Line Titles</t>
  </si>
  <si>
    <t>&lt;-- General</t>
  </si>
  <si>
    <t>&lt;-- Info</t>
  </si>
  <si>
    <t>Notes:</t>
  </si>
  <si>
    <t>[X]</t>
  </si>
  <si>
    <t>[Y]</t>
  </si>
  <si>
    <t>[Z]</t>
  </si>
  <si>
    <t>Close</t>
  </si>
  <si>
    <t>High</t>
  </si>
  <si>
    <t>Low</t>
  </si>
  <si>
    <t>Open</t>
  </si>
  <si>
    <t>Volume</t>
  </si>
  <si>
    <t>UTC Date</t>
  </si>
  <si>
    <t>Change</t>
  </si>
  <si>
    <t>Min</t>
  </si>
  <si>
    <t>Max</t>
  </si>
  <si>
    <t>Mean μ</t>
  </si>
  <si>
    <t>Median</t>
  </si>
  <si>
    <t>SD σ</t>
  </si>
  <si>
    <t xml:space="preserve">  3σ 1-Day Δ: ±</t>
  </si>
  <si>
    <t>β (1-year avg.)</t>
  </si>
  <si>
    <t>&lt;- Sortino Ratio (Downside Risk Adjusted Return)</t>
  </si>
  <si>
    <r>
      <rPr>
        <i/>
        <sz val="11"/>
        <color theme="1"/>
        <rFont val="Calibre"/>
      </rPr>
      <t>n</t>
    </r>
    <r>
      <rPr>
        <sz val="11"/>
        <color theme="1"/>
        <rFont val="Calibre"/>
      </rPr>
      <t xml:space="preserve"> =</t>
    </r>
  </si>
  <si>
    <t>Histogram Data</t>
  </si>
  <si>
    <t>Distribution Overlay</t>
  </si>
  <si>
    <t>SD Lines</t>
  </si>
  <si>
    <t>Bin</t>
  </si>
  <si>
    <t>Frequency</t>
  </si>
  <si>
    <r>
      <t xml:space="preserve"> (X) 1-Day</t>
    </r>
    <r>
      <rPr>
        <b/>
        <i/>
        <sz val="11"/>
        <color theme="1"/>
        <rFont val="Calibri"/>
        <family val="2"/>
        <scheme val="minor"/>
      </rPr>
      <t xml:space="preserve"> Δ </t>
    </r>
    <r>
      <rPr>
        <i/>
        <sz val="11"/>
        <color theme="1"/>
        <rFont val="Calibri"/>
        <family val="2"/>
        <scheme val="minor"/>
      </rPr>
      <t xml:space="preserve"> </t>
    </r>
  </si>
  <si>
    <t xml:space="preserve">(Y) Pop. Density </t>
  </si>
  <si>
    <t>X</t>
  </si>
  <si>
    <t>Y</t>
  </si>
  <si>
    <t>Q1 2020</t>
  </si>
  <si>
    <t>Q1 2021</t>
  </si>
  <si>
    <t>Q1 2022</t>
  </si>
  <si>
    <t>Q1 2023</t>
  </si>
  <si>
    <t>Q1 2024</t>
  </si>
  <si>
    <t>Q1 2025</t>
  </si>
  <si>
    <t>[Use for Graphing]</t>
  </si>
  <si>
    <t>Quarterly</t>
  </si>
  <si>
    <t>Revenues</t>
  </si>
  <si>
    <t>Ttl Revenues</t>
  </si>
  <si>
    <t>U.S. Revenues</t>
  </si>
  <si>
    <t>U.S. % of Revenues</t>
  </si>
  <si>
    <t>U.S. Revenue Growth Y/y</t>
  </si>
  <si>
    <t>COGS</t>
  </si>
  <si>
    <t>GP</t>
  </si>
  <si>
    <t>Gross Profit Margin</t>
  </si>
  <si>
    <t>R&amp;D as % of Revenue</t>
  </si>
  <si>
    <t>SG&amp;A as % of Revenue</t>
  </si>
  <si>
    <t>Operating Profit Margin</t>
  </si>
  <si>
    <t>Effective Tax Rate</t>
  </si>
  <si>
    <t>Net Profit Margin</t>
  </si>
  <si>
    <t xml:space="preserve">Cash &amp; CEs </t>
  </si>
  <si>
    <t>ST Investments</t>
  </si>
  <si>
    <t>Current Ratio</t>
  </si>
  <si>
    <t>Quick Ratio</t>
  </si>
  <si>
    <t>Cash Ratio</t>
  </si>
  <si>
    <t>Inventory Turnover Ratio</t>
  </si>
  <si>
    <t>Return on Assets</t>
  </si>
  <si>
    <t>Return on Equity</t>
  </si>
  <si>
    <t>Net Income</t>
  </si>
  <si>
    <t>CFFO</t>
  </si>
  <si>
    <t>CapEx, net</t>
  </si>
  <si>
    <t>FCF</t>
  </si>
  <si>
    <t>SC</t>
  </si>
  <si>
    <t>FCF per Share</t>
  </si>
  <si>
    <t>Revenues:</t>
  </si>
  <si>
    <t>Earnings Scope:</t>
  </si>
  <si>
    <t>Balance Sheet Scope:</t>
  </si>
  <si>
    <t>[Equity Preformance Compared to Peers]</t>
  </si>
  <si>
    <t>Mean</t>
  </si>
  <si>
    <t>-3σ</t>
  </si>
  <si>
    <t>-2σ</t>
  </si>
  <si>
    <t>-1σ</t>
  </si>
  <si>
    <t>1σ</t>
  </si>
  <si>
    <t>2σ</t>
  </si>
  <si>
    <t>3σ</t>
  </si>
  <si>
    <t>Phone:</t>
  </si>
  <si>
    <t xml:space="preserve">Email: </t>
  </si>
  <si>
    <t>&lt;- Sharpe Ratio (Risk Adjusted Return)</t>
  </si>
  <si>
    <t>Earnings Calls</t>
  </si>
  <si>
    <t>Equity Analysis</t>
  </si>
  <si>
    <t>https://app.godelterminal.com/</t>
  </si>
  <si>
    <t>Address:</t>
  </si>
  <si>
    <t>Founder(s):</t>
  </si>
  <si>
    <t>Investors Relation Department</t>
  </si>
  <si>
    <t>Business Segments and Geographical Info:</t>
  </si>
  <si>
    <t xml:space="preserve">[Begin researching fundamentals / core business … begin with SEC filings, but expand and use all public resources available] </t>
  </si>
  <si>
    <t>Employee Scope:</t>
  </si>
  <si>
    <t>Resources:</t>
  </si>
  <si>
    <t>Y/y Total Revenues, Net Income, FCF</t>
  </si>
  <si>
    <t>Q/q Total Revenues, Net Income, FCF</t>
  </si>
  <si>
    <t>Institutional Ownership Snapshot Q2'25</t>
  </si>
  <si>
    <t>MacroTrends</t>
  </si>
  <si>
    <t>ROIC, WACC</t>
  </si>
  <si>
    <t>Projected ROIC:</t>
  </si>
  <si>
    <t>Invested Capital</t>
  </si>
  <si>
    <t>ROIC</t>
  </si>
  <si>
    <t>Terminal</t>
  </si>
  <si>
    <t>RFR (10-year yield)</t>
  </si>
  <si>
    <t>ERP 
(Avg. market return - (less) RFR)</t>
  </si>
  <si>
    <t>Equity β (1-year avg.)</t>
  </si>
  <si>
    <t>Discount (Cost of Equity)</t>
  </si>
  <si>
    <t>NPV</t>
  </si>
  <si>
    <t>FV</t>
  </si>
  <si>
    <t>CP</t>
  </si>
  <si>
    <t>Change Δ</t>
  </si>
  <si>
    <t>ABT</t>
  </si>
  <si>
    <t>Abbott Labs Homepage</t>
  </si>
  <si>
    <t>Abbott Labs IR Page</t>
  </si>
  <si>
    <t>Abbott Laboratories (ABT)</t>
  </si>
  <si>
    <t>100 Abbott Park Road, Abbott Park North Chicago, IL 60064 U.S.</t>
  </si>
  <si>
    <t>https://www.abbott.com/</t>
  </si>
  <si>
    <t>https://www.abbott.com/investors.html</t>
  </si>
  <si>
    <t>https://stockanalysis.com/stocks/abt/company/</t>
  </si>
  <si>
    <t>https://www.macrotrends.net/stocks/charts/ORCL/oracle/income-statement?freq=Q</t>
  </si>
  <si>
    <t>https://www.gurufocus.com/term/wacc/ABT</t>
  </si>
  <si>
    <t>(224) 667-6100</t>
  </si>
  <si>
    <t>investor.relations@abbott.com</t>
  </si>
  <si>
    <t>Wallace Calvin Abbott</t>
  </si>
  <si>
    <t xml:space="preserve">Founded: 1888 </t>
  </si>
  <si>
    <t>Headquarters: Chicago, IL</t>
  </si>
  <si>
    <t>Current CEO: Robert Ford</t>
  </si>
  <si>
    <t>Employees: 114,000</t>
  </si>
  <si>
    <t>Sector: Healthcare</t>
  </si>
  <si>
    <t>IPO: 1929 … shortly before the start of the Great Depression</t>
  </si>
  <si>
    <t>Fiscal Year: [January - December]</t>
  </si>
  <si>
    <t>Industry: Medical Devices - Pharmaceuticals</t>
  </si>
  <si>
    <t>Fri, 12 Sep 2025 00:00:00 GMT</t>
  </si>
  <si>
    <t>Thu, 11 Sep 2025 00:00:00 GMT</t>
  </si>
  <si>
    <t>Wed, 10 Sep 2025 00:00:00 GMT</t>
  </si>
  <si>
    <t>Tue, 09 Sep 2025 00:00:00 GMT</t>
  </si>
  <si>
    <t>Mon, 08 Sep 2025 00:00:00 GMT</t>
  </si>
  <si>
    <t>Fri, 05 Sep 2025 00:00:00 GMT</t>
  </si>
  <si>
    <t>Thu, 04 Sep 2025 00:00:00 GMT</t>
  </si>
  <si>
    <t>Wed, 03 Sep 2025 00:00:00 GMT</t>
  </si>
  <si>
    <t>Tue, 02 Sep 2025 00:00:00 GMT</t>
  </si>
  <si>
    <t>Fri, 29 Aug 2025 00:00:00 GMT</t>
  </si>
  <si>
    <t>Thu, 28 Aug 2025 00:00:00 GMT</t>
  </si>
  <si>
    <t>Wed, 27 Aug 2025 00:00:00 GMT</t>
  </si>
  <si>
    <t>Tue, 26 Aug 2025 00:00:00 GMT</t>
  </si>
  <si>
    <t>Mon, 25 Aug 2025 00:00:00 GMT</t>
  </si>
  <si>
    <t>Fri, 22 Aug 2025 00:00:00 GMT</t>
  </si>
  <si>
    <t>Thu, 21 Aug 2025 00:00:00 GMT</t>
  </si>
  <si>
    <t>Wed, 20 Aug 2025 00:00:00 GMT</t>
  </si>
  <si>
    <t>Tue, 19 Aug 2025 00:00:00 GMT</t>
  </si>
  <si>
    <t>Mon, 18 Aug 2025 00:00:00 GMT</t>
  </si>
  <si>
    <t>Fri, 15 Aug 2025 00:00:00 GMT</t>
  </si>
  <si>
    <t>Thu, 14 Aug 2025 00:00:00 GMT</t>
  </si>
  <si>
    <t>Wed, 13 Aug 2025 00:00:00 GMT</t>
  </si>
  <si>
    <t>Tue, 12 Aug 2025 00:00:00 GMT</t>
  </si>
  <si>
    <t>Mon, 11 Aug 2025 00:00:00 GMT</t>
  </si>
  <si>
    <t>Fri, 08 Aug 2025 00:00:00 GMT</t>
  </si>
  <si>
    <t>Thu, 07 Aug 2025 00:00:00 GMT</t>
  </si>
  <si>
    <t>Wed, 06 Aug 2025 00:00:00 GMT</t>
  </si>
  <si>
    <t>Tue, 05 Aug 2025 00:00:00 GMT</t>
  </si>
  <si>
    <t>Mon, 04 Aug 2025 00:00:00 GMT</t>
  </si>
  <si>
    <t>Fri, 01 Aug 2025 00:00:00 GMT</t>
  </si>
  <si>
    <t>Thu, 31 Jul 2025 00:00:00 GMT</t>
  </si>
  <si>
    <t>Wed, 30 Jul 2025 00:00:00 GMT</t>
  </si>
  <si>
    <t>Tue, 29 Jul 2025 00:00:00 GMT</t>
  </si>
  <si>
    <t>Mon, 28 Jul 2025 00:00:00 GMT</t>
  </si>
  <si>
    <t>Fri, 25 Jul 2025 00:00:00 GMT</t>
  </si>
  <si>
    <t>Thu, 24 Jul 2025 00:00:00 GMT</t>
  </si>
  <si>
    <t>Wed, 23 Jul 2025 00:00:00 GMT</t>
  </si>
  <si>
    <t>Tue, 22 Jul 2025 00:00:00 GMT</t>
  </si>
  <si>
    <t>Mon, 21 Jul 2025 00:00:00 GMT</t>
  </si>
  <si>
    <t>Fri, 18 Jul 2025 00:00:00 GMT</t>
  </si>
  <si>
    <t>Thu, 17 Jul 2025 00:00:00 GMT</t>
  </si>
  <si>
    <t>Wed, 16 Jul 2025 00:00:00 GMT</t>
  </si>
  <si>
    <t>Tue, 15 Jul 2025 00:00:00 GMT</t>
  </si>
  <si>
    <t>Mon, 14 Jul 2025 00:00:00 GMT</t>
  </si>
  <si>
    <t>Fri, 11 Jul 2025 00:00:00 GMT</t>
  </si>
  <si>
    <t>Thu, 10 Jul 2025 00:00:00 GMT</t>
  </si>
  <si>
    <t>Wed, 09 Jul 2025 00:00:00 GMT</t>
  </si>
  <si>
    <t>Tue, 08 Jul 2025 00:00:00 GMT</t>
  </si>
  <si>
    <t>Mon, 07 Jul 2025 00:00:00 GMT</t>
  </si>
  <si>
    <t>Thu, 03 Jul 2025 00:00:00 GMT</t>
  </si>
  <si>
    <t>Wed, 02 Jul 2025 00:00:00 GMT</t>
  </si>
  <si>
    <t>Tue, 01 Jul 2025 00:00:00 GMT</t>
  </si>
  <si>
    <t>Mon, 30 Jun 2025 00:00:00 GMT</t>
  </si>
  <si>
    <t>Fri, 27 Jun 2025 00:00:00 GMT</t>
  </si>
  <si>
    <t>Thu, 26 Jun 2025 00:00:00 GMT</t>
  </si>
  <si>
    <t>Wed, 25 Jun 2025 00:00:00 GMT</t>
  </si>
  <si>
    <t>Tue, 24 Jun 2025 00:00:00 GMT</t>
  </si>
  <si>
    <t>Mon, 23 Jun 2025 00:00:00 GMT</t>
  </si>
  <si>
    <t>Fri, 20 Jun 2025 00:00:00 GMT</t>
  </si>
  <si>
    <t>Wed, 18 Jun 2025 00:00:00 GMT</t>
  </si>
  <si>
    <t>Tue, 17 Jun 2025 00:00:00 GMT</t>
  </si>
  <si>
    <t>Mon, 16 Jun 2025 00:00:00 GMT</t>
  </si>
  <si>
    <t>Fri, 13 Jun 2025 00:00:00 GMT</t>
  </si>
  <si>
    <t>Thu, 12 Jun 2025 00:00:00 GMT</t>
  </si>
  <si>
    <t>Wed, 11 Jun 2025 00:00:00 GMT</t>
  </si>
  <si>
    <t>Tue, 10 Jun 2025 00:00:00 GMT</t>
  </si>
  <si>
    <t>Mon, 09 Jun 2025 00:00:00 GMT</t>
  </si>
  <si>
    <t>Fri, 06 Jun 2025 00:00:00 GMT</t>
  </si>
  <si>
    <t>Thu, 05 Jun 2025 00:00:00 GMT</t>
  </si>
  <si>
    <t>Wed, 04 Jun 2025 00:00:00 GMT</t>
  </si>
  <si>
    <t>Tue, 03 Jun 2025 00:00:00 GMT</t>
  </si>
  <si>
    <t>Mon, 02 Jun 2025 00:00:00 GMT</t>
  </si>
  <si>
    <t>Fri, 30 May 2025 00:00:00 GMT</t>
  </si>
  <si>
    <t>Thu, 29 May 2025 00:00:00 GMT</t>
  </si>
  <si>
    <t>Wed, 28 May 2025 00:00:00 GMT</t>
  </si>
  <si>
    <t>Tue, 27 May 2025 00:00:00 GMT</t>
  </si>
  <si>
    <t>Fri, 23 May 2025 00:00:00 GMT</t>
  </si>
  <si>
    <t>Thu, 22 May 2025 00:00:00 GMT</t>
  </si>
  <si>
    <t>Wed, 21 May 2025 00:00:00 GMT</t>
  </si>
  <si>
    <t>Tue, 20 May 2025 00:00:00 GMT</t>
  </si>
  <si>
    <t>Mon, 19 May 2025 00:00:00 GMT</t>
  </si>
  <si>
    <t>Fri, 16 May 2025 00:00:00 GMT</t>
  </si>
  <si>
    <t>Thu, 15 May 2025 00:00:00 GMT</t>
  </si>
  <si>
    <t>Wed, 14 May 2025 00:00:00 GMT</t>
  </si>
  <si>
    <t>Tue, 13 May 2025 00:00:00 GMT</t>
  </si>
  <si>
    <t>Mon, 12 May 2025 00:00:00 GMT</t>
  </si>
  <si>
    <t>Fri, 09 May 2025 00:00:00 GMT</t>
  </si>
  <si>
    <t>Thu, 08 May 2025 00:00:00 GMT</t>
  </si>
  <si>
    <t>Wed, 07 May 2025 00:00:00 GMT</t>
  </si>
  <si>
    <t>Tue, 06 May 2025 00:00:00 GMT</t>
  </si>
  <si>
    <t>Mon, 05 May 2025 00:00:00 GMT</t>
  </si>
  <si>
    <t>Fri, 02 May 2025 00:00:00 GMT</t>
  </si>
  <si>
    <t>Thu, 01 May 2025 00:00:00 GMT</t>
  </si>
  <si>
    <t>Wed, 30 Apr 2025 00:00:00 GMT</t>
  </si>
  <si>
    <t>Tue, 29 Apr 2025 00:00:00 GMT</t>
  </si>
  <si>
    <t>Mon, 28 Apr 2025 00:00:00 GMT</t>
  </si>
  <si>
    <t>Fri, 25 Apr 2025 00:00:00 GMT</t>
  </si>
  <si>
    <t>Thu, 24 Apr 2025 00:00:00 GMT</t>
  </si>
  <si>
    <t>Wed, 23 Apr 2025 00:00:00 GMT</t>
  </si>
  <si>
    <t>Tue, 22 Apr 2025 00:00:00 GMT</t>
  </si>
  <si>
    <t>Mon, 21 Apr 2025 00:00:00 GMT</t>
  </si>
  <si>
    <t>Thu, 17 Apr 2025 00:00:00 GMT</t>
  </si>
  <si>
    <t>Wed, 16 Apr 2025 00:00:00 GMT</t>
  </si>
  <si>
    <t>Tue, 15 Apr 2025 00:00:00 GMT</t>
  </si>
  <si>
    <t>Mon, 14 Apr 2025 00:00:00 GMT</t>
  </si>
  <si>
    <t>Fri, 11 Apr 2025 00:00:00 GMT</t>
  </si>
  <si>
    <t>Thu, 10 Apr 2025 00:00:00 GMT</t>
  </si>
  <si>
    <t>Wed, 09 Apr 2025 00:00:00 GMT</t>
  </si>
  <si>
    <t>Tue, 08 Apr 2025 00:00:00 GMT</t>
  </si>
  <si>
    <t>Mon, 07 Apr 2025 00:00:00 GMT</t>
  </si>
  <si>
    <t>Fri, 04 Apr 2025 00:00:00 GMT</t>
  </si>
  <si>
    <t>Thu, 03 Apr 2025 00:00:00 GMT</t>
  </si>
  <si>
    <t>Wed, 02 Apr 2025 00:00:00 GMT</t>
  </si>
  <si>
    <t>Tue, 01 Apr 2025 00:00:00 GMT</t>
  </si>
  <si>
    <t>Mon, 31 Mar 2025 00:00:00 GMT</t>
  </si>
  <si>
    <t>Fri, 28 Mar 2025 00:00:00 GMT</t>
  </si>
  <si>
    <t>Thu, 27 Mar 2025 00:00:00 GMT</t>
  </si>
  <si>
    <t>Wed, 26 Mar 2025 00:00:00 GMT</t>
  </si>
  <si>
    <t>Tue, 25 Mar 2025 00:00:00 GMT</t>
  </si>
  <si>
    <t>Mon, 24 Mar 2025 00:00:00 GMT</t>
  </si>
  <si>
    <t>Fri, 21 Mar 2025 00:00:00 GMT</t>
  </si>
  <si>
    <t>Thu, 20 Mar 2025 00:00:00 GMT</t>
  </si>
  <si>
    <t>Wed, 19 Mar 2025 00:00:00 GMT</t>
  </si>
  <si>
    <t>Tue, 18 Mar 2025 00:00:00 GMT</t>
  </si>
  <si>
    <t>Mon, 17 Mar 2025 00:00:00 GMT</t>
  </si>
  <si>
    <t>Fri, 14 Mar 2025 00:00:00 GMT</t>
  </si>
  <si>
    <t>Thu, 13 Mar 2025 00:00:00 GMT</t>
  </si>
  <si>
    <t>Wed, 12 Mar 2025 00:00:00 GMT</t>
  </si>
  <si>
    <t>Tue, 11 Mar 2025 00:00:00 GMT</t>
  </si>
  <si>
    <t>Mon, 10 Mar 2025 00:00:00 GMT</t>
  </si>
  <si>
    <t>Fri, 07 Mar 2025 00:00:00 GMT</t>
  </si>
  <si>
    <t>Thu, 06 Mar 2025 00:00:00 GMT</t>
  </si>
  <si>
    <t>Wed, 05 Mar 2025 00:00:00 GMT</t>
  </si>
  <si>
    <t>Tue, 04 Mar 2025 00:00:00 GMT</t>
  </si>
  <si>
    <t>Mon, 03 Mar 2025 00:00:00 GMT</t>
  </si>
  <si>
    <t>Fri, 28 Feb 2025 00:00:00 GMT</t>
  </si>
  <si>
    <t>Thu, 27 Feb 2025 00:00:00 GMT</t>
  </si>
  <si>
    <t>Wed, 26 Feb 2025 00:00:00 GMT</t>
  </si>
  <si>
    <t>Tue, 25 Feb 2025 00:00:00 GMT</t>
  </si>
  <si>
    <t>Mon, 24 Feb 2025 00:00:00 GMT</t>
  </si>
  <si>
    <t>Fri, 21 Feb 2025 00:00:00 GMT</t>
  </si>
  <si>
    <t>Thu, 20 Feb 2025 00:00:00 GMT</t>
  </si>
  <si>
    <t>Wed, 19 Feb 2025 00:00:00 GMT</t>
  </si>
  <si>
    <t>Tue, 18 Feb 2025 00:00:00 GMT</t>
  </si>
  <si>
    <t>Fri, 14 Feb 2025 00:00:00 GMT</t>
  </si>
  <si>
    <t>Thu, 13 Feb 2025 00:00:00 GMT</t>
  </si>
  <si>
    <t>Wed, 12 Feb 2025 00:00:00 GMT</t>
  </si>
  <si>
    <t>Tue, 11 Feb 2025 00:00:00 GMT</t>
  </si>
  <si>
    <t>Mon, 10 Feb 2025 00:00:00 GMT</t>
  </si>
  <si>
    <t>Fri, 07 Feb 2025 00:00:00 GMT</t>
  </si>
  <si>
    <t>Thu, 06 Feb 2025 00:00:00 GMT</t>
  </si>
  <si>
    <t>Wed, 05 Feb 2025 00:00:00 GMT</t>
  </si>
  <si>
    <t>Tue, 04 Feb 2025 00:00:00 GMT</t>
  </si>
  <si>
    <t>Mon, 03 Feb 2025 00:00:00 GMT</t>
  </si>
  <si>
    <t>Fri, 31 Jan 2025 00:00:00 GMT</t>
  </si>
  <si>
    <t>Thu, 30 Jan 2025 00:00:00 GMT</t>
  </si>
  <si>
    <t>Wed, 29 Jan 2025 00:00:00 GMT</t>
  </si>
  <si>
    <t>Tue, 28 Jan 2025 00:00:00 GMT</t>
  </si>
  <si>
    <t>Mon, 27 Jan 2025 00:00:00 GMT</t>
  </si>
  <si>
    <t>Fri, 24 Jan 2025 00:00:00 GMT</t>
  </si>
  <si>
    <t>Thu, 23 Jan 2025 00:00:00 GMT</t>
  </si>
  <si>
    <t>Wed, 22 Jan 2025 00:00:00 GMT</t>
  </si>
  <si>
    <t>Tue, 21 Jan 2025 00:00:00 GMT</t>
  </si>
  <si>
    <t>Fri, 17 Jan 2025 00:00:00 GMT</t>
  </si>
  <si>
    <t>Thu, 16 Jan 2025 00:00:00 GMT</t>
  </si>
  <si>
    <t>Wed, 15 Jan 2025 00:00:00 GMT</t>
  </si>
  <si>
    <t>Tue, 14 Jan 2025 00:00:00 GMT</t>
  </si>
  <si>
    <t>Mon, 13 Jan 2025 00:00:00 GMT</t>
  </si>
  <si>
    <t>Fri, 10 Jan 2025 00:00:00 GMT</t>
  </si>
  <si>
    <t>Wed, 08 Jan 2025 00:00:00 GMT</t>
  </si>
  <si>
    <t>Tue, 07 Jan 2025 00:00:00 GMT</t>
  </si>
  <si>
    <t>Mon, 06 Jan 2025 00:00:00 GMT</t>
  </si>
  <si>
    <t>Fri, 03 Jan 2025 00:00:00 GMT</t>
  </si>
  <si>
    <t>Thu, 02 Jan 2025 00:00:00 GMT</t>
  </si>
  <si>
    <t>Tue, 31 Dec 2024 00:00:00 GMT</t>
  </si>
  <si>
    <t>Mon, 30 Dec 2024 00:00:00 GMT</t>
  </si>
  <si>
    <t>Fri, 27 Dec 2024 00:00:00 GMT</t>
  </si>
  <si>
    <t>Thu, 26 Dec 2024 00:00:00 GMT</t>
  </si>
  <si>
    <t>Tue, 24 Dec 2024 00:00:00 GMT</t>
  </si>
  <si>
    <t>Mon, 23 Dec 2024 00:00:00 GMT</t>
  </si>
  <si>
    <t>Fri, 20 Dec 2024 00:00:00 GMT</t>
  </si>
  <si>
    <t>Thu, 19 Dec 2024 00:00:00 GMT</t>
  </si>
  <si>
    <t>Wed, 18 Dec 2024 00:00:00 GMT</t>
  </si>
  <si>
    <t>Tue, 17 Dec 2024 00:00:00 GMT</t>
  </si>
  <si>
    <t>Mon, 16 Dec 2024 00:00:00 GMT</t>
  </si>
  <si>
    <t>Fri, 13 Dec 2024 00:00:00 GMT</t>
  </si>
  <si>
    <t>Thu, 12 Dec 2024 00:00:00 GMT</t>
  </si>
  <si>
    <t>Wed, 11 Dec 2024 00:00:00 GMT</t>
  </si>
  <si>
    <t>Tue, 10 Dec 2024 00:00:00 GMT</t>
  </si>
  <si>
    <t>Mon, 09 Dec 2024 00:00:00 GMT</t>
  </si>
  <si>
    <t>Fri, 06 Dec 2024 00:00:00 GMT</t>
  </si>
  <si>
    <t>Thu, 05 Dec 2024 00:00:00 GMT</t>
  </si>
  <si>
    <t>Wed, 04 Dec 2024 00:00:00 GMT</t>
  </si>
  <si>
    <t>Tue, 03 Dec 2024 00:00:00 GMT</t>
  </si>
  <si>
    <t>Mon, 02 Dec 2024 00:00:00 GMT</t>
  </si>
  <si>
    <t>Fri, 29 Nov 2024 00:00:00 GMT</t>
  </si>
  <si>
    <t>Wed, 27 Nov 2024 00:00:00 GMT</t>
  </si>
  <si>
    <t>Tue, 26 Nov 2024 00:00:00 GMT</t>
  </si>
  <si>
    <t>Mon, 25 Nov 2024 00:00:00 GMT</t>
  </si>
  <si>
    <t>Fri, 22 Nov 2024 00:00:00 GMT</t>
  </si>
  <si>
    <t>Thu, 21 Nov 2024 00:00:00 GMT</t>
  </si>
  <si>
    <t>Wed, 20 Nov 2024 00:00:00 GMT</t>
  </si>
  <si>
    <t>Tue, 19 Nov 2024 00:00:00 GMT</t>
  </si>
  <si>
    <t>Mon, 18 Nov 2024 00:00:00 GMT</t>
  </si>
  <si>
    <t>Fri, 15 Nov 2024 00:00:00 GMT</t>
  </si>
  <si>
    <t>Thu, 14 Nov 2024 00:00:00 GMT</t>
  </si>
  <si>
    <t>Wed, 13 Nov 2024 00:00:00 GMT</t>
  </si>
  <si>
    <t>Tue, 12 Nov 2024 00:00:00 GMT</t>
  </si>
  <si>
    <t>Mon, 11 Nov 2024 00:00:00 GMT</t>
  </si>
  <si>
    <t>Fri, 08 Nov 2024 00:00:00 GMT</t>
  </si>
  <si>
    <t>Thu, 07 Nov 2024 00:00:00 GMT</t>
  </si>
  <si>
    <t>Wed, 06 Nov 2024 00:00:00 GMT</t>
  </si>
  <si>
    <t>Tue, 05 Nov 2024 00:00:00 GMT</t>
  </si>
  <si>
    <t>Mon, 04 Nov 2024 00:00:00 GMT</t>
  </si>
  <si>
    <t>Fri, 01 Nov 2024 00:00:00 GMT</t>
  </si>
  <si>
    <t>Thu, 31 Oct 2024 00:00:00 GMT</t>
  </si>
  <si>
    <t>Wed, 30 Oct 2024 00:00:00 GMT</t>
  </si>
  <si>
    <t>Tue, 29 Oct 2024 00:00:00 GMT</t>
  </si>
  <si>
    <t>Mon, 28 Oct 2024 00:00:00 GMT</t>
  </si>
  <si>
    <t>Fri, 25 Oct 2024 00:00:00 GMT</t>
  </si>
  <si>
    <t>Thu, 24 Oct 2024 00:00:00 GMT</t>
  </si>
  <si>
    <t>Wed, 23 Oct 2024 00:00:00 GMT</t>
  </si>
  <si>
    <t>Tue, 22 Oct 2024 00:00:00 GMT</t>
  </si>
  <si>
    <t>Mon, 21 Oct 2024 00:00:00 GMT</t>
  </si>
  <si>
    <t>Fri, 18 Oct 2024 00:00:00 GMT</t>
  </si>
  <si>
    <t>Thu, 17 Oct 2024 00:00:00 GMT</t>
  </si>
  <si>
    <t>Wed, 16 Oct 2024 00:00:00 GMT</t>
  </si>
  <si>
    <t>Tue, 15 Oct 2024 00:00:00 GMT</t>
  </si>
  <si>
    <t>Mon, 14 Oct 2024 00:00:00 GMT</t>
  </si>
  <si>
    <t>Fri, 11 Oct 2024 00:00:00 GMT</t>
  </si>
  <si>
    <t>Thu, 10 Oct 2024 00:00:00 GMT</t>
  </si>
  <si>
    <t>Wed, 09 Oct 2024 00:00:00 GMT</t>
  </si>
  <si>
    <t>Tue, 08 Oct 2024 00:00:00 GMT</t>
  </si>
  <si>
    <t>Mon, 07 Oct 2024 00:00:00 GMT</t>
  </si>
  <si>
    <t>Fri, 04 Oct 2024 00:00:00 GMT</t>
  </si>
  <si>
    <t>Thu, 03 Oct 2024 00:00:00 GMT</t>
  </si>
  <si>
    <t>Wed, 02 Oct 2024 00:00:00 GMT</t>
  </si>
  <si>
    <t>Tue, 01 Oct 2024 00:00:00 GMT</t>
  </si>
  <si>
    <t>Mon, 30 Sep 2024 00:00:00 GMT</t>
  </si>
  <si>
    <t>Fri, 27 Sep 2024 00:00:00 GMT</t>
  </si>
  <si>
    <t>Thu, 26 Sep 2024 00:00:00 GMT</t>
  </si>
  <si>
    <t>Wed, 25 Sep 2024 00:00:00 GMT</t>
  </si>
  <si>
    <t>Tue, 24 Sep 2024 00:00:00 GMT</t>
  </si>
  <si>
    <t>Mon, 23 Sep 2024 00:00:00 GMT</t>
  </si>
  <si>
    <t>Fri, 20 Sep 2024 00:00:00 GMT</t>
  </si>
  <si>
    <t>Thu, 19 Sep 2024 00:00:00 GMT</t>
  </si>
  <si>
    <t>Wed, 18 Sep 2024 00:00:00 GMT</t>
  </si>
  <si>
    <t>Tue, 17 Sep 2024 00:00:00 GMT</t>
  </si>
  <si>
    <t>Mon, 16 Sep 2024 00:00:00 GMT</t>
  </si>
  <si>
    <t>Fri, 13 Sep 2024 00:00:00 GMT</t>
  </si>
  <si>
    <t>Thu, 12 Sep 2024 00:00:00 GMT</t>
  </si>
  <si>
    <t>Wed, 11 Sep 2024 00:00:00 GMT</t>
  </si>
  <si>
    <t>Tue, 10 Sep 2024 00:00:00 GMT</t>
  </si>
  <si>
    <t>Mon, 09 Sep 2024 00:00:00 GMT</t>
  </si>
  <si>
    <t>Fri, 06 Sep 2024 00:00:00 GMT</t>
  </si>
  <si>
    <t>Thu, 05 Sep 2024 00:00:00 GMT</t>
  </si>
  <si>
    <t>Wed, 04 Sep 2024 00:00:00 GMT</t>
  </si>
  <si>
    <t>Tue, 03 Sep 2024 00:00:00 GMT</t>
  </si>
  <si>
    <t>Fri, 30 Aug 2024 00:00:00 GMT</t>
  </si>
  <si>
    <t>Thu, 29 Aug 2024 00:00:00 GMT</t>
  </si>
  <si>
    <t>Wed, 28 Aug 2024 00:00:00 GMT</t>
  </si>
  <si>
    <t>Tue, 27 Aug 2024 00:00:00 GMT</t>
  </si>
  <si>
    <t>Mon, 26 Aug 2024 00:00:00 GMT</t>
  </si>
  <si>
    <t>Fri, 23 Aug 2024 00:00:00 GMT</t>
  </si>
  <si>
    <t>Thu, 22 Aug 2024 00:00:00 GMT</t>
  </si>
  <si>
    <t>Wed, 21 Aug 2024 00:00:00 GMT</t>
  </si>
  <si>
    <t>Tue, 20 Aug 2024 00:00:00 GMT</t>
  </si>
  <si>
    <t>Mon, 19 Aug 2024 00:00:00 GMT</t>
  </si>
  <si>
    <t>Fri, 16 Aug 2024 00:00:00 GMT</t>
  </si>
  <si>
    <t>Thu, 15 Aug 2024 00:00:00 GMT</t>
  </si>
  <si>
    <t>Wed, 14 Aug 2024 00:00:00 GMT</t>
  </si>
  <si>
    <t>Tue, 13 Aug 2024 00:00:00 GMT</t>
  </si>
  <si>
    <t>Mon, 12 Aug 2024 00:00:00 GMT</t>
  </si>
  <si>
    <t>Fri, 09 Aug 2024 00:00:00 GMT</t>
  </si>
  <si>
    <t>Thu, 08 Aug 2024 00:00:00 GMT</t>
  </si>
  <si>
    <t>Wed, 07 Aug 2024 00:00:00 GMT</t>
  </si>
  <si>
    <t>Tue, 06 Aug 2024 00:00:00 GMT</t>
  </si>
  <si>
    <t>Mon, 05 Aug 2024 00:00:00 GMT</t>
  </si>
  <si>
    <t>Fri, 02 Aug 2024 00:00:00 GMT</t>
  </si>
  <si>
    <t>Thu, 01 Aug 2024 00:00:00 GMT</t>
  </si>
  <si>
    <t>Wed, 31 Jul 2024 00:00:00 GMT</t>
  </si>
  <si>
    <t>Tue, 30 Jul 2024 00:00:00 GMT</t>
  </si>
  <si>
    <t>Mon, 29 Jul 2024 00:00:00 GMT</t>
  </si>
  <si>
    <t>Fri, 26 Jul 2024 00:00:00 GMT</t>
  </si>
  <si>
    <t>Thu, 25 Jul 2024 00:00:00 GMT</t>
  </si>
  <si>
    <t>Wed, 24 Jul 2024 00:00:00 GMT</t>
  </si>
  <si>
    <t>Tue, 23 Jul 2024 00:00:00 GMT</t>
  </si>
  <si>
    <t>Mon, 22 Jul 2024 00:00:00 GMT</t>
  </si>
  <si>
    <t>Fri, 19 Jul 2024 00:00:00 GMT</t>
  </si>
  <si>
    <t>Thu, 18 Jul 2024 00:00:00 GMT</t>
  </si>
  <si>
    <t>Wed, 17 Jul 2024 00:00:00 GMT</t>
  </si>
  <si>
    <t>Tue, 16 Jul 2024 00:00:00 GMT</t>
  </si>
  <si>
    <t>Mon, 15 Jul 2024 00:00:00 GMT</t>
  </si>
  <si>
    <t>Fri, 12 Jul 2024 00:00:00 GMT</t>
  </si>
  <si>
    <t>Thu, 11 Jul 2024 00:00:00 GMT</t>
  </si>
  <si>
    <t>Wed, 10 Jul 2024 00:00:00 GMT</t>
  </si>
  <si>
    <t>Tue, 09 Jul 2024 00:00:00 GMT</t>
  </si>
  <si>
    <t>Mon, 08 Jul 2024 00:00:00 GMT</t>
  </si>
  <si>
    <t>Fri, 05 Jul 2024 00:00:00 GMT</t>
  </si>
  <si>
    <t>Wed, 03 Jul 2024 00:00:00 GMT</t>
  </si>
  <si>
    <t>Tue, 02 Jul 2024 00:00:00 GMT</t>
  </si>
  <si>
    <t>Mon, 01 Jul 2024 00:00:00 GMT</t>
  </si>
  <si>
    <t>Fri, 28 Jun 2024 00:00:00 GMT</t>
  </si>
  <si>
    <t>Thu, 27 Jun 2024 00:00:00 GMT</t>
  </si>
  <si>
    <t>Wed, 26 Jun 2024 00:00:00 GMT</t>
  </si>
  <si>
    <t>Tue, 25 Jun 2024 00:00:00 GMT</t>
  </si>
  <si>
    <t>Mon, 24 Jun 2024 00:00:00 GMT</t>
  </si>
  <si>
    <t>Fri, 21 Jun 2024 00:00:00 GMT</t>
  </si>
  <si>
    <t>Thu, 20 Jun 2024 00:00:00 GMT</t>
  </si>
  <si>
    <t>Tue, 18 Jun 2024 00:00:00 GMT</t>
  </si>
  <si>
    <t>Mon, 17 Jun 2024 00:00:00 GMT</t>
  </si>
  <si>
    <t>Fri, 14 Jun 2024 00:00:00 GMT</t>
  </si>
  <si>
    <t>Thu, 13 Jun 2024 00:00:00 GMT</t>
  </si>
  <si>
    <t>Wed, 12 Jun 2024 00:00:00 GMT</t>
  </si>
  <si>
    <t>Tue, 11 Jun 2024 00:00:00 GMT</t>
  </si>
  <si>
    <t>Mon, 10 Jun 2024 00:00:00 GMT</t>
  </si>
  <si>
    <t>Fri, 07 Jun 2024 00:00:00 GMT</t>
  </si>
  <si>
    <t>Thu, 06 Jun 2024 00:00:00 GMT</t>
  </si>
  <si>
    <t>Wed, 05 Jun 2024 00:00:00 GMT</t>
  </si>
  <si>
    <t>Tue, 04 Jun 2024 00:00:00 GMT</t>
  </si>
  <si>
    <t>Mon, 03 Jun 2024 00:00:00 GMT</t>
  </si>
  <si>
    <t>Fri, 31 May 2024 00:00:00 GMT</t>
  </si>
  <si>
    <t>Thu, 30 May 2024 00:00:00 GMT</t>
  </si>
  <si>
    <t>Wed, 29 May 2024 00:00:00 GMT</t>
  </si>
  <si>
    <t>Tue, 28 May 2024 00:00:00 GMT</t>
  </si>
  <si>
    <t>Fri, 24 May 2024 00:00:00 GMT</t>
  </si>
  <si>
    <t>Thu, 23 May 2024 00:00:00 GMT</t>
  </si>
  <si>
    <t>Wed, 22 May 2024 00:00:00 GMT</t>
  </si>
  <si>
    <t>Tue, 21 May 2024 00:00:00 GMT</t>
  </si>
  <si>
    <t>Mon, 20 May 2024 00:00:00 GMT</t>
  </si>
  <si>
    <t>Fri, 17 May 2024 00:00:00 GMT</t>
  </si>
  <si>
    <t>Thu, 16 May 2024 00:00:00 GMT</t>
  </si>
  <si>
    <t>Wed, 15 May 2024 00:00:00 GMT</t>
  </si>
  <si>
    <t>Tue, 14 May 2024 00:00:00 GMT</t>
  </si>
  <si>
    <t>Mon, 13 May 2024 00:00:00 GMT</t>
  </si>
  <si>
    <t>Fri, 10 May 2024 00:00:00 GMT</t>
  </si>
  <si>
    <t>Thu, 09 May 2024 00:00:00 GMT</t>
  </si>
  <si>
    <t>Wed, 08 May 2024 00:00:00 GMT</t>
  </si>
  <si>
    <t>Tue, 07 May 2024 00:00:00 GMT</t>
  </si>
  <si>
    <t>Mon, 06 May 2024 00:00:00 GMT</t>
  </si>
  <si>
    <t>Fri, 03 May 2024 00:00:00 GMT</t>
  </si>
  <si>
    <t>Thu, 02 May 2024 00:00:00 GMT</t>
  </si>
  <si>
    <t>Wed, 01 May 2024 00:00:00 GMT</t>
  </si>
  <si>
    <t>Tue, 30 Apr 2024 00:00:00 GMT</t>
  </si>
  <si>
    <t>Mon, 29 Apr 2024 00:00:00 GMT</t>
  </si>
  <si>
    <t>Fri, 26 Apr 2024 00:00:00 GMT</t>
  </si>
  <si>
    <t>Thu, 25 Apr 2024 00:00:00 GMT</t>
  </si>
  <si>
    <t>Wed, 24 Apr 2024 00:00:00 GMT</t>
  </si>
  <si>
    <t>Tue, 23 Apr 2024 00:00:00 GMT</t>
  </si>
  <si>
    <t>Mon, 22 Apr 2024 00:00:00 GMT</t>
  </si>
  <si>
    <t>Fri, 19 Apr 2024 00:00:00 GMT</t>
  </si>
  <si>
    <t>Thu, 18 Apr 2024 00:00:00 GMT</t>
  </si>
  <si>
    <t>Wed, 17 Apr 2024 00:00:00 GMT</t>
  </si>
  <si>
    <t>Tue, 16 Apr 2024 00:00:00 GMT</t>
  </si>
  <si>
    <t>Mon, 15 Apr 2024 00:00:00 GMT</t>
  </si>
  <si>
    <t>Fri, 12 Apr 2024 00:00:00 GMT</t>
  </si>
  <si>
    <t>Thu, 11 Apr 2024 00:00:00 GMT</t>
  </si>
  <si>
    <t>Wed, 10 Apr 2024 00:00:00 GMT</t>
  </si>
  <si>
    <t>Tue, 09 Apr 2024 00:00:00 GMT</t>
  </si>
  <si>
    <t>Mon, 08 Apr 2024 00:00:00 GMT</t>
  </si>
  <si>
    <t>Fri, 05 Apr 2024 00:00:00 GMT</t>
  </si>
  <si>
    <t>Thu, 04 Apr 2024 00:00:00 GMT</t>
  </si>
  <si>
    <t>Wed, 03 Apr 2024 00:00:00 GMT</t>
  </si>
  <si>
    <t>Tue, 02 Apr 2024 00:00:00 GMT</t>
  </si>
  <si>
    <t>Mon, 01 Apr 2024 00:00:00 GMT</t>
  </si>
  <si>
    <t>Thu, 28 Mar 2024 00:00:00 GMT</t>
  </si>
  <si>
    <t>Wed, 27 Mar 2024 00:00:00 GMT</t>
  </si>
  <si>
    <t>Tue, 26 Mar 2024 00:00:00 GMT</t>
  </si>
  <si>
    <t>Mon, 25 Mar 2024 00:00:00 GMT</t>
  </si>
  <si>
    <t>Fri, 22 Mar 2024 00:00:00 GMT</t>
  </si>
  <si>
    <t>Thu, 21 Mar 2024 00:00:00 GMT</t>
  </si>
  <si>
    <t>Wed, 20 Mar 2024 00:00:00 GMT</t>
  </si>
  <si>
    <t>Tue, 19 Mar 2024 00:00:00 GMT</t>
  </si>
  <si>
    <t>Mon, 18 Mar 2024 00:00:00 GMT</t>
  </si>
  <si>
    <t>Fri, 15 Mar 2024 00:00:00 GMT</t>
  </si>
  <si>
    <t>Thu, 14 Mar 2024 00:00:00 GMT</t>
  </si>
  <si>
    <t>Wed, 13 Mar 2024 00:00:00 GMT</t>
  </si>
  <si>
    <t>Tue, 12 Mar 2024 00:00:00 GMT</t>
  </si>
  <si>
    <t>Mon, 11 Mar 2024 00:00:00 GMT</t>
  </si>
  <si>
    <t>Fri, 08 Mar 2024 00:00:00 GMT</t>
  </si>
  <si>
    <t>Thu, 07 Mar 2024 00:00:00 GMT</t>
  </si>
  <si>
    <t>Wed, 06 Mar 2024 00:00:00 GMT</t>
  </si>
  <si>
    <t>Tue, 05 Mar 2024 00:00:00 GMT</t>
  </si>
  <si>
    <t>Mon, 04 Mar 2024 00:00:00 GMT</t>
  </si>
  <si>
    <t>Fri, 01 Mar 2024 00:00:00 GMT</t>
  </si>
  <si>
    <t>Thu, 29 Feb 2024 00:00:00 GMT</t>
  </si>
  <si>
    <t>Wed, 28 Feb 2024 00:00:00 GMT</t>
  </si>
  <si>
    <t>Tue, 27 Feb 2024 00:00:00 GMT</t>
  </si>
  <si>
    <t>Mon, 26 Feb 2024 00:00:00 GMT</t>
  </si>
  <si>
    <t>Fri, 23 Feb 2024 00:00:00 GMT</t>
  </si>
  <si>
    <t>Thu, 22 Feb 2024 00:00:00 GMT</t>
  </si>
  <si>
    <t>Wed, 21 Feb 2024 00:00:00 GMT</t>
  </si>
  <si>
    <t>Tue, 20 Feb 2024 00:00:00 GMT</t>
  </si>
  <si>
    <t>Fri, 16 Feb 2024 00:00:00 GMT</t>
  </si>
  <si>
    <t>Thu, 15 Feb 2024 00:00:00 GMT</t>
  </si>
  <si>
    <t>Wed, 14 Feb 2024 00:00:00 GMT</t>
  </si>
  <si>
    <t>Tue, 13 Feb 2024 00:00:00 GMT</t>
  </si>
  <si>
    <t>Mon, 12 Feb 2024 00:00:00 GMT</t>
  </si>
  <si>
    <t>Fri, 09 Feb 2024 00:00:00 GMT</t>
  </si>
  <si>
    <t>Thu, 08 Feb 2024 00:00:00 GMT</t>
  </si>
  <si>
    <t>Wed, 07 Feb 2024 00:00:00 GMT</t>
  </si>
  <si>
    <t>Tue, 06 Feb 2024 00:00:00 GMT</t>
  </si>
  <si>
    <t>Mon, 05 Feb 2024 00:00:00 GMT</t>
  </si>
  <si>
    <t>Fri, 02 Feb 2024 00:00:00 GMT</t>
  </si>
  <si>
    <t>Thu, 01 Feb 2024 00:00:00 GMT</t>
  </si>
  <si>
    <t>Wed, 31 Jan 2024 00:00:00 GMT</t>
  </si>
  <si>
    <t>Tue, 30 Jan 2024 00:00:00 GMT</t>
  </si>
  <si>
    <t>Mon, 29 Jan 2024 00:00:00 GMT</t>
  </si>
  <si>
    <t>Fri, 26 Jan 2024 00:00:00 GMT</t>
  </si>
  <si>
    <t>Thu, 25 Jan 2024 00:00:00 GMT</t>
  </si>
  <si>
    <t>Wed, 24 Jan 2024 00:00:00 GMT</t>
  </si>
  <si>
    <t>Tue, 23 Jan 2024 00:00:00 GMT</t>
  </si>
  <si>
    <t>Mon, 22 Jan 2024 00:00:00 GMT</t>
  </si>
  <si>
    <t>Fri, 19 Jan 2024 00:00:00 GMT</t>
  </si>
  <si>
    <t>Thu, 18 Jan 2024 00:00:00 GMT</t>
  </si>
  <si>
    <t>Wed, 17 Jan 2024 00:00:00 GMT</t>
  </si>
  <si>
    <t>Tue, 16 Jan 2024 00:00:00 GMT</t>
  </si>
  <si>
    <t>Fri, 12 Jan 2024 00:00:00 GMT</t>
  </si>
  <si>
    <t>Thu, 11 Jan 2024 00:00:00 GMT</t>
  </si>
  <si>
    <t>Wed, 10 Jan 2024 00:00:00 GMT</t>
  </si>
  <si>
    <t>Tue, 09 Jan 2024 00:00:00 GMT</t>
  </si>
  <si>
    <t>Mon, 08 Jan 2024 00:00:00 GMT</t>
  </si>
  <si>
    <t>Fri, 05 Jan 2024 00:00:00 GMT</t>
  </si>
  <si>
    <t>Thu, 04 Jan 2024 00:00:00 GMT</t>
  </si>
  <si>
    <t>Wed, 03 Jan 2024 00:00:00 GMT</t>
  </si>
  <si>
    <t>Tue, 02 Jan 2024 00:00:00 GMT</t>
  </si>
  <si>
    <t>Fri, 29 Dec 2023 00:00:00 GMT</t>
  </si>
  <si>
    <t>Thu, 28 Dec 2023 00:00:00 GMT</t>
  </si>
  <si>
    <t>Wed, 27 Dec 2023 00:00:00 GMT</t>
  </si>
  <si>
    <t>Tue, 26 Dec 2023 00:00:00 GMT</t>
  </si>
  <si>
    <t>Fri, 22 Dec 2023 00:00:00 GMT</t>
  </si>
  <si>
    <t>Thu, 21 Dec 2023 00:00:00 GMT</t>
  </si>
  <si>
    <t>Wed, 20 Dec 2023 00:00:00 GMT</t>
  </si>
  <si>
    <t>Tue, 19 Dec 2023 00:00:00 GMT</t>
  </si>
  <si>
    <t>Mon, 18 Dec 2023 00:00:00 GMT</t>
  </si>
  <si>
    <t>Fri, 15 Dec 2023 00:00:00 GMT</t>
  </si>
  <si>
    <t>Thu, 14 Dec 2023 00:00:00 GMT</t>
  </si>
  <si>
    <t>Wed, 13 Dec 2023 00:00:00 GMT</t>
  </si>
  <si>
    <t>Tue, 12 Dec 2023 00:00:00 GMT</t>
  </si>
  <si>
    <t>Mon, 11 Dec 2023 00:00:00 GMT</t>
  </si>
  <si>
    <t>Fri, 08 Dec 2023 00:00:00 GMT</t>
  </si>
  <si>
    <t>Thu, 07 Dec 2023 00:00:00 GMT</t>
  </si>
  <si>
    <t>Wed, 06 Dec 2023 00:00:00 GMT</t>
  </si>
  <si>
    <t>Tue, 05 Dec 2023 00:00:00 GMT</t>
  </si>
  <si>
    <t>Mon, 04 Dec 2023 00:00:00 GMT</t>
  </si>
  <si>
    <t>Fri, 01 Dec 2023 00:00:00 GMT</t>
  </si>
  <si>
    <t>Thu, 30 Nov 2023 00:00:00 GMT</t>
  </si>
  <si>
    <t>Wed, 29 Nov 2023 00:00:00 GMT</t>
  </si>
  <si>
    <t>Tue, 28 Nov 2023 00:00:00 GMT</t>
  </si>
  <si>
    <t>Mon, 27 Nov 2023 00:00:00 GMT</t>
  </si>
  <si>
    <t>Fri, 24 Nov 2023 00:00:00 GMT</t>
  </si>
  <si>
    <t>Wed, 22 Nov 2023 00:00:00 GMT</t>
  </si>
  <si>
    <t>Tue, 21 Nov 2023 00:00:00 GMT</t>
  </si>
  <si>
    <t>Mon, 20 Nov 2023 00:00:00 GMT</t>
  </si>
  <si>
    <t>Fri, 17 Nov 2023 00:00:00 GMT</t>
  </si>
  <si>
    <t>Thu, 16 Nov 2023 00:00:00 GMT</t>
  </si>
  <si>
    <t>Wed, 15 Nov 2023 00:00:00 GMT</t>
  </si>
  <si>
    <t>Tue, 14 Nov 2023 00:00:00 GMT</t>
  </si>
  <si>
    <t>Mon, 13 Nov 2023 00:00:00 GMT</t>
  </si>
  <si>
    <t>Fri, 10 Nov 2023 00:00:00 GMT</t>
  </si>
  <si>
    <t>Thu, 09 Nov 2023 00:00:00 GMT</t>
  </si>
  <si>
    <t>Wed, 08 Nov 2023 00:00:00 GMT</t>
  </si>
  <si>
    <t>Tue, 07 Nov 2023 00:00:00 GMT</t>
  </si>
  <si>
    <t>Mon, 06 Nov 2023 00:00:00 GMT</t>
  </si>
  <si>
    <t>Fri, 03 Nov 2023 00:00:00 GMT</t>
  </si>
  <si>
    <t>Thu, 02 Nov 2023 00:00:00 GMT</t>
  </si>
  <si>
    <t>Wed, 01 Nov 2023 00:00:00 GMT</t>
  </si>
  <si>
    <t>Tue, 31 Oct 2023 00:00:00 GMT</t>
  </si>
  <si>
    <t>Mon, 30 Oct 2023 00:00:00 GMT</t>
  </si>
  <si>
    <t>Fri, 27 Oct 2023 00:00:00 GMT</t>
  </si>
  <si>
    <t>Thu, 26 Oct 2023 00:00:00 GMT</t>
  </si>
  <si>
    <t>Wed, 25 Oct 2023 00:00:00 GMT</t>
  </si>
  <si>
    <t>Tue, 24 Oct 2023 00:00:00 GMT</t>
  </si>
  <si>
    <t>Mon, 23 Oct 2023 00:00:00 GMT</t>
  </si>
  <si>
    <t>Fri, 20 Oct 2023 00:00:00 GMT</t>
  </si>
  <si>
    <t>Thu, 19 Oct 2023 00:00:00 GMT</t>
  </si>
  <si>
    <t>Wed, 18 Oct 2023 00:00:00 GMT</t>
  </si>
  <si>
    <t>Tue, 17 Oct 2023 00:00:00 GMT</t>
  </si>
  <si>
    <t>Mon, 16 Oct 2023 00:00:00 GMT</t>
  </si>
  <si>
    <t>Fri, 13 Oct 2023 00:00:00 GMT</t>
  </si>
  <si>
    <t>Thu, 12 Oct 2023 00:00:00 GMT</t>
  </si>
  <si>
    <t>Wed, 11 Oct 2023 00:00:00 GMT</t>
  </si>
  <si>
    <t>Tue, 10 Oct 2023 00:00:00 GMT</t>
  </si>
  <si>
    <t>Mon, 09 Oct 2023 00:00:00 GMT</t>
  </si>
  <si>
    <t>Fri, 06 Oct 2023 00:00:00 GMT</t>
  </si>
  <si>
    <t>Thu, 05 Oct 2023 00:00:00 GMT</t>
  </si>
  <si>
    <t>Wed, 04 Oct 2023 00:00:00 GMT</t>
  </si>
  <si>
    <t>Tue, 03 Oct 2023 00:00:00 GMT</t>
  </si>
  <si>
    <t>Mon, 02 Oct 2023 00:00:00 GMT</t>
  </si>
  <si>
    <t>Fri, 29 Sep 2023 00:00:00 GMT</t>
  </si>
  <si>
    <t>Thu, 28 Sep 2023 00:00:00 GMT</t>
  </si>
  <si>
    <t>Wed, 27 Sep 2023 00:00:00 GMT</t>
  </si>
  <si>
    <t>Tue, 26 Sep 2023 00:00:00 GMT</t>
  </si>
  <si>
    <t>Mon, 25 Sep 2023 00:00:00 GMT</t>
  </si>
  <si>
    <t>Fri, 22 Sep 2023 00:00:00 GMT</t>
  </si>
  <si>
    <t>Thu, 21 Sep 2023 00:00:00 GMT</t>
  </si>
  <si>
    <t>Wed, 20 Sep 2023 00:00:00 GMT</t>
  </si>
  <si>
    <t>Tue, 19 Sep 2023 00:00:00 GMT</t>
  </si>
  <si>
    <t>Mon, 18 Sep 2023 00:00:00 GMT</t>
  </si>
  <si>
    <t>Fri, 15 Sep 2023 00:00:00 GMT</t>
  </si>
  <si>
    <t>Thu, 14 Sep 2023 00:00:00 GMT</t>
  </si>
  <si>
    <t>Wed, 13 Sep 2023 00:00:00 GMT</t>
  </si>
  <si>
    <t>Tue, 12 Sep 2023 00:00:00 GMT</t>
  </si>
  <si>
    <t>Mon, 11 Sep 2023 00:00:00 GMT</t>
  </si>
  <si>
    <t>Fri, 08 Sep 2023 00:00:00 GMT</t>
  </si>
  <si>
    <t>Thu, 07 Sep 2023 00:00:00 GMT</t>
  </si>
  <si>
    <t>Wed, 06 Sep 2023 00:00:00 GMT</t>
  </si>
  <si>
    <t>Tue, 05 Sep 2023 00:00:00 GMT</t>
  </si>
  <si>
    <t>Fri, 01 Sep 2023 00:00:00 GMT</t>
  </si>
  <si>
    <t>Thu, 31 Aug 2023 00:00:00 GMT</t>
  </si>
  <si>
    <t>Wed, 30 Aug 2023 00:00:00 GMT</t>
  </si>
  <si>
    <t>Tue, 29 Aug 2023 00:00:00 GMT</t>
  </si>
  <si>
    <t>Mon, 28 Aug 2023 00:00:00 GMT</t>
  </si>
  <si>
    <t>Fri, 25 Aug 2023 00:00:00 GMT</t>
  </si>
  <si>
    <t>Thu, 24 Aug 2023 00:00:00 GMT</t>
  </si>
  <si>
    <t>Wed, 23 Aug 2023 00:00:00 GMT</t>
  </si>
  <si>
    <t>Tue, 22 Aug 2023 00:00:00 GMT</t>
  </si>
  <si>
    <t>Mon, 21 Aug 2023 00:00:00 GMT</t>
  </si>
  <si>
    <t>Fri, 18 Aug 2023 00:00:00 GMT</t>
  </si>
  <si>
    <t>Thu, 17 Aug 2023 00:00:00 GMT</t>
  </si>
  <si>
    <t>Wed, 16 Aug 2023 00:00:00 GMT</t>
  </si>
  <si>
    <t>Tue, 15 Aug 2023 00:00:00 GMT</t>
  </si>
  <si>
    <t>Mon, 14 Aug 2023 00:00:00 GMT</t>
  </si>
  <si>
    <t>Fri, 11 Aug 2023 00:00:00 GMT</t>
  </si>
  <si>
    <t>Thu, 10 Aug 2023 00:00:00 GMT</t>
  </si>
  <si>
    <t>Wed, 09 Aug 2023 00:00:00 GMT</t>
  </si>
  <si>
    <t>Tue, 08 Aug 2023 00:00:00 GMT</t>
  </si>
  <si>
    <t>Mon, 07 Aug 2023 00:00:00 GMT</t>
  </si>
  <si>
    <t>Fri, 04 Aug 2023 00:00:00 GMT</t>
  </si>
  <si>
    <t>Thu, 03 Aug 2023 00:00:00 GMT</t>
  </si>
  <si>
    <t>Wed, 02 Aug 2023 00:00:00 GMT</t>
  </si>
  <si>
    <t>Tue, 01 Aug 2023 00:00:00 GMT</t>
  </si>
  <si>
    <t>Mon, 31 Jul 2023 00:00:00 GMT</t>
  </si>
  <si>
    <t>Fri, 28 Jul 2023 00:00:00 GMT</t>
  </si>
  <si>
    <t>Thu, 27 Jul 2023 00:00:00 GMT</t>
  </si>
  <si>
    <t>Wed, 26 Jul 2023 00:00:00 GMT</t>
  </si>
  <si>
    <t>Tue, 25 Jul 2023 00:00:00 GMT</t>
  </si>
  <si>
    <t>Mon, 24 Jul 2023 00:00:00 GMT</t>
  </si>
  <si>
    <t>Fri, 21 Jul 2023 00:00:00 GMT</t>
  </si>
  <si>
    <t>Thu, 20 Jul 2023 00:00:00 GMT</t>
  </si>
  <si>
    <t>Wed, 19 Jul 2023 00:00:00 GMT</t>
  </si>
  <si>
    <t>Tue, 18 Jul 2023 00:00:00 GMT</t>
  </si>
  <si>
    <t>Mon, 17 Jul 2023 00:00:00 GMT</t>
  </si>
  <si>
    <t>Fri, 14 Jul 2023 00:00:00 GMT</t>
  </si>
  <si>
    <t>Thu, 13 Jul 2023 00:00:00 GMT</t>
  </si>
  <si>
    <t>Wed, 12 Jul 2023 00:00:00 GMT</t>
  </si>
  <si>
    <t>Tue, 11 Jul 2023 00:00:00 GMT</t>
  </si>
  <si>
    <t>Mon, 10 Jul 2023 00:00:00 GMT</t>
  </si>
  <si>
    <t>Fri, 07 Jul 2023 00:00:00 GMT</t>
  </si>
  <si>
    <t>Thu, 06 Jul 2023 00:00:00 GMT</t>
  </si>
  <si>
    <t>Wed, 05 Jul 2023 00:00:00 GMT</t>
  </si>
  <si>
    <t>Mon, 03 Jul 2023 00:00:00 GMT</t>
  </si>
  <si>
    <t>Fri, 30 Jun 2023 00:00:00 GMT</t>
  </si>
  <si>
    <t>Thu, 29 Jun 2023 00:00:00 GMT</t>
  </si>
  <si>
    <t>Wed, 28 Jun 2023 00:00:00 GMT</t>
  </si>
  <si>
    <t>Tue, 27 Jun 2023 00:00:00 GMT</t>
  </si>
  <si>
    <t>Mon, 26 Jun 2023 00:00:00 GMT</t>
  </si>
  <si>
    <t>Fri, 23 Jun 2023 00:00:00 GMT</t>
  </si>
  <si>
    <t>Thu, 22 Jun 2023 00:00:00 GMT</t>
  </si>
  <si>
    <t>Wed, 21 Jun 2023 00:00:00 GMT</t>
  </si>
  <si>
    <t>Tue, 20 Jun 2023 00:00:00 GMT</t>
  </si>
  <si>
    <t>Fri, 16 Jun 2023 00:00:00 GMT</t>
  </si>
  <si>
    <t>Thu, 15 Jun 2023 00:00:00 GMT</t>
  </si>
  <si>
    <t>Wed, 14 Jun 2023 00:00:00 GMT</t>
  </si>
  <si>
    <t>Tue, 13 Jun 2023 00:00:00 GMT</t>
  </si>
  <si>
    <t>Mon, 12 Jun 2023 00:00:00 GMT</t>
  </si>
  <si>
    <t>Fri, 09 Jun 2023 00:00:00 GMT</t>
  </si>
  <si>
    <t>Thu, 08 Jun 2023 00:00:00 GMT</t>
  </si>
  <si>
    <t>Wed, 07 Jun 2023 00:00:00 GMT</t>
  </si>
  <si>
    <t>Tue, 06 Jun 2023 00:00:00 GMT</t>
  </si>
  <si>
    <t>Mon, 05 Jun 2023 00:00:00 GMT</t>
  </si>
  <si>
    <t>Fri, 02 Jun 2023 00:00:00 GMT</t>
  </si>
  <si>
    <t>Thu, 01 Jun 2023 00:00:00 GMT</t>
  </si>
  <si>
    <t>Wed, 31 May 2023 00:00:00 GMT</t>
  </si>
  <si>
    <t>Tue, 30 May 2023 00:00:00 GMT</t>
  </si>
  <si>
    <t>Fri, 26 May 2023 00:00:00 GMT</t>
  </si>
  <si>
    <t>Thu, 25 May 2023 00:00:00 GMT</t>
  </si>
  <si>
    <t>Wed, 24 May 2023 00:00:00 GMT</t>
  </si>
  <si>
    <t>Tue, 23 May 2023 00:00:00 GMT</t>
  </si>
  <si>
    <t>Mon, 22 May 2023 00:00:00 GMT</t>
  </si>
  <si>
    <t>Fri, 19 May 2023 00:00:00 GMT</t>
  </si>
  <si>
    <t>Thu, 18 May 2023 00:00:00 GMT</t>
  </si>
  <si>
    <t>Wed, 17 May 2023 00:00:00 GMT</t>
  </si>
  <si>
    <t>Tue, 16 May 2023 00:00:00 GMT</t>
  </si>
  <si>
    <t>Mon, 15 May 2023 00:00:00 GMT</t>
  </si>
  <si>
    <t>Fri, 12 May 2023 00:00:00 GMT</t>
  </si>
  <si>
    <t>Thu, 11 May 2023 00:00:00 GMT</t>
  </si>
  <si>
    <t>Wed, 10 May 2023 00:00:00 GMT</t>
  </si>
  <si>
    <t>Tue, 09 May 2023 00:00:00 GMT</t>
  </si>
  <si>
    <t>Mon, 08 May 2023 00:00:00 GMT</t>
  </si>
  <si>
    <t>Fri, 05 May 2023 00:00:00 GMT</t>
  </si>
  <si>
    <t>Thu, 04 May 2023 00:00:00 GMT</t>
  </si>
  <si>
    <t>Wed, 03 May 2023 00:00:00 GMT</t>
  </si>
  <si>
    <t>Tue, 02 May 2023 00:00:00 GMT</t>
  </si>
  <si>
    <t>Mon, 01 May 2023 00:00:00 GMT</t>
  </si>
  <si>
    <t>Fri, 28 Apr 2023 00:00:00 GMT</t>
  </si>
  <si>
    <t>Thu, 27 Apr 2023 00:00:00 GMT</t>
  </si>
  <si>
    <t>Wed, 26 Apr 2023 00:00:00 GMT</t>
  </si>
  <si>
    <t>Tue, 25 Apr 2023 00:00:00 GMT</t>
  </si>
  <si>
    <t>Mon, 24 Apr 2023 00:00:00 GMT</t>
  </si>
  <si>
    <t>Fri, 21 Apr 2023 00:00:00 GMT</t>
  </si>
  <si>
    <t>Thu, 20 Apr 2023 00:00:00 GMT</t>
  </si>
  <si>
    <t>Wed, 19 Apr 2023 00:00:00 GMT</t>
  </si>
  <si>
    <t>Tue, 18 Apr 2023 00:00:00 GMT</t>
  </si>
  <si>
    <t>Mon, 17 Apr 2023 00:00:00 GMT</t>
  </si>
  <si>
    <t>Fri, 14 Apr 2023 00:00:00 GMT</t>
  </si>
  <si>
    <t>Thu, 13 Apr 2023 00:00:00 GMT</t>
  </si>
  <si>
    <t>Wed, 12 Apr 2023 00:00:00 GMT</t>
  </si>
  <si>
    <t>Tue, 11 Apr 2023 00:00:00 GMT</t>
  </si>
  <si>
    <t>Mon, 10 Apr 2023 00:00:00 GMT</t>
  </si>
  <si>
    <t>Thu, 06 Apr 2023 00:00:00 GMT</t>
  </si>
  <si>
    <t>Wed, 05 Apr 2023 00:00:00 GMT</t>
  </si>
  <si>
    <t>Tue, 04 Apr 2023 00:00:00 GMT</t>
  </si>
  <si>
    <t>Mon, 03 Apr 2023 00:00:00 GMT</t>
  </si>
  <si>
    <t>Fri, 31 Mar 2023 00:00:00 GMT</t>
  </si>
  <si>
    <t>Thu, 30 Mar 2023 00:00:00 GMT</t>
  </si>
  <si>
    <t>Wed, 29 Mar 2023 00:00:00 GMT</t>
  </si>
  <si>
    <t>Tue, 28 Mar 2023 00:00:00 GMT</t>
  </si>
  <si>
    <t>Mon, 27 Mar 2023 00:00:00 GMT</t>
  </si>
  <si>
    <t>Fri, 24 Mar 2023 00:00:00 GMT</t>
  </si>
  <si>
    <t>Thu, 23 Mar 2023 00:00:00 GMT</t>
  </si>
  <si>
    <t>Wed, 22 Mar 2023 00:00:00 GMT</t>
  </si>
  <si>
    <t>Tue, 21 Mar 2023 00:00:00 GMT</t>
  </si>
  <si>
    <t>Mon, 20 Mar 2023 00:00:00 GMT</t>
  </si>
  <si>
    <t>Fri, 17 Mar 2023 00:00:00 GMT</t>
  </si>
  <si>
    <t>Thu, 16 Mar 2023 00:00:00 GMT</t>
  </si>
  <si>
    <t>Wed, 15 Mar 2023 00:00:00 GMT</t>
  </si>
  <si>
    <t>Tue, 14 Mar 2023 00:00:00 GMT</t>
  </si>
  <si>
    <t>Mon, 13 Mar 2023 00:00:00 GMT</t>
  </si>
  <si>
    <t>Fri, 10 Mar 2023 00:00:00 GMT</t>
  </si>
  <si>
    <t>Thu, 09 Mar 2023 00:00:00 GMT</t>
  </si>
  <si>
    <t>Wed, 08 Mar 2023 00:00:00 GMT</t>
  </si>
  <si>
    <t>Tue, 07 Mar 2023 00:00:00 GMT</t>
  </si>
  <si>
    <t>Mon, 06 Mar 2023 00:00:00 GMT</t>
  </si>
  <si>
    <t>Fri, 03 Mar 2023 00:00:00 GMT</t>
  </si>
  <si>
    <t>Thu, 02 Mar 2023 00:00:00 GMT</t>
  </si>
  <si>
    <t>Wed, 01 Mar 2023 00:00:00 GMT</t>
  </si>
  <si>
    <t>Tue, 28 Feb 2023 00:00:00 GMT</t>
  </si>
  <si>
    <t>Mon, 27 Feb 2023 00:00:00 GMT</t>
  </si>
  <si>
    <t>Fri, 24 Feb 2023 00:00:00 GMT</t>
  </si>
  <si>
    <t>Thu, 23 Feb 2023 00:00:00 GMT</t>
  </si>
  <si>
    <t>Wed, 22 Feb 2023 00:00:00 GMT</t>
  </si>
  <si>
    <t>Tue, 21 Feb 2023 00:00:00 GMT</t>
  </si>
  <si>
    <t>Fri, 17 Feb 2023 00:00:00 GMT</t>
  </si>
  <si>
    <t>Thu, 16 Feb 2023 00:00:00 GMT</t>
  </si>
  <si>
    <t>Wed, 15 Feb 2023 00:00:00 GMT</t>
  </si>
  <si>
    <t>Tue, 14 Feb 2023 00:00:00 GMT</t>
  </si>
  <si>
    <t>Mon, 13 Feb 2023 00:00:00 GMT</t>
  </si>
  <si>
    <t>Fri, 10 Feb 2023 00:00:00 GMT</t>
  </si>
  <si>
    <t>Thu, 09 Feb 2023 00:00:00 GMT</t>
  </si>
  <si>
    <t>Wed, 08 Feb 2023 00:00:00 GMT</t>
  </si>
  <si>
    <t>Tue, 07 Feb 2023 00:00:00 GMT</t>
  </si>
  <si>
    <t>Mon, 06 Feb 2023 00:00:00 GMT</t>
  </si>
  <si>
    <t>Fri, 03 Feb 2023 00:00:00 GMT</t>
  </si>
  <si>
    <t>Thu, 02 Feb 2023 00:00:00 GMT</t>
  </si>
  <si>
    <t>Wed, 01 Feb 2023 00:00:00 GMT</t>
  </si>
  <si>
    <t>Tue, 31 Jan 2023 00:00:00 GMT</t>
  </si>
  <si>
    <t>Mon, 30 Jan 2023 00:00:00 GMT</t>
  </si>
  <si>
    <t>Fri, 27 Jan 2023 00:00:00 GMT</t>
  </si>
  <si>
    <t>Thu, 26 Jan 2023 00:00:00 GMT</t>
  </si>
  <si>
    <t>Wed, 25 Jan 2023 00:00:00 GMT</t>
  </si>
  <si>
    <t>Tue, 24 Jan 2023 00:00:00 GMT</t>
  </si>
  <si>
    <t>Mon, 23 Jan 2023 00:00:00 GMT</t>
  </si>
  <si>
    <t>Fri, 20 Jan 2023 00:00:00 GMT</t>
  </si>
  <si>
    <t>Thu, 19 Jan 2023 00:00:00 GMT</t>
  </si>
  <si>
    <t>Wed, 18 Jan 2023 00:00:00 GMT</t>
  </si>
  <si>
    <t>Tue, 17 Jan 2023 00:00:00 GMT</t>
  </si>
  <si>
    <t>Fri, 13 Jan 2023 00:00:00 GMT</t>
  </si>
  <si>
    <t>Thu, 12 Jan 2023 00:00:00 GMT</t>
  </si>
  <si>
    <t>Wed, 11 Jan 2023 00:00:00 GMT</t>
  </si>
  <si>
    <t>Tue, 10 Jan 2023 00:00:00 GMT</t>
  </si>
  <si>
    <t>Mon, 09 Jan 2023 00:00:00 GMT</t>
  </si>
  <si>
    <t>Fri, 06 Jan 2023 00:00:00 GMT</t>
  </si>
  <si>
    <t>Thu, 05 Jan 2023 00:00:00 GMT</t>
  </si>
  <si>
    <t>Wed, 04 Jan 2023 00:00:00 GMT</t>
  </si>
  <si>
    <t>Tue, 03 Jan 2023 00:00:00 GMT</t>
  </si>
  <si>
    <t>Fri, 30 Dec 2022 00:00:00 GMT</t>
  </si>
  <si>
    <t>Thu, 29 Dec 2022 00:00:00 GMT</t>
  </si>
  <si>
    <t>Wed, 28 Dec 2022 00:00:00 GMT</t>
  </si>
  <si>
    <t>Tue, 27 Dec 2022 00:00:00 GMT</t>
  </si>
  <si>
    <t>Fri, 23 Dec 2022 00:00:00 GMT</t>
  </si>
  <si>
    <t>Thu, 22 Dec 2022 00:00:00 GMT</t>
  </si>
  <si>
    <t>Wed, 21 Dec 2022 00:00:00 GMT</t>
  </si>
  <si>
    <t>Tue, 20 Dec 2022 00:00:00 GMT</t>
  </si>
  <si>
    <t>Mon, 19 Dec 2022 00:00:00 GMT</t>
  </si>
  <si>
    <t>Fri, 16 Dec 2022 00:00:00 GMT</t>
  </si>
  <si>
    <t>Thu, 15 Dec 2022 00:00:00 GMT</t>
  </si>
  <si>
    <t>Wed, 14 Dec 2022 00:00:00 GMT</t>
  </si>
  <si>
    <t>Tue, 13 Dec 2022 00:00:00 GMT</t>
  </si>
  <si>
    <t>Mon, 12 Dec 2022 00:00:00 GMT</t>
  </si>
  <si>
    <t>Fri, 09 Dec 2022 00:00:00 GMT</t>
  </si>
  <si>
    <t>Thu, 08 Dec 2022 00:00:00 GMT</t>
  </si>
  <si>
    <t>Wed, 07 Dec 2022 00:00:00 GMT</t>
  </si>
  <si>
    <t>Tue, 06 Dec 2022 00:00:00 GMT</t>
  </si>
  <si>
    <t>Mon, 05 Dec 2022 00:00:00 GMT</t>
  </si>
  <si>
    <t>Fri, 02 Dec 2022 00:00:00 GMT</t>
  </si>
  <si>
    <t>Thu, 01 Dec 2022 00:00:00 GMT</t>
  </si>
  <si>
    <t>Wed, 30 Nov 2022 00:00:00 GMT</t>
  </si>
  <si>
    <t>Tue, 29 Nov 2022 00:00:00 GMT</t>
  </si>
  <si>
    <t>Mon, 28 Nov 2022 00:00:00 GMT</t>
  </si>
  <si>
    <t>Fri, 25 Nov 2022 00:00:00 GMT</t>
  </si>
  <si>
    <t>Wed, 23 Nov 2022 00:00:00 GMT</t>
  </si>
  <si>
    <t>Tue, 22 Nov 2022 00:00:00 GMT</t>
  </si>
  <si>
    <t>Mon, 21 Nov 2022 00:00:00 GMT</t>
  </si>
  <si>
    <t>Fri, 18 Nov 2022 00:00:00 GMT</t>
  </si>
  <si>
    <t>Thu, 17 Nov 2022 00:00:00 GMT</t>
  </si>
  <si>
    <t>Wed, 16 Nov 2022 00:00:00 GMT</t>
  </si>
  <si>
    <t>Tue, 15 Nov 2022 00:00:00 GMT</t>
  </si>
  <si>
    <t>Mon, 14 Nov 2022 00:00:00 GMT</t>
  </si>
  <si>
    <t>Fri, 11 Nov 2022 00:00:00 GMT</t>
  </si>
  <si>
    <t>Thu, 10 Nov 2022 00:00:00 GMT</t>
  </si>
  <si>
    <t>Wed, 09 Nov 2022 00:00:00 GMT</t>
  </si>
  <si>
    <t>Tue, 08 Nov 2022 00:00:00 GMT</t>
  </si>
  <si>
    <t>Mon, 07 Nov 2022 00:00:00 GMT</t>
  </si>
  <si>
    <t>Fri, 04 Nov 2022 00:00:00 GMT</t>
  </si>
  <si>
    <t>Thu, 03 Nov 2022 00:00:00 GMT</t>
  </si>
  <si>
    <t>Wed, 02 Nov 2022 00:00:00 GMT</t>
  </si>
  <si>
    <t>Tue, 01 Nov 2022 00:00:00 GMT</t>
  </si>
  <si>
    <t>Mon, 31 Oct 2022 00:00:00 GMT</t>
  </si>
  <si>
    <t>Fri, 28 Oct 2022 00:00:00 GMT</t>
  </si>
  <si>
    <t>Thu, 27 Oct 2022 00:00:00 GMT</t>
  </si>
  <si>
    <t>Wed, 26 Oct 2022 00:00:00 GMT</t>
  </si>
  <si>
    <t>Tue, 25 Oct 2022 00:00:00 GMT</t>
  </si>
  <si>
    <t>Mon, 24 Oct 2022 00:00:00 GMT</t>
  </si>
  <si>
    <t>Fri, 21 Oct 2022 00:00:00 GMT</t>
  </si>
  <si>
    <t>Thu, 20 Oct 2022 00:00:00 GMT</t>
  </si>
  <si>
    <t>Wed, 19 Oct 2022 00:00:00 GMT</t>
  </si>
  <si>
    <t>Tue, 18 Oct 2022 00:00:00 GMT</t>
  </si>
  <si>
    <t>Mon, 17 Oct 2022 00:00:00 GMT</t>
  </si>
  <si>
    <t>Fri, 14 Oct 2022 00:00:00 GMT</t>
  </si>
  <si>
    <t>Thu, 13 Oct 2022 00:00:00 GMT</t>
  </si>
  <si>
    <t>Wed, 12 Oct 2022 00:00:00 GMT</t>
  </si>
  <si>
    <t>Tue, 11 Oct 2022 00:00:00 GMT</t>
  </si>
  <si>
    <t>Mon, 10 Oct 2022 00:00:00 GMT</t>
  </si>
  <si>
    <t>Fri, 07 Oct 2022 00:00:00 GMT</t>
  </si>
  <si>
    <t>Thu, 06 Oct 2022 00:00:00 GMT</t>
  </si>
  <si>
    <t>Wed, 05 Oct 2022 00:00:00 GMT</t>
  </si>
  <si>
    <t>Tue, 04 Oct 2022 00:00:00 GMT</t>
  </si>
  <si>
    <t>Mon, 03 Oct 2022 00:00:00 GMT</t>
  </si>
  <si>
    <t>Fri, 30 Sep 2022 00:00:00 GMT</t>
  </si>
  <si>
    <t>Thu, 29 Sep 2022 00:00:00 GMT</t>
  </si>
  <si>
    <t>Wed, 28 Sep 2022 00:00:00 GMT</t>
  </si>
  <si>
    <t>Tue, 27 Sep 2022 00:00:00 GMT</t>
  </si>
  <si>
    <t>Mon, 26 Sep 2022 00:00:00 GMT</t>
  </si>
  <si>
    <t>Fri, 23 Sep 2022 00:00:00 GMT</t>
  </si>
  <si>
    <t>Thu, 22 Sep 2022 00:00:00 GMT</t>
  </si>
  <si>
    <t>Wed, 21 Sep 2022 00:00:00 GMT</t>
  </si>
  <si>
    <t>Tue, 20 Sep 2022 00:00:00 GMT</t>
  </si>
  <si>
    <t>Mon, 19 Sep 2022 00:00:00 GMT</t>
  </si>
  <si>
    <t>Fri, 16 Sep 2022 00:00:00 GMT</t>
  </si>
  <si>
    <t>Thu, 15 Sep 2022 00:00:00 GMT</t>
  </si>
  <si>
    <t>Wed, 14 Sep 2022 00:00:00 GMT</t>
  </si>
  <si>
    <t>Tue, 13 Sep 2022 00:00:00 GMT</t>
  </si>
  <si>
    <t>Mon, 12 Sep 2022 00:00:00 GMT</t>
  </si>
  <si>
    <t>Fri, 09 Sep 2022 00:00:00 GMT</t>
  </si>
  <si>
    <t>Thu, 08 Sep 2022 00:00:00 GMT</t>
  </si>
  <si>
    <t>Wed, 07 Sep 2022 00:00:00 GMT</t>
  </si>
  <si>
    <t>Tue, 06 Sep 2022 00:00:00 GMT</t>
  </si>
  <si>
    <t>Fri, 02 Sep 2022 00:00:00 GMT</t>
  </si>
  <si>
    <t>Thu, 01 Sep 2022 00:00:00 GMT</t>
  </si>
  <si>
    <t>Wed, 31 Aug 2022 00:00:00 GMT</t>
  </si>
  <si>
    <t>Tue, 30 Aug 2022 00:00:00 GMT</t>
  </si>
  <si>
    <t>Mon, 29 Aug 2022 00:00:00 GMT</t>
  </si>
  <si>
    <t>Fri, 26 Aug 2022 00:00:00 GMT</t>
  </si>
  <si>
    <t>Thu, 25 Aug 2022 00:00:00 GMT</t>
  </si>
  <si>
    <t>Wed, 24 Aug 2022 00:00:00 GMT</t>
  </si>
  <si>
    <t>Tue, 23 Aug 2022 00:00:00 GMT</t>
  </si>
  <si>
    <t>Mon, 22 Aug 2022 00:00:00 GMT</t>
  </si>
  <si>
    <t>Fri, 19 Aug 2022 00:00:00 GMT</t>
  </si>
  <si>
    <t>Thu, 18 Aug 2022 00:00:00 GMT</t>
  </si>
  <si>
    <t>Wed, 17 Aug 2022 00:00:00 GMT</t>
  </si>
  <si>
    <t>Tue, 16 Aug 2022 00:00:00 GMT</t>
  </si>
  <si>
    <t>Mon, 15 Aug 2022 00:00:00 GMT</t>
  </si>
  <si>
    <t>Fri, 12 Aug 2022 00:00:00 GMT</t>
  </si>
  <si>
    <t>Thu, 11 Aug 2022 00:00:00 GMT</t>
  </si>
  <si>
    <t>Wed, 10 Aug 2022 00:00:00 GMT</t>
  </si>
  <si>
    <t>Tue, 09 Aug 2022 00:00:00 GMT</t>
  </si>
  <si>
    <t>Mon, 08 Aug 2022 00:00:00 GMT</t>
  </si>
  <si>
    <t>Fri, 05 Aug 2022 00:00:00 GMT</t>
  </si>
  <si>
    <t>Thu, 04 Aug 2022 00:00:00 GMT</t>
  </si>
  <si>
    <t>Wed, 03 Aug 2022 00:00:00 GMT</t>
  </si>
  <si>
    <t>Tue, 02 Aug 2022 00:00:00 GMT</t>
  </si>
  <si>
    <t>Mon, 01 Aug 2022 00:00:00 GMT</t>
  </si>
  <si>
    <t>Fri, 29 Jul 2022 00:00:00 GMT</t>
  </si>
  <si>
    <t>Thu, 28 Jul 2022 00:00:00 GMT</t>
  </si>
  <si>
    <t>Wed, 27 Jul 2022 00:00:00 GMT</t>
  </si>
  <si>
    <t>Tue, 26 Jul 2022 00:00:00 GMT</t>
  </si>
  <si>
    <t>Mon, 25 Jul 2022 00:00:00 GMT</t>
  </si>
  <si>
    <t>Fri, 22 Jul 2022 00:00:00 GMT</t>
  </si>
  <si>
    <t>Thu, 21 Jul 2022 00:00:00 GMT</t>
  </si>
  <si>
    <t>Wed, 20 Jul 2022 00:00:00 GMT</t>
  </si>
  <si>
    <t>Tue, 19 Jul 2022 00:00:00 GMT</t>
  </si>
  <si>
    <t>Mon, 18 Jul 2022 00:00:00 GMT</t>
  </si>
  <si>
    <t>Fri, 15 Jul 2022 00:00:00 GMT</t>
  </si>
  <si>
    <t>Thu, 14 Jul 2022 00:00:00 GMT</t>
  </si>
  <si>
    <t>Wed, 13 Jul 2022 00:00:00 GMT</t>
  </si>
  <si>
    <t>Tue, 12 Jul 2022 00:00:00 GMT</t>
  </si>
  <si>
    <t>Mon, 11 Jul 2022 00:00:00 GMT</t>
  </si>
  <si>
    <t>Fri, 08 Jul 2022 00:00:00 GMT</t>
  </si>
  <si>
    <t>Thu, 07 Jul 2022 00:00:00 GMT</t>
  </si>
  <si>
    <t>Wed, 06 Jul 2022 00:00:00 GMT</t>
  </si>
  <si>
    <t>Tue, 05 Jul 2022 00:00:00 GMT</t>
  </si>
  <si>
    <t>Fri, 01 Jul 2022 00:00:00 GMT</t>
  </si>
  <si>
    <t>Thu, 30 Jun 2022 00:00:00 GMT</t>
  </si>
  <si>
    <t>Wed, 29 Jun 2022 00:00:00 GMT</t>
  </si>
  <si>
    <t>Tue, 28 Jun 2022 00:00:00 GMT</t>
  </si>
  <si>
    <t>Mon, 27 Jun 2022 00:00:00 GMT</t>
  </si>
  <si>
    <t>Fri, 24 Jun 2022 00:00:00 GMT</t>
  </si>
  <si>
    <t>Thu, 23 Jun 2022 00:00:00 GMT</t>
  </si>
  <si>
    <t>Wed, 22 Jun 2022 00:00:00 GMT</t>
  </si>
  <si>
    <t>Tue, 21 Jun 2022 00:00:00 GMT</t>
  </si>
  <si>
    <t>Fri, 17 Jun 2022 00:00:00 GMT</t>
  </si>
  <si>
    <t>Thu, 16 Jun 2022 00:00:00 GMT</t>
  </si>
  <si>
    <t>Wed, 15 Jun 2022 00:00:00 GMT</t>
  </si>
  <si>
    <t>Tue, 14 Jun 2022 00:00:00 GMT</t>
  </si>
  <si>
    <t>Mon, 13 Jun 2022 00:00:00 GMT</t>
  </si>
  <si>
    <t>Fri, 10 Jun 2022 00:00:00 GMT</t>
  </si>
  <si>
    <t>Thu, 09 Jun 2022 00:00:00 GMT</t>
  </si>
  <si>
    <t>Wed, 08 Jun 2022 00:00:00 GMT</t>
  </si>
  <si>
    <t>Tue, 07 Jun 2022 00:00:00 GMT</t>
  </si>
  <si>
    <t>Mon, 06 Jun 2022 00:00:00 GMT</t>
  </si>
  <si>
    <t>Fri, 03 Jun 2022 00:00:00 GMT</t>
  </si>
  <si>
    <t>Thu, 02 Jun 2022 00:00:00 GMT</t>
  </si>
  <si>
    <t>Wed, 01 Jun 2022 00:00:00 GMT</t>
  </si>
  <si>
    <t>Tue, 31 May 2022 00:00:00 GMT</t>
  </si>
  <si>
    <t>Fri, 27 May 2022 00:00:00 GMT</t>
  </si>
  <si>
    <t>Thu, 26 May 2022 00:00:00 GMT</t>
  </si>
  <si>
    <t>Wed, 25 May 2022 00:00:00 GMT</t>
  </si>
  <si>
    <t>Tue, 24 May 2022 00:00:00 GMT</t>
  </si>
  <si>
    <t>Mon, 23 May 2022 00:00:00 GMT</t>
  </si>
  <si>
    <t>Fri, 20 May 2022 00:00:00 GMT</t>
  </si>
  <si>
    <t>Thu, 19 May 2022 00:00:00 GMT</t>
  </si>
  <si>
    <t>Wed, 18 May 2022 00:00:00 GMT</t>
  </si>
  <si>
    <t>Tue, 17 May 2022 00:00:00 GMT</t>
  </si>
  <si>
    <t>Mon, 16 May 2022 00:00:00 GMT</t>
  </si>
  <si>
    <t>Fri, 13 May 2022 00:00:00 GMT</t>
  </si>
  <si>
    <t>Thu, 12 May 2022 00:00:00 GMT</t>
  </si>
  <si>
    <t>Wed, 11 May 2022 00:00:00 GMT</t>
  </si>
  <si>
    <t>Tue, 10 May 2022 00:00:00 GMT</t>
  </si>
  <si>
    <t>Mon, 09 May 2022 00:00:00 GMT</t>
  </si>
  <si>
    <t>Fri, 06 May 2022 00:00:00 GMT</t>
  </si>
  <si>
    <t>Thu, 05 May 2022 00:00:00 GMT</t>
  </si>
  <si>
    <t>Wed, 04 May 2022 00:00:00 GMT</t>
  </si>
  <si>
    <t>Tue, 03 May 2022 00:00:00 GMT</t>
  </si>
  <si>
    <t>Mon, 02 May 2022 00:00:00 GMT</t>
  </si>
  <si>
    <t>Fri, 29 Apr 2022 00:00:00 GMT</t>
  </si>
  <si>
    <t>Thu, 28 Apr 2022 00:00:00 GMT</t>
  </si>
  <si>
    <t>Wed, 27 Apr 2022 00:00:00 GMT</t>
  </si>
  <si>
    <t>Tue, 26 Apr 2022 00:00:00 GMT</t>
  </si>
  <si>
    <t>Mon, 25 Apr 2022 00:00:00 GMT</t>
  </si>
  <si>
    <t>Fri, 22 Apr 2022 00:00:00 GMT</t>
  </si>
  <si>
    <t>Thu, 21 Apr 2022 00:00:00 GMT</t>
  </si>
  <si>
    <t>Wed, 20 Apr 2022 00:00:00 GMT</t>
  </si>
  <si>
    <t>Tue, 19 Apr 2022 00:00:00 GMT</t>
  </si>
  <si>
    <t>Mon, 18 Apr 2022 00:00:00 GMT</t>
  </si>
  <si>
    <t>Thu, 14 Apr 2022 00:00:00 GMT</t>
  </si>
  <si>
    <t>Wed, 13 Apr 2022 00:00:00 GMT</t>
  </si>
  <si>
    <t>Tue, 12 Apr 2022 00:00:00 GMT</t>
  </si>
  <si>
    <t>Mon, 11 Apr 2022 00:00:00 GMT</t>
  </si>
  <si>
    <t>Fri, 08 Apr 2022 00:00:00 GMT</t>
  </si>
  <si>
    <t>Thu, 07 Apr 2022 00:00:00 GMT</t>
  </si>
  <si>
    <t>Wed, 06 Apr 2022 00:00:00 GMT</t>
  </si>
  <si>
    <t>Tue, 05 Apr 2022 00:00:00 GMT</t>
  </si>
  <si>
    <t>Mon, 04 Apr 2022 00:00:00 GMT</t>
  </si>
  <si>
    <t>Fri, 01 Apr 2022 00:00:00 GMT</t>
  </si>
  <si>
    <t>Thu, 31 Mar 2022 00:00:00 GMT</t>
  </si>
  <si>
    <t>Wed, 30 Mar 2022 00:00:00 GMT</t>
  </si>
  <si>
    <t>Tue, 29 Mar 2022 00:00:00 GMT</t>
  </si>
  <si>
    <t>Mon, 28 Mar 2022 00:00:00 GMT</t>
  </si>
  <si>
    <t>Fri, 25 Mar 2022 00:00:00 GMT</t>
  </si>
  <si>
    <t>Thu, 24 Mar 2022 00:00:00 GMT</t>
  </si>
  <si>
    <t>Wed, 23 Mar 2022 00:00:00 GMT</t>
  </si>
  <si>
    <t>Tue, 22 Mar 2022 00:00:00 GMT</t>
  </si>
  <si>
    <t>Mon, 21 Mar 2022 00:00:00 GMT</t>
  </si>
  <si>
    <t>Fri, 18 Mar 2022 00:00:00 GMT</t>
  </si>
  <si>
    <t>Thu, 17 Mar 2022 00:00:00 GMT</t>
  </si>
  <si>
    <t>Wed, 16 Mar 2022 00:00:00 GMT</t>
  </si>
  <si>
    <t>Tue, 15 Mar 2022 00:00:00 GMT</t>
  </si>
  <si>
    <t>Mon, 14 Mar 2022 00:00:00 GMT</t>
  </si>
  <si>
    <t>Fri, 11 Mar 2022 00:00:00 GMT</t>
  </si>
  <si>
    <t>Thu, 10 Mar 2022 00:00:00 GMT</t>
  </si>
  <si>
    <t>Wed, 09 Mar 2022 00:00:00 GMT</t>
  </si>
  <si>
    <t>Tue, 08 Mar 2022 00:00:00 GMT</t>
  </si>
  <si>
    <t>Mon, 07 Mar 2022 00:00:00 GMT</t>
  </si>
  <si>
    <t>Fri, 04 Mar 2022 00:00:00 GMT</t>
  </si>
  <si>
    <t>Thu, 03 Mar 2022 00:00:00 GMT</t>
  </si>
  <si>
    <t>Wed, 02 Mar 2022 00:00:00 GMT</t>
  </si>
  <si>
    <t>Tue, 01 Mar 2022 00:00:00 GMT</t>
  </si>
  <si>
    <t>Mon, 28 Feb 2022 00:00:00 GMT</t>
  </si>
  <si>
    <t>Fri, 25 Feb 2022 00:00:00 GMT</t>
  </si>
  <si>
    <t>Thu, 24 Feb 2022 00:00:00 GMT</t>
  </si>
  <si>
    <t>Wed, 23 Feb 2022 00:00:00 GMT</t>
  </si>
  <si>
    <t>Tue, 22 Feb 2022 00:00:00 GMT</t>
  </si>
  <si>
    <t>Fri, 18 Feb 2022 00:00:00 GMT</t>
  </si>
  <si>
    <t>Thu, 17 Feb 2022 00:00:00 GMT</t>
  </si>
  <si>
    <t>Wed, 16 Feb 2022 00:00:00 GMT</t>
  </si>
  <si>
    <t>Tue, 15 Feb 2022 00:00:00 GMT</t>
  </si>
  <si>
    <t>Mon, 14 Feb 2022 00:00:00 GMT</t>
  </si>
  <si>
    <t>Fri, 11 Feb 2022 00:00:00 GMT</t>
  </si>
  <si>
    <t>Thu, 10 Feb 2022 00:00:00 GMT</t>
  </si>
  <si>
    <t>Wed, 09 Feb 2022 00:00:00 GMT</t>
  </si>
  <si>
    <t>Tue, 08 Feb 2022 00:00:00 GMT</t>
  </si>
  <si>
    <t>Mon, 07 Feb 2022 00:00:00 GMT</t>
  </si>
  <si>
    <t>Fri, 04 Feb 2022 00:00:00 GMT</t>
  </si>
  <si>
    <t>Thu, 03 Feb 2022 00:00:00 GMT</t>
  </si>
  <si>
    <t>Wed, 02 Feb 2022 00:00:00 GMT</t>
  </si>
  <si>
    <t>Tue, 01 Feb 2022 00:00:00 GMT</t>
  </si>
  <si>
    <t>Mon, 31 Jan 2022 00:00:00 GMT</t>
  </si>
  <si>
    <t>Fri, 28 Jan 2022 00:00:00 GMT</t>
  </si>
  <si>
    <t>Thu, 27 Jan 2022 00:00:00 GMT</t>
  </si>
  <si>
    <t>Wed, 26 Jan 2022 00:00:00 GMT</t>
  </si>
  <si>
    <t>Tue, 25 Jan 2022 00:00:00 GMT</t>
  </si>
  <si>
    <t>Mon, 24 Jan 2022 00:00:00 GMT</t>
  </si>
  <si>
    <t>Fri, 21 Jan 2022 00:00:00 GMT</t>
  </si>
  <si>
    <t>Thu, 20 Jan 2022 00:00:00 GMT</t>
  </si>
  <si>
    <t>Wed, 19 Jan 2022 00:00:00 GMT</t>
  </si>
  <si>
    <t>Tue, 18 Jan 2022 00:00:00 GMT</t>
  </si>
  <si>
    <t>Fri, 14 Jan 2022 00:00:00 GMT</t>
  </si>
  <si>
    <t>Thu, 13 Jan 2022 00:00:00 GMT</t>
  </si>
  <si>
    <t>Wed, 12 Jan 2022 00:00:00 GMT</t>
  </si>
  <si>
    <t>Tue, 11 Jan 2022 00:00:00 GMT</t>
  </si>
  <si>
    <t>Mon, 10 Jan 2022 00:00:00 GMT</t>
  </si>
  <si>
    <t>Fri, 07 Jan 2022 00:00:00 GMT</t>
  </si>
  <si>
    <t>Thu, 06 Jan 2022 00:00:00 GMT</t>
  </si>
  <si>
    <t>Wed, 05 Jan 2022 00:00:00 GMT</t>
  </si>
  <si>
    <t>Tue, 04 Jan 2022 00:00:00 GMT</t>
  </si>
  <si>
    <t>Mon, 03 Jan 2022 00:00:00 GMT</t>
  </si>
  <si>
    <t>Fri, 31 Dec 2021 00:00:00 GMT</t>
  </si>
  <si>
    <t>Thu, 30 Dec 2021 00:00:00 GMT</t>
  </si>
  <si>
    <t>Wed, 29 Dec 2021 00:00:00 GMT</t>
  </si>
  <si>
    <t>Tue, 28 Dec 2021 00:00:00 GMT</t>
  </si>
  <si>
    <t>Mon, 27 Dec 2021 00:00:00 GMT</t>
  </si>
  <si>
    <t>Thu, 23 Dec 2021 00:00:00 GMT</t>
  </si>
  <si>
    <t>Wed, 22 Dec 2021 00:00:00 GMT</t>
  </si>
  <si>
    <t>Tue, 21 Dec 2021 00:00:00 GMT</t>
  </si>
  <si>
    <t>Mon, 20 Dec 2021 00:00:00 GMT</t>
  </si>
  <si>
    <t>Fri, 17 Dec 2021 00:00:00 GMT</t>
  </si>
  <si>
    <t>Thu, 16 Dec 2021 00:00:00 GMT</t>
  </si>
  <si>
    <t>Wed, 15 Dec 2021 00:00:00 GMT</t>
  </si>
  <si>
    <t>Tue, 14 Dec 2021 00:00:00 GMT</t>
  </si>
  <si>
    <t>Mon, 13 Dec 2021 00:00:00 GMT</t>
  </si>
  <si>
    <t>Fri, 10 Dec 2021 00:00:00 GMT</t>
  </si>
  <si>
    <t>Thu, 09 Dec 2021 00:00:00 GMT</t>
  </si>
  <si>
    <t>Wed, 08 Dec 2021 00:00:00 GMT</t>
  </si>
  <si>
    <t>Tue, 07 Dec 2021 00:00:00 GMT</t>
  </si>
  <si>
    <t>Mon, 06 Dec 2021 00:00:00 GMT</t>
  </si>
  <si>
    <t>Fri, 03 Dec 2021 00:00:00 GMT</t>
  </si>
  <si>
    <t>Thu, 02 Dec 2021 00:00:00 GMT</t>
  </si>
  <si>
    <t>Wed, 01 Dec 2021 00:00:00 GMT</t>
  </si>
  <si>
    <t>Tue, 30 Nov 2021 00:00:00 GMT</t>
  </si>
  <si>
    <t>Mon, 29 Nov 2021 00:00:00 GMT</t>
  </si>
  <si>
    <t>Fri, 26 Nov 2021 00:00:00 GMT</t>
  </si>
  <si>
    <t>Wed, 24 Nov 2021 00:00:00 GMT</t>
  </si>
  <si>
    <t>Tue, 23 Nov 2021 00:00:00 GMT</t>
  </si>
  <si>
    <t>Mon, 22 Nov 2021 00:00:00 GMT</t>
  </si>
  <si>
    <t>Fri, 19 Nov 2021 00:00:00 GMT</t>
  </si>
  <si>
    <t>Thu, 18 Nov 2021 00:00:00 GMT</t>
  </si>
  <si>
    <t>Wed, 17 Nov 2021 00:00:00 GMT</t>
  </si>
  <si>
    <t>Tue, 16 Nov 2021 00:00:00 GMT</t>
  </si>
  <si>
    <t>Mon, 15 Nov 2021 00:00:00 GMT</t>
  </si>
  <si>
    <t>Fri, 12 Nov 2021 00:00:00 GMT</t>
  </si>
  <si>
    <t>Thu, 11 Nov 2021 00:00:00 GMT</t>
  </si>
  <si>
    <t>Wed, 10 Nov 2021 00:00:00 GMT</t>
  </si>
  <si>
    <t>Tue, 09 Nov 2021 00:00:00 GMT</t>
  </si>
  <si>
    <t>Mon, 08 Nov 2021 00:00:00 GMT</t>
  </si>
  <si>
    <t>Fri, 05 Nov 2021 00:00:00 GMT</t>
  </si>
  <si>
    <t>Thu, 04 Nov 2021 00:00:00 GMT</t>
  </si>
  <si>
    <t>Wed, 03 Nov 2021 00:00:00 GMT</t>
  </si>
  <si>
    <t>Tue, 02 Nov 2021 00:00:00 GMT</t>
  </si>
  <si>
    <t>Mon, 01 Nov 2021 00:00:00 GMT</t>
  </si>
  <si>
    <t>Fri, 29 Oct 2021 00:00:00 GMT</t>
  </si>
  <si>
    <t>Thu, 28 Oct 2021 00:00:00 GMT</t>
  </si>
  <si>
    <t>Wed, 27 Oct 2021 00:00:00 GMT</t>
  </si>
  <si>
    <t>Tue, 26 Oct 2021 00:00:00 GMT</t>
  </si>
  <si>
    <t>Mon, 25 Oct 2021 00:00:00 GMT</t>
  </si>
  <si>
    <t>Fri, 22 Oct 2021 00:00:00 GMT</t>
  </si>
  <si>
    <t>Thu, 21 Oct 2021 00:00:00 GMT</t>
  </si>
  <si>
    <t>Wed, 20 Oct 2021 00:00:00 GMT</t>
  </si>
  <si>
    <t>Tue, 19 Oct 2021 00:00:00 GMT</t>
  </si>
  <si>
    <t>Mon, 18 Oct 2021 00:00:00 GMT</t>
  </si>
  <si>
    <t>Fri, 15 Oct 2021 00:00:00 GMT</t>
  </si>
  <si>
    <t>Thu, 14 Oct 2021 00:00:00 GMT</t>
  </si>
  <si>
    <t>Wed, 13 Oct 2021 00:00:00 GMT</t>
  </si>
  <si>
    <t>Tue, 12 Oct 2021 00:00:00 GMT</t>
  </si>
  <si>
    <t>Mon, 11 Oct 2021 00:00:00 GMT</t>
  </si>
  <si>
    <t>Fri, 08 Oct 2021 00:00:00 GMT</t>
  </si>
  <si>
    <t>Thu, 07 Oct 2021 00:00:00 GMT</t>
  </si>
  <si>
    <t>Wed, 06 Oct 2021 00:00:00 GMT</t>
  </si>
  <si>
    <t>Tue, 05 Oct 2021 00:00:00 GMT</t>
  </si>
  <si>
    <t>Mon, 04 Oct 2021 00:00:00 GMT</t>
  </si>
  <si>
    <t>Fri, 01 Oct 2021 00:00:00 GMT</t>
  </si>
  <si>
    <t>Thu, 30 Sep 2021 00:00:00 GMT</t>
  </si>
  <si>
    <t>Wed, 29 Sep 2021 00:00:00 GMT</t>
  </si>
  <si>
    <t>Tue, 28 Sep 2021 00:00:00 GMT</t>
  </si>
  <si>
    <t>Mon, 27 Sep 2021 00:00:00 GMT</t>
  </si>
  <si>
    <t>Fri, 24 Sep 2021 00:00:00 GMT</t>
  </si>
  <si>
    <t>Thu, 23 Sep 2021 00:00:00 GMT</t>
  </si>
  <si>
    <t>Wed, 22 Sep 2021 00:00:00 GMT</t>
  </si>
  <si>
    <t>Tue, 21 Sep 2021 00:00:00 GMT</t>
  </si>
  <si>
    <t>Mon, 20 Sep 2021 00:00:00 GMT</t>
  </si>
  <si>
    <t>Fri, 17 Sep 2021 00:00:00 GMT</t>
  </si>
  <si>
    <t>Thu, 16 Sep 2021 00:00:00 GMT</t>
  </si>
  <si>
    <t>Wed, 15 Sep 2021 00:00:00 GMT</t>
  </si>
  <si>
    <t>Tue, 14 Sep 2021 00:00:00 GMT</t>
  </si>
  <si>
    <t>Mon, 13 Sep 2021 00:00:00 GMT</t>
  </si>
  <si>
    <t>Fri, 10 Sep 2021 00:00:00 GMT</t>
  </si>
  <si>
    <t>Thu, 09 Sep 2021 00:00:00 GMT</t>
  </si>
  <si>
    <t>Wed, 08 Sep 2021 00:00:00 GMT</t>
  </si>
  <si>
    <t>Tue, 07 Sep 2021 00:00:00 GMT</t>
  </si>
  <si>
    <t>Fri, 03 Sep 2021 00:00:00 GMT</t>
  </si>
  <si>
    <t>Thu, 02 Sep 2021 00:00:00 GMT</t>
  </si>
  <si>
    <t>Wed, 01 Sep 2021 00:00:00 GMT</t>
  </si>
  <si>
    <t>Tue, 31 Aug 2021 00:00:00 GMT</t>
  </si>
  <si>
    <t>Mon, 30 Aug 2021 00:00:00 GMT</t>
  </si>
  <si>
    <t>Fri, 27 Aug 2021 00:00:00 GMT</t>
  </si>
  <si>
    <t>Thu, 26 Aug 2021 00:00:00 GMT</t>
  </si>
  <si>
    <t>Wed, 25 Aug 2021 00:00:00 GMT</t>
  </si>
  <si>
    <t>Tue, 24 Aug 2021 00:00:00 GMT</t>
  </si>
  <si>
    <t>Mon, 23 Aug 2021 00:00:00 GMT</t>
  </si>
  <si>
    <t>Fri, 20 Aug 2021 00:00:00 GMT</t>
  </si>
  <si>
    <t>Thu, 19 Aug 2021 00:00:00 GMT</t>
  </si>
  <si>
    <t>Wed, 18 Aug 2021 00:00:00 GMT</t>
  </si>
  <si>
    <t>Tue, 17 Aug 2021 00:00:00 GMT</t>
  </si>
  <si>
    <t>Mon, 16 Aug 2021 00:00:00 GMT</t>
  </si>
  <si>
    <t>Fri, 13 Aug 2021 00:00:00 GMT</t>
  </si>
  <si>
    <t>Thu, 12 Aug 2021 00:00:00 GMT</t>
  </si>
  <si>
    <t>Wed, 11 Aug 2021 00:00:00 GMT</t>
  </si>
  <si>
    <t>Tue, 10 Aug 2021 00:00:00 GMT</t>
  </si>
  <si>
    <t>Mon, 09 Aug 2021 00:00:00 GMT</t>
  </si>
  <si>
    <t>Fri, 06 Aug 2021 00:00:00 GMT</t>
  </si>
  <si>
    <t>Thu, 05 Aug 2021 00:00:00 GMT</t>
  </si>
  <si>
    <t>Wed, 04 Aug 2021 00:00:00 GMT</t>
  </si>
  <si>
    <t>Tue, 03 Aug 2021 00:00:00 GMT</t>
  </si>
  <si>
    <t>Mon, 02 Aug 2021 00:00:00 GMT</t>
  </si>
  <si>
    <t>Fri, 30 Jul 2021 00:00:00 GMT</t>
  </si>
  <si>
    <t>Thu, 29 Jul 2021 00:00:00 GMT</t>
  </si>
  <si>
    <t>Wed, 28 Jul 2021 00:00:00 GMT</t>
  </si>
  <si>
    <t>Tue, 27 Jul 2021 00:00:00 GMT</t>
  </si>
  <si>
    <t>Mon, 26 Jul 2021 00:00:00 GMT</t>
  </si>
  <si>
    <t>Fri, 23 Jul 2021 00:00:00 GMT</t>
  </si>
  <si>
    <t>Thu, 22 Jul 2021 00:00:00 GMT</t>
  </si>
  <si>
    <t>Wed, 21 Jul 2021 00:00:00 GMT</t>
  </si>
  <si>
    <t>Tue, 20 Jul 2021 00:00:00 GMT</t>
  </si>
  <si>
    <t>Mon, 19 Jul 2021 00:00:00 GMT</t>
  </si>
  <si>
    <t>Fri, 16 Jul 2021 00:00:00 GMT</t>
  </si>
  <si>
    <t>Thu, 15 Jul 2021 00:00:00 GMT</t>
  </si>
  <si>
    <t>Wed, 14 Jul 2021 00:00:00 GMT</t>
  </si>
  <si>
    <t>Tue, 13 Jul 2021 00:00:00 GMT</t>
  </si>
  <si>
    <t>Mon, 12 Jul 2021 00:00:00 GMT</t>
  </si>
  <si>
    <t>Fri, 09 Jul 2021 00:00:00 GMT</t>
  </si>
  <si>
    <t>Thu, 08 Jul 2021 00:00:00 GMT</t>
  </si>
  <si>
    <t>Wed, 07 Jul 2021 00:00:00 GMT</t>
  </si>
  <si>
    <t>Tue, 06 Jul 2021 00:00:00 GMT</t>
  </si>
  <si>
    <t>Fri, 02 Jul 2021 00:00:00 GMT</t>
  </si>
  <si>
    <t>Thu, 01 Jul 2021 00:00:00 GMT</t>
  </si>
  <si>
    <t>Wed, 30 Jun 2021 00:00:00 GMT</t>
  </si>
  <si>
    <t>Tue, 29 Jun 2021 00:00:00 GMT</t>
  </si>
  <si>
    <t>Mon, 28 Jun 2021 00:00:00 GMT</t>
  </si>
  <si>
    <t>Fri, 25 Jun 2021 00:00:00 GMT</t>
  </si>
  <si>
    <t>Thu, 24 Jun 2021 00:00:00 GMT</t>
  </si>
  <si>
    <t>Wed, 23 Jun 2021 00:00:00 GMT</t>
  </si>
  <si>
    <t>Tue, 22 Jun 2021 00:00:00 GMT</t>
  </si>
  <si>
    <t>Mon, 21 Jun 2021 00:00:00 GMT</t>
  </si>
  <si>
    <t>Fri, 18 Jun 2021 00:00:00 GMT</t>
  </si>
  <si>
    <t>Thu, 17 Jun 2021 00:00:00 GMT</t>
  </si>
  <si>
    <t>Wed, 16 Jun 2021 00:00:00 GMT</t>
  </si>
  <si>
    <t>Tue, 15 Jun 2021 00:00:00 GMT</t>
  </si>
  <si>
    <t>Mon, 14 Jun 2021 00:00:00 GMT</t>
  </si>
  <si>
    <t>Fri, 11 Jun 2021 00:00:00 GMT</t>
  </si>
  <si>
    <t>Thu, 10 Jun 2021 00:00:00 GMT</t>
  </si>
  <si>
    <t>Wed, 09 Jun 2021 00:00:00 GMT</t>
  </si>
  <si>
    <t>Tue, 08 Jun 2021 00:00:00 GMT</t>
  </si>
  <si>
    <t>Mon, 07 Jun 2021 00:00:00 GMT</t>
  </si>
  <si>
    <t>Fri, 04 Jun 2021 00:00:00 GMT</t>
  </si>
  <si>
    <t>Thu, 03 Jun 2021 00:00:00 GMT</t>
  </si>
  <si>
    <t>Wed, 02 Jun 2021 00:00:00 GMT</t>
  </si>
  <si>
    <t>Tue, 01 Jun 2021 00:00:00 GMT</t>
  </si>
  <si>
    <t>Fri, 28 May 2021 00:00:00 GMT</t>
  </si>
  <si>
    <t>Thu, 27 May 2021 00:00:00 GMT</t>
  </si>
  <si>
    <t>Wed, 26 May 2021 00:00:00 GMT</t>
  </si>
  <si>
    <t>Tue, 25 May 2021 00:00:00 GMT</t>
  </si>
  <si>
    <t>Mon, 24 May 2021 00:00:00 GMT</t>
  </si>
  <si>
    <t>Fri, 21 May 2021 00:00:00 GMT</t>
  </si>
  <si>
    <t>Thu, 20 May 2021 00:00:00 GMT</t>
  </si>
  <si>
    <t>Wed, 19 May 2021 00:00:00 GMT</t>
  </si>
  <si>
    <t>Tue, 18 May 2021 00:00:00 GMT</t>
  </si>
  <si>
    <t>Mon, 17 May 2021 00:00:00 GMT</t>
  </si>
  <si>
    <t>Fri, 14 May 2021 00:00:00 GMT</t>
  </si>
  <si>
    <t>Thu, 13 May 2021 00:00:00 GMT</t>
  </si>
  <si>
    <t>Wed, 12 May 2021 00:00:00 GMT</t>
  </si>
  <si>
    <t>Tue, 11 May 2021 00:00:00 GMT</t>
  </si>
  <si>
    <t>Mon, 10 May 2021 00:00:00 GMT</t>
  </si>
  <si>
    <t>Fri, 07 May 2021 00:00:00 GMT</t>
  </si>
  <si>
    <t>Thu, 06 May 2021 00:00:00 GMT</t>
  </si>
  <si>
    <t>Wed, 05 May 2021 00:00:00 GMT</t>
  </si>
  <si>
    <t>Tue, 04 May 2021 00:00:00 GMT</t>
  </si>
  <si>
    <t>Mon, 03 May 2021 00:00:00 GMT</t>
  </si>
  <si>
    <t>Fri, 30 Apr 2021 00:00:00 GMT</t>
  </si>
  <si>
    <t>Thu, 29 Apr 2021 00:00:00 GMT</t>
  </si>
  <si>
    <t>Wed, 28 Apr 2021 00:00:00 GMT</t>
  </si>
  <si>
    <t>Tue, 27 Apr 2021 00:00:00 GMT</t>
  </si>
  <si>
    <t>Mon, 26 Apr 2021 00:00:00 GMT</t>
  </si>
  <si>
    <t>Fri, 23 Apr 2021 00:00:00 GMT</t>
  </si>
  <si>
    <t>Thu, 22 Apr 2021 00:00:00 GMT</t>
  </si>
  <si>
    <t>Wed, 21 Apr 2021 00:00:00 GMT</t>
  </si>
  <si>
    <t>Tue, 20 Apr 2021 00:00:00 GMT</t>
  </si>
  <si>
    <t>Mon, 19 Apr 2021 00:00:00 GMT</t>
  </si>
  <si>
    <t>Fri, 16 Apr 2021 00:00:00 GMT</t>
  </si>
  <si>
    <t>Thu, 15 Apr 2021 00:00:00 GMT</t>
  </si>
  <si>
    <t>Wed, 14 Apr 2021 00:00:00 GMT</t>
  </si>
  <si>
    <t>Tue, 13 Apr 2021 00:00:00 GMT</t>
  </si>
  <si>
    <t>Mon, 12 Apr 2021 00:00:00 GMT</t>
  </si>
  <si>
    <t>Fri, 09 Apr 2021 00:00:00 GMT</t>
  </si>
  <si>
    <t>Thu, 08 Apr 2021 00:00:00 GMT</t>
  </si>
  <si>
    <t>Wed, 07 Apr 2021 00:00:00 GMT</t>
  </si>
  <si>
    <t>Tue, 06 Apr 2021 00:00:00 GMT</t>
  </si>
  <si>
    <t>Mon, 05 Apr 2021 00:00:00 GMT</t>
  </si>
  <si>
    <t>Thu, 01 Apr 2021 00:00:00 GMT</t>
  </si>
  <si>
    <t>Wed, 31 Mar 2021 00:00:00 GMT</t>
  </si>
  <si>
    <t>Tue, 30 Mar 2021 00:00:00 GMT</t>
  </si>
  <si>
    <t>Mon, 29 Mar 2021 00:00:00 GMT</t>
  </si>
  <si>
    <t>Fri, 26 Mar 2021 00:00:00 GMT</t>
  </si>
  <si>
    <t>Thu, 25 Mar 2021 00:00:00 GMT</t>
  </si>
  <si>
    <t>Wed, 24 Mar 2021 00:00:00 GMT</t>
  </si>
  <si>
    <t>Tue, 23 Mar 2021 00:00:00 GMT</t>
  </si>
  <si>
    <t>Mon, 22 Mar 2021 00:00:00 GMT</t>
  </si>
  <si>
    <t>Fri, 19 Mar 2021 00:00:00 GMT</t>
  </si>
  <si>
    <t>Thu, 18 Mar 2021 00:00:00 GMT</t>
  </si>
  <si>
    <t>Wed, 17 Mar 2021 00:00:00 GMT</t>
  </si>
  <si>
    <t>Tue, 16 Mar 2021 00:00:00 GMT</t>
  </si>
  <si>
    <t>Mon, 15 Mar 2021 00:00:00 GMT</t>
  </si>
  <si>
    <t>Fri, 12 Mar 2021 00:00:00 GMT</t>
  </si>
  <si>
    <t>Thu, 11 Mar 2021 00:00:00 GMT</t>
  </si>
  <si>
    <t>Wed, 10 Mar 2021 00:00:00 GMT</t>
  </si>
  <si>
    <t>Tue, 09 Mar 2021 00:00:00 GMT</t>
  </si>
  <si>
    <t>Mon, 08 Mar 2021 00:00:00 GMT</t>
  </si>
  <si>
    <t>Fri, 05 Mar 2021 00:00:00 GMT</t>
  </si>
  <si>
    <t>Thu, 04 Mar 2021 00:00:00 GMT</t>
  </si>
  <si>
    <t>Wed, 03 Mar 2021 00:00:00 GMT</t>
  </si>
  <si>
    <t>Tue, 02 Mar 2021 00:00:00 GMT</t>
  </si>
  <si>
    <t>Mon, 01 Mar 2021 00:00:00 GMT</t>
  </si>
  <si>
    <t>Fri, 26 Feb 2021 00:00:00 GMT</t>
  </si>
  <si>
    <t>Thu, 25 Feb 2021 00:00:00 GMT</t>
  </si>
  <si>
    <t>Wed, 24 Feb 2021 00:00:00 GMT</t>
  </si>
  <si>
    <t>Tue, 23 Feb 2021 00:00:00 GMT</t>
  </si>
  <si>
    <t>Mon, 22 Feb 2021 00:00:00 GMT</t>
  </si>
  <si>
    <t>Fri, 19 Feb 2021 00:00:00 GMT</t>
  </si>
  <si>
    <t>Thu, 18 Feb 2021 00:00:00 GMT</t>
  </si>
  <si>
    <t>Wed, 17 Feb 2021 00:00:00 GMT</t>
  </si>
  <si>
    <t>Tue, 16 Feb 2021 00:00:00 GMT</t>
  </si>
  <si>
    <t>Fri, 12 Feb 2021 00:00:00 GMT</t>
  </si>
  <si>
    <t>Thu, 11 Feb 2021 00:00:00 GMT</t>
  </si>
  <si>
    <t>Wed, 10 Feb 2021 00:00:00 GMT</t>
  </si>
  <si>
    <t>Tue, 09 Feb 2021 00:00:00 GMT</t>
  </si>
  <si>
    <t>Mon, 08 Feb 2021 00:00:00 GMT</t>
  </si>
  <si>
    <t>Fri, 05 Feb 2021 00:00:00 GMT</t>
  </si>
  <si>
    <t>Thu, 04 Feb 2021 00:00:00 GMT</t>
  </si>
  <si>
    <t>Wed, 03 Feb 2021 00:00:00 GMT</t>
  </si>
  <si>
    <t>Tue, 02 Feb 2021 00:00:00 GMT</t>
  </si>
  <si>
    <t>Mon, 01 Feb 2021 00:00:00 GMT</t>
  </si>
  <si>
    <t>Fri, 29 Jan 2021 00:00:00 GMT</t>
  </si>
  <si>
    <t>Thu, 28 Jan 2021 00:00:00 GMT</t>
  </si>
  <si>
    <t>Wed, 27 Jan 2021 00:00:00 GMT</t>
  </si>
  <si>
    <t>Tue, 26 Jan 2021 00:00:00 GMT</t>
  </si>
  <si>
    <t>Mon, 25 Jan 2021 00:00:00 GMT</t>
  </si>
  <si>
    <t>Fri, 22 Jan 2021 00:00:00 GMT</t>
  </si>
  <si>
    <t>Thu, 21 Jan 2021 00:00:00 GMT</t>
  </si>
  <si>
    <t>Wed, 20 Jan 2021 00:00:00 GMT</t>
  </si>
  <si>
    <t>Tue, 19 Jan 2021 00:00:00 GMT</t>
  </si>
  <si>
    <t>Fri, 15 Jan 2021 00:00:00 GMT</t>
  </si>
  <si>
    <t>Thu, 14 Jan 2021 00:00:00 GMT</t>
  </si>
  <si>
    <t>Wed, 13 Jan 2021 00:00:00 GMT</t>
  </si>
  <si>
    <t>Tue, 12 Jan 2021 00:00:00 GMT</t>
  </si>
  <si>
    <t>Mon, 11 Jan 2021 00:00:00 GMT</t>
  </si>
  <si>
    <t>Fri, 08 Jan 2021 00:00:00 GMT</t>
  </si>
  <si>
    <t>Thu, 07 Jan 2021 00:00:00 GMT</t>
  </si>
  <si>
    <t>Wed, 06 Jan 2021 00:00:00 GMT</t>
  </si>
  <si>
    <t>Tue, 05 Jan 2021 00:00:00 GMT</t>
  </si>
  <si>
    <t>Mon, 04 Jan 2021 00:00:00 GMT</t>
  </si>
  <si>
    <t>Thu, 31 Dec 2020 00:00:00 GMT</t>
  </si>
  <si>
    <t>Wed, 30 Dec 2020 00:00:00 GMT</t>
  </si>
  <si>
    <t>Tue, 29 Dec 2020 00:00:00 GMT</t>
  </si>
  <si>
    <t>Mon, 28 Dec 2020 00:00:00 GMT</t>
  </si>
  <si>
    <t>Thu, 24 Dec 2020 00:00:00 GMT</t>
  </si>
  <si>
    <t>Wed, 23 Dec 2020 00:00:00 GMT</t>
  </si>
  <si>
    <t>Tue, 22 Dec 2020 00:00:00 GMT</t>
  </si>
  <si>
    <t>Mon, 21 Dec 2020 00:00:00 GMT</t>
  </si>
  <si>
    <t>Fri, 18 Dec 2020 00:00:00 GMT</t>
  </si>
  <si>
    <t>Thu, 17 Dec 2020 00:00:00 GMT</t>
  </si>
  <si>
    <t>Wed, 16 Dec 2020 00:00:00 GMT</t>
  </si>
  <si>
    <t>Tue, 15 Dec 2020 00:00:00 GMT</t>
  </si>
  <si>
    <t>Mon, 14 Dec 2020 00:00:00 GMT</t>
  </si>
  <si>
    <t>Fri, 11 Dec 2020 00:00:00 GMT</t>
  </si>
  <si>
    <t>Thu, 10 Dec 2020 00:00:00 GMT</t>
  </si>
  <si>
    <t>Wed, 09 Dec 2020 00:00:00 GMT</t>
  </si>
  <si>
    <t>Tue, 08 Dec 2020 00:00:00 GMT</t>
  </si>
  <si>
    <t>Mon, 07 Dec 2020 00:00:00 GMT</t>
  </si>
  <si>
    <t>Fri, 04 Dec 2020 00:00:00 GMT</t>
  </si>
  <si>
    <t>Thu, 03 Dec 2020 00:00:00 GMT</t>
  </si>
  <si>
    <t>Wed, 02 Dec 2020 00:00:00 GMT</t>
  </si>
  <si>
    <t>Tue, 01 Dec 2020 00:00:00 GMT</t>
  </si>
  <si>
    <t>Mon, 30 Nov 2020 00:00:00 GMT</t>
  </si>
  <si>
    <t>Fri, 27 Nov 2020 00:00:00 GMT</t>
  </si>
  <si>
    <t>Wed, 25 Nov 2020 00:00:00 GMT</t>
  </si>
  <si>
    <t>Tue, 24 Nov 2020 00:00:00 GMT</t>
  </si>
  <si>
    <t>Mon, 23 Nov 2020 00:00:00 GMT</t>
  </si>
  <si>
    <t>Fri, 20 Nov 2020 00:00:00 GMT</t>
  </si>
  <si>
    <t>Thu, 19 Nov 2020 00:00:00 GMT</t>
  </si>
  <si>
    <t>Wed, 18 Nov 2020 00:00:00 GMT</t>
  </si>
  <si>
    <t>Tue, 17 Nov 2020 00:00:00 GMT</t>
  </si>
  <si>
    <t>Mon, 16 Nov 2020 00:00:00 GMT</t>
  </si>
  <si>
    <t>Fri, 13 Nov 2020 00:00:00 GMT</t>
  </si>
  <si>
    <t>Thu, 12 Nov 2020 00:00:00 GMT</t>
  </si>
  <si>
    <t>Wed, 11 Nov 2020 00:00:00 GMT</t>
  </si>
  <si>
    <t>Tue, 10 Nov 2020 00:00:00 GMT</t>
  </si>
  <si>
    <t>Mon, 09 Nov 2020 00:00:00 GMT</t>
  </si>
  <si>
    <t>Fri, 06 Nov 2020 00:00:00 GMT</t>
  </si>
  <si>
    <t>Thu, 05 Nov 2020 00:00:00 GMT</t>
  </si>
  <si>
    <t>Wed, 04 Nov 2020 00:00:00 GMT</t>
  </si>
  <si>
    <t>Tue, 03 Nov 2020 00:00:00 GMT</t>
  </si>
  <si>
    <t>Mon, 02 Nov 2020 00:00:00 GMT</t>
  </si>
  <si>
    <t>Fri, 30 Oct 2020 00:00:00 GMT</t>
  </si>
  <si>
    <t>Thu, 29 Oct 2020 00:00:00 GMT</t>
  </si>
  <si>
    <t>Wed, 28 Oct 2020 00:00:00 GMT</t>
  </si>
  <si>
    <t>Tue, 27 Oct 2020 00:00:00 GMT</t>
  </si>
  <si>
    <t>Mon, 26 Oct 2020 00:00:00 GMT</t>
  </si>
  <si>
    <t>Fri, 23 Oct 2020 00:00:00 GMT</t>
  </si>
  <si>
    <t>Thu, 22 Oct 2020 00:00:00 GMT</t>
  </si>
  <si>
    <t>Wed, 21 Oct 2020 00:00:00 GMT</t>
  </si>
  <si>
    <t>Tue, 20 Oct 2020 00:00:00 GMT</t>
  </si>
  <si>
    <t>Mon, 19 Oct 2020 00:00:00 GMT</t>
  </si>
  <si>
    <t>Fri, 16 Oct 2020 00:00:00 GMT</t>
  </si>
  <si>
    <t>Thu, 15 Oct 2020 00:00:00 GMT</t>
  </si>
  <si>
    <t>Wed, 14 Oct 2020 00:00:00 GMT</t>
  </si>
  <si>
    <t>Tue, 13 Oct 2020 00:00:00 GMT</t>
  </si>
  <si>
    <t>Mon, 12 Oct 2020 00:00:00 GMT</t>
  </si>
  <si>
    <t>Fri, 09 Oct 2020 00:00:00 GMT</t>
  </si>
  <si>
    <t>Thu, 08 Oct 2020 00:00:00 GMT</t>
  </si>
  <si>
    <t>Wed, 07 Oct 2020 00:00:00 GMT</t>
  </si>
  <si>
    <t>Tue, 06 Oct 2020 00:00:00 GMT</t>
  </si>
  <si>
    <t>Mon, 05 Oct 2020 00:00:00 GMT</t>
  </si>
  <si>
    <t>Fri, 02 Oct 2020 00:00:00 GMT</t>
  </si>
  <si>
    <t>Thu, 01 Oct 2020 00:00:00 GMT</t>
  </si>
  <si>
    <t>Wed, 30 Sep 2020 00:00:00 GMT</t>
  </si>
  <si>
    <t>Tue, 29 Sep 2020 00:00:00 GMT</t>
  </si>
  <si>
    <t>Mon, 28 Sep 2020 00:00:00 GMT</t>
  </si>
  <si>
    <t>Fri, 25 Sep 2020 00:00:00 GMT</t>
  </si>
  <si>
    <t>Thu, 24 Sep 2020 00:00:00 GMT</t>
  </si>
  <si>
    <t>Wed, 23 Sep 2020 00:00:00 GMT</t>
  </si>
  <si>
    <t>Tue, 22 Sep 2020 00:00:00 GMT</t>
  </si>
  <si>
    <t>Mon, 21 Sep 2020 00:00:00 GMT</t>
  </si>
  <si>
    <t>Fri, 18 Sep 2020 00:00:00 GMT</t>
  </si>
  <si>
    <t>Thu, 17 Sep 2020 00:00:00 GMT</t>
  </si>
  <si>
    <t>Wed, 16 Sep 2020 00:00:00 GMT</t>
  </si>
  <si>
    <t>Tue, 15 Sep 2020 00:00:00 GMT</t>
  </si>
  <si>
    <t>Mon, 14 Sep 2020 00:00:00 GMT</t>
  </si>
  <si>
    <r>
      <t xml:space="preserve">1256 Trading Days? (From: </t>
    </r>
    <r>
      <rPr>
        <i/>
        <sz val="11"/>
        <color theme="1"/>
        <rFont val="Calibre"/>
      </rPr>
      <t>9/12/2020 - 9/12/2025</t>
    </r>
    <r>
      <rPr>
        <sz val="11"/>
        <color theme="1"/>
        <rFont val="Calibre"/>
      </rPr>
      <t>)</t>
    </r>
  </si>
  <si>
    <t>More</t>
  </si>
  <si>
    <t>Registered Exchange: NYSE</t>
  </si>
  <si>
    <t>Founded in 1888 and headquartered in Abbott Park, Illinois, Abbott Laboratories is a diversified global healthcare company that discovers, develops, manufactures, and sells a broad range of healthcare products</t>
  </si>
  <si>
    <t>Abbott operates across diagnostics, medical devices, nutrition, and branded generic pharmaceuticals segments</t>
  </si>
  <si>
    <t>Business Segments:</t>
  </si>
  <si>
    <t>Diagnostics (Approx. 20-25% of Revenue)</t>
  </si>
  <si>
    <t>Products include laboratory-based testing instruments and assays, point-of-care diagnostics, blood glucose monitoring (FreeStyle Libre CGM), and molecular diagnostics</t>
  </si>
  <si>
    <t>Market leader in point-of-care testing, including COVID-19, infectious diseases, and cardiovascular diagnostics</t>
  </si>
  <si>
    <t>Strong innovation pipeline and expanding global footprint … big MNC presence</t>
  </si>
  <si>
    <t>Medical Devices (Approx. 35-40% of Revenue)</t>
  </si>
  <si>
    <t>Includes cardiovascular devices (stents, catheters), neuromodulation devices, diabetes care including CGMs, thrombectomy and other minimally invasive surgical products</t>
  </si>
  <si>
    <t>Emphasis on implantable cardiac rhythm management and vascular access … Direct competitive overlap with PEN in the thrombectomy &amp; embolization space</t>
  </si>
  <si>
    <t>Beneficiary of increasing global demand for medical technology and aging populations … large and established japanese presence … kinda the primary case study along with South Korea in reguards to the developed world aging population problem</t>
  </si>
  <si>
    <t>Nutrition (Approx. 20-25% of Revenue)</t>
  </si>
  <si>
    <t>Includes adult and pediatric nutritional products like Ensure (meal replacements) and Similac (infant formula)</t>
  </si>
  <si>
    <t>Branded Generic Pharmaceuticals (Approx. 10-15% of Revenue)</t>
  </si>
  <si>
    <t>Focus on emerging and international markets, offering affordable branded generics for chronic conditions</t>
  </si>
  <si>
    <t>Management describes a significant growth opportunity as middle-income populations expand in key regions</t>
  </si>
  <si>
    <t xml:space="preserve">Market leadership in diagnostics and strong positioning in CGM products (Freestyle Libre platform) … competing with Dexcom </t>
  </si>
  <si>
    <t>Diversified portfolio across high-growth healthcare segments balancing cyclical risks</t>
  </si>
  <si>
    <t>Steady demand through economic cycles … especially desirable in economically uncertian times … Bond like earnings prints … evaluate equity beta</t>
  </si>
  <si>
    <t>Powerful global brands such as Ensure and Similac provide resilience in adverse economic conditions</t>
  </si>
  <si>
    <t>Strong dividend cash return program … investigate dividend yeild and sustainability</t>
  </si>
  <si>
    <t>Pediatric Nutritionals</t>
  </si>
  <si>
    <t>Adult Nutritionals</t>
  </si>
  <si>
    <t>Ttl Established Pharma Product Revenues</t>
  </si>
  <si>
    <t>Ttl Nutritionals Revenues</t>
  </si>
  <si>
    <t>Core Lab</t>
  </si>
  <si>
    <t>Molecular</t>
  </si>
  <si>
    <t>Point of Care</t>
  </si>
  <si>
    <t>Rapid Diagnostics</t>
  </si>
  <si>
    <t>Ttl Diagnostics Revenues</t>
  </si>
  <si>
    <t>Rhythm Management</t>
  </si>
  <si>
    <t>Electrophysiology</t>
  </si>
  <si>
    <t>Heart Failure</t>
  </si>
  <si>
    <t>Vascular</t>
  </si>
  <si>
    <t>Structural Heart</t>
  </si>
  <si>
    <t>Neuromodulation</t>
  </si>
  <si>
    <t>Diabetes Care</t>
  </si>
  <si>
    <t>Ttl Med Device Revenues</t>
  </si>
  <si>
    <t>Other Revenues</t>
  </si>
  <si>
    <t>Ttl Established Pharma Product Revenue Growth Y/y</t>
  </si>
  <si>
    <t>Structural Heart Revenue Growth Y/y</t>
  </si>
  <si>
    <t>Neuromodulation Revenue Growth Y/y</t>
  </si>
  <si>
    <t>Diabetes Care Revenue Growth Y/y</t>
  </si>
  <si>
    <t>Ttl Med Device Revenues Revenue Growth Y/y</t>
  </si>
  <si>
    <t>Other Revenues Revenue Growth Y/y</t>
  </si>
  <si>
    <t>Ttl Revenues Revenue Growth Y/y</t>
  </si>
  <si>
    <t>Other Revenues % of Ttl Revenues</t>
  </si>
  <si>
    <t>Established Pharma Product % of Ttl Revenues</t>
  </si>
  <si>
    <t>Nutritionals Revenues % of Ttl Revenues</t>
  </si>
  <si>
    <t>Diagnostics Revenues % of Ttl Revenues</t>
  </si>
  <si>
    <t>Med Device Revenues % of Ttl Revenues</t>
  </si>
  <si>
    <t>Internation Revenues</t>
  </si>
  <si>
    <t>Internation Revenue Growth Y/y</t>
  </si>
  <si>
    <t>Ttl Revenues Growth Y/y</t>
  </si>
  <si>
    <t>International % of Revenues</t>
  </si>
  <si>
    <t>Ammortization of Intangibles</t>
  </si>
  <si>
    <t>R&amp;D</t>
  </si>
  <si>
    <t>SG&amp;A</t>
  </si>
  <si>
    <t>OI</t>
  </si>
  <si>
    <t>Interest Expenses</t>
  </si>
  <si>
    <t>Interest Income</t>
  </si>
  <si>
    <t>ForEx (Gain) Loss</t>
  </si>
  <si>
    <t>Other Income</t>
  </si>
  <si>
    <t>Pretax Income</t>
  </si>
  <si>
    <t>Taxes</t>
  </si>
  <si>
    <t>Ttl Operating Costs</t>
  </si>
  <si>
    <t>EPS</t>
  </si>
  <si>
    <t>A/R</t>
  </si>
  <si>
    <t>Inventories</t>
  </si>
  <si>
    <t>Prepaid Expenses</t>
  </si>
  <si>
    <t>LT Investments</t>
  </si>
  <si>
    <t>PP&amp;E</t>
  </si>
  <si>
    <t>Goodwill</t>
  </si>
  <si>
    <t>Intangibles</t>
  </si>
  <si>
    <t>Deferred LT Taxes</t>
  </si>
  <si>
    <t>Ttl Assets</t>
  </si>
  <si>
    <t>A/P</t>
  </si>
  <si>
    <t>ST Salaries Payable</t>
  </si>
  <si>
    <t>Other ST Liabilities</t>
  </si>
  <si>
    <t>Dividends Payable</t>
  </si>
  <si>
    <t>ST Taxes Payable</t>
  </si>
  <si>
    <t>Current Portion of LT Debt</t>
  </si>
  <si>
    <t>LT Debt</t>
  </si>
  <si>
    <t>LT Salaries Payable</t>
  </si>
  <si>
    <t>Ttl Liabilities</t>
  </si>
  <si>
    <t>Ttl SE</t>
  </si>
  <si>
    <t>Ttl L + SE</t>
  </si>
  <si>
    <t>https://seekingalpha.com/symbol/ABT/earnings/transcripts</t>
  </si>
  <si>
    <t>Revenue Breakdown of Diagnostics Segment</t>
  </si>
  <si>
    <t>Revenue Breakdown of Med-Devices Segment</t>
  </si>
  <si>
    <t>CGMs / Diabetes Care</t>
  </si>
  <si>
    <t>Jeti–6 Fr</t>
  </si>
  <si>
    <t>Jeti–8 Fr</t>
  </si>
  <si>
    <t>FDA Indicated Use: For all peripheral venous and arterial vasculature</t>
  </si>
  <si>
    <t xml:space="preserve">Mode of Operation: Internal saline jet just within the catheter tip breaks up thrombus and soft emboli while removing the thrombus through aspiration </t>
  </si>
  <si>
    <t>Peripheral Thrombectomy Devices</t>
  </si>
  <si>
    <t>Abbott expanded peripheral vascular offerings with acquisition of Walk Vascular in 2021</t>
  </si>
  <si>
    <t>CGM Monitor - FreeStyle Libre</t>
  </si>
  <si>
    <t>FreeStyle Libre 3 System</t>
  </si>
  <si>
    <t xml:space="preserve">Financial Stmts. Notes/Observations </t>
  </si>
  <si>
    <t xml:space="preserve">General Notes/Observations </t>
  </si>
  <si>
    <t>Bigfoot Biomedical</t>
  </si>
  <si>
    <t>–</t>
  </si>
  <si>
    <t>Cardiovascular Systems</t>
  </si>
  <si>
    <t>Walk Vascular</t>
  </si>
  <si>
    <t>Cephea Valve Technologies</t>
  </si>
  <si>
    <t>St Jude Medical</t>
  </si>
  <si>
    <t>Kalila Medical</t>
  </si>
  <si>
    <t>Alere</t>
  </si>
  <si>
    <t>Tendyne Holdings</t>
  </si>
  <si>
    <t>Veropharm</t>
  </si>
  <si>
    <t>Topera</t>
  </si>
  <si>
    <t>Cfr Pharmaceuticals</t>
  </si>
  <si>
    <t>Unelab</t>
  </si>
  <si>
    <t>Idev Technologies</t>
  </si>
  <si>
    <t>Optimedica</t>
  </si>
  <si>
    <t>Piramal Healthcare Solutions</t>
  </si>
  <si>
    <t>Facet Biotech</t>
  </si>
  <si>
    <t>Pangenetics</t>
  </si>
  <si>
    <t>Solvay Pharmaceuticals</t>
  </si>
  <si>
    <t>Evalve</t>
  </si>
  <si>
    <t>Visiogen</t>
  </si>
  <si>
    <t>Ibis Biosciences</t>
  </si>
  <si>
    <t>Nova Science</t>
  </si>
  <si>
    <t>Kos Pharmaceuticals</t>
  </si>
  <si>
    <t>Spine Next</t>
  </si>
  <si>
    <t>Experimental And Applied Sciences</t>
  </si>
  <si>
    <t>Therasense</t>
  </si>
  <si>
    <t>I-Stat Corp</t>
  </si>
  <si>
    <t>Integrated Vascular Systems</t>
  </si>
  <si>
    <t>Zoneperfect Nutrition</t>
  </si>
  <si>
    <t>Woodside Biomedical</t>
  </si>
  <si>
    <t>Spinal Concepts</t>
  </si>
  <si>
    <t>Vysis</t>
  </si>
  <si>
    <t>Abbott India</t>
  </si>
  <si>
    <t>Glaxo Wellcome – Anesthesia Business</t>
  </si>
  <si>
    <t>Perclose Inc</t>
  </si>
  <si>
    <t>Alza Corp</t>
  </si>
  <si>
    <t>International Murex Technologies</t>
  </si>
  <si>
    <t>Sanofi – Parenteral Products Businesses</t>
  </si>
  <si>
    <t>Medisense Inc</t>
  </si>
  <si>
    <t>Tobal Products Incorporated</t>
  </si>
  <si>
    <t>Biosite Incorporated</t>
  </si>
  <si>
    <t>Argentina</t>
  </si>
  <si>
    <t>Barbados</t>
  </si>
  <si>
    <t>Abbott Vascular International</t>
  </si>
  <si>
    <t>Belgium</t>
  </si>
  <si>
    <t>Endocardial Solutions</t>
  </si>
  <si>
    <t>Chile</t>
  </si>
  <si>
    <t>Laboratorios Lafi Limitada</t>
  </si>
  <si>
    <t>Recben Xenerics Farmaceutica Limitada</t>
  </si>
  <si>
    <t>Colombia</t>
  </si>
  <si>
    <t>Vivalsol</t>
  </si>
  <si>
    <t>France</t>
  </si>
  <si>
    <t>Germany</t>
  </si>
  <si>
    <t>Guatemala</t>
  </si>
  <si>
    <t>Inverness Medical Shimla Private Limited</t>
  </si>
  <si>
    <t>India</t>
  </si>
  <si>
    <t>Alere Medical Private Limited</t>
  </si>
  <si>
    <t>Indonesia</t>
  </si>
  <si>
    <t>Salviac Limited</t>
  </si>
  <si>
    <t>Ireland</t>
  </si>
  <si>
    <t>Abbott Ireland Financing Designated Activity Company</t>
  </si>
  <si>
    <t>Orgenics Limited</t>
  </si>
  <si>
    <t>Israel</t>
  </si>
  <si>
    <t>Luxembourg</t>
  </si>
  <si>
    <t>Malaysia</t>
  </si>
  <si>
    <t>Yissum Holding Limited</t>
  </si>
  <si>
    <t>Malta</t>
  </si>
  <si>
    <t>Netherlands</t>
  </si>
  <si>
    <t>Romania</t>
  </si>
  <si>
    <t>Saudi Arabia</t>
  </si>
  <si>
    <t>Serbia</t>
  </si>
  <si>
    <t>Singapore</t>
  </si>
  <si>
    <t>Slovakia</t>
  </si>
  <si>
    <t>Slovenia</t>
  </si>
  <si>
    <t>Murex Biotech South Africa</t>
  </si>
  <si>
    <t>South Africa</t>
  </si>
  <si>
    <t>Spain</t>
  </si>
  <si>
    <t>Sweden</t>
  </si>
  <si>
    <t>Abbott Scandinavia Aktiebolag</t>
  </si>
  <si>
    <t>Switzerland</t>
  </si>
  <si>
    <t>Thailand</t>
  </si>
  <si>
    <t>Tunisia</t>
  </si>
  <si>
    <t>Unipath Pension Trustee Limited</t>
  </si>
  <si>
    <t>United Kingdom</t>
  </si>
  <si>
    <t>Unipath Limited</t>
  </si>
  <si>
    <t>Thoratec Europe Limited</t>
  </si>
  <si>
    <t>Murex Biotech Limited</t>
  </si>
  <si>
    <t>Gynocare Limited</t>
  </si>
  <si>
    <t>Forensics Limited</t>
  </si>
  <si>
    <t>Cozart Limited</t>
  </si>
  <si>
    <t>British Colloids Limited</t>
  </si>
  <si>
    <t>Uruguay</t>
  </si>
  <si>
    <t>Venezuela</t>
  </si>
  <si>
    <t>Viet Nam</t>
  </si>
  <si>
    <t>Abbott Biologicals, LLC</t>
  </si>
  <si>
    <t>Delaware</t>
  </si>
  <si>
    <t>Abbott Cardiovascular Inc.</t>
  </si>
  <si>
    <t>Abbott Cardiovascular Systems Inc.</t>
  </si>
  <si>
    <t>California</t>
  </si>
  <si>
    <t>Abbott Delaware LLC</t>
  </si>
  <si>
    <t>Abbott Diabetes Care Inc.</t>
  </si>
  <si>
    <t>Abbott Diabetes Care Sales Corporation</t>
  </si>
  <si>
    <t>Abbott Diagnostics Scarborough, Inc.</t>
  </si>
  <si>
    <t>Abbott Equity Investments LLC</t>
  </si>
  <si>
    <t>Abbott Finance LLC</t>
  </si>
  <si>
    <t>Abbott Global LLC</t>
  </si>
  <si>
    <t>Abbott Health Products, LLC</t>
  </si>
  <si>
    <t>Abbott Informatics Corporation</t>
  </si>
  <si>
    <t>Florida</t>
  </si>
  <si>
    <t>Abbott International LLC</t>
  </si>
  <si>
    <t>Abbott Laboratories Inc.</t>
  </si>
  <si>
    <t>Abbott Laboratories International LLC</t>
  </si>
  <si>
    <t>Illinois</t>
  </si>
  <si>
    <t>Abbott Laboratories Pacific Ltd.</t>
  </si>
  <si>
    <t>Abbott Laboratories Residential Development Fund, Inc.</t>
  </si>
  <si>
    <t>Abbott Laboratories Services LLC</t>
  </si>
  <si>
    <t>Abbott Management LLC</t>
  </si>
  <si>
    <t>Abbott Molecular Inc.</t>
  </si>
  <si>
    <t>Abbott Nutrition Manufacturing Inc.</t>
  </si>
  <si>
    <t>Abbott Point of Care Inc.</t>
  </si>
  <si>
    <t>Abbott Procurement LLC</t>
  </si>
  <si>
    <t>Abbott Products Operations, LLC</t>
  </si>
  <si>
    <t>Abbott Rapid Diagnostics Informatics, Inc.</t>
  </si>
  <si>
    <t>Virginia</t>
  </si>
  <si>
    <t>Abbott Rapid Dx North America, LLC</t>
  </si>
  <si>
    <t>Abbott Resources Inc.</t>
  </si>
  <si>
    <t>Abbott Resources International Inc.</t>
  </si>
  <si>
    <t>Abbott Universal LLC</t>
  </si>
  <si>
    <t>Abbott Vascular Inc.</t>
  </si>
  <si>
    <t>Abbott Vascular Solutions Inc.</t>
  </si>
  <si>
    <t>Indiana</t>
  </si>
  <si>
    <t>Abbott Ventures Inc.</t>
  </si>
  <si>
    <t>Advanced Neuromodulation Systems, Inc.</t>
  </si>
  <si>
    <t>Texas</t>
  </si>
  <si>
    <t>AGA Medical Corporation</t>
  </si>
  <si>
    <t>Minnesota</t>
  </si>
  <si>
    <t>AGA Medical Holdings, Inc.</t>
  </si>
  <si>
    <t>Alere Connect, LLC</t>
  </si>
  <si>
    <t>Alere Holdco, Inc.</t>
  </si>
  <si>
    <t>Alere Home Monitoring, Inc.</t>
  </si>
  <si>
    <t>Alere Inc.</t>
  </si>
  <si>
    <t>Alere International Holding Corp.</t>
  </si>
  <si>
    <t>Alere Phoenix ACQ, Inc.</t>
  </si>
  <si>
    <t>Alere San Diego, Inc.</t>
  </si>
  <si>
    <t>Alere Toxicology Services, Inc.</t>
  </si>
  <si>
    <t>Louisiana</t>
  </si>
  <si>
    <t>Alere Toxicology, Inc.</t>
  </si>
  <si>
    <t>Alere US Holdings, LLC</t>
  </si>
  <si>
    <t>Amedica Biotech, Inc.</t>
  </si>
  <si>
    <t>Ameditech Inc.</t>
  </si>
  <si>
    <t>American Medical Supplies, Inc.</t>
  </si>
  <si>
    <t>AML Medical, LLC</t>
  </si>
  <si>
    <t>APK Advanced Medical Technologies LLC</t>
  </si>
  <si>
    <t>Georgia</t>
  </si>
  <si>
    <t>Arriva Medical, LLC</t>
  </si>
  <si>
    <t>Atkinson North Chicago LLC</t>
  </si>
  <si>
    <t>ATS Laboratories, Inc.</t>
  </si>
  <si>
    <t>Avee Laboratories Inc.</t>
  </si>
  <si>
    <t>Bioabsorbable Vascular Solutions, Inc.</t>
  </si>
  <si>
    <t>Biohealth LLC</t>
  </si>
  <si>
    <t>Branan Medical Corporation</t>
  </si>
  <si>
    <t>Nevada</t>
  </si>
  <si>
    <t>California Property Holdings III LLC</t>
  </si>
  <si>
    <t>CardioMEMS LLC</t>
  </si>
  <si>
    <t>Cephea Valve Technologies, Inc.</t>
  </si>
  <si>
    <t>Continuum Services LLC</t>
  </si>
  <si>
    <t>Epocal (US), Inc.</t>
  </si>
  <si>
    <t>eScreen, Inc.</t>
  </si>
  <si>
    <t>Evalve International, Inc.</t>
  </si>
  <si>
    <t>Evalve, Inc.</t>
  </si>
  <si>
    <t>First Check Diagnostics, LLC</t>
  </si>
  <si>
    <t>Fournier Pharma Corp.</t>
  </si>
  <si>
    <t>Global Analytical Development LLC</t>
  </si>
  <si>
    <t>Hi-Tronics Designs, Inc.</t>
  </si>
  <si>
    <t>New Jersey</t>
  </si>
  <si>
    <t>Ibis Biosciences LLC</t>
  </si>
  <si>
    <t>IDEV Technologies, Inc.</t>
  </si>
  <si>
    <t>IMTC Technologies, Inc.</t>
  </si>
  <si>
    <t>Innovacon, Inc.</t>
  </si>
  <si>
    <t>Instant Tech Subsidiary Acquisition Inc.</t>
  </si>
  <si>
    <t>Instant Technologies, Inc.</t>
  </si>
  <si>
    <t>Integrated Vascular Systems, Inc.</t>
  </si>
  <si>
    <t>Inverness Medical Innovations SK, LLC</t>
  </si>
  <si>
    <t>Inverness Medical Investments, LLC</t>
  </si>
  <si>
    <t>Inverness Medical, LLC</t>
  </si>
  <si>
    <t>Ionian Technologies, LLC</t>
  </si>
  <si>
    <t>Irvine Biomedical, Inc.</t>
  </si>
  <si>
    <t>Laboratory Specialists of America, Inc.</t>
  </si>
  <si>
    <t>Oklahoma</t>
  </si>
  <si>
    <t>Lake Forest Investments LLC</t>
  </si>
  <si>
    <t>Lightlab Imaging, Inc.</t>
  </si>
  <si>
    <t>MediGuide, LLC</t>
  </si>
  <si>
    <t>Midwest Properties LLC</t>
  </si>
  <si>
    <t>Murex Diagnostics, Inc.</t>
  </si>
  <si>
    <t>Natural Supplement Association, LLC</t>
  </si>
  <si>
    <t>Colorado</t>
  </si>
  <si>
    <t>NeuroTherm LLC</t>
  </si>
  <si>
    <t>Newyu, Inc.</t>
  </si>
  <si>
    <t>North Shore Properties, Inc.</t>
  </si>
  <si>
    <t>Pacesetter, Inc.</t>
  </si>
  <si>
    <t>PBM-Selfcare, LLC</t>
  </si>
  <si>
    <t>PDD II, LLC</t>
  </si>
  <si>
    <t>PDD, LLC</t>
  </si>
  <si>
    <t>Pembrooke Occupational Health, Inc.</t>
  </si>
  <si>
    <t>Quality Assured Services, Inc.</t>
  </si>
  <si>
    <t>Redwood Toxicology Laboratory, Inc.</t>
  </si>
  <si>
    <t>RF Medical Holdings LLC</t>
  </si>
  <si>
    <t>RTL Holdings, Inc.</t>
  </si>
  <si>
    <t>Sealing Solutions, Inc.</t>
  </si>
  <si>
    <t>Selfcare Technology, Inc.</t>
  </si>
  <si>
    <t>SJM International, Inc.</t>
  </si>
  <si>
    <t>SJM Thunder Holding Company</t>
  </si>
  <si>
    <t>SPDH, Inc.</t>
  </si>
  <si>
    <t>Spinal Modulation LLC</t>
  </si>
  <si>
    <t>St. Jude Medical ATG, Inc.</t>
  </si>
  <si>
    <t>St. Jude Medical Business Services, Inc.</t>
  </si>
  <si>
    <t>St. Jude Medical Europe, Inc.</t>
  </si>
  <si>
    <t>St. Jude Medical S.C., Inc.</t>
  </si>
  <si>
    <t>St. Jude Medical, Atrial Fibrillation Division, Inc.</t>
  </si>
  <si>
    <t>St. Jude Medical, Cardiology Division, Inc.</t>
  </si>
  <si>
    <t>St. Jude Medical, LLC</t>
  </si>
  <si>
    <t>Standing Stone, LLC</t>
  </si>
  <si>
    <t>Swan-Myers, Incorporated</t>
  </si>
  <si>
    <t>TC1 LLC</t>
  </si>
  <si>
    <t>Tendyne Holdings, Inc.</t>
  </si>
  <si>
    <t>Tendyne Medical, Inc.</t>
  </si>
  <si>
    <t>Thoratec Delaware LLC</t>
  </si>
  <si>
    <t>Thoratec LLC</t>
  </si>
  <si>
    <t>Topera LLC</t>
  </si>
  <si>
    <t>US CD LLC</t>
  </si>
  <si>
    <t>X Technologies Inc.</t>
  </si>
  <si>
    <t>ZonePerfect Nutrition Company</t>
  </si>
  <si>
    <t>Abbott Products Algerie EURL</t>
  </si>
  <si>
    <t>Algeria</t>
  </si>
  <si>
    <t>Abbott Laboratories Argentina Sociedad Anónima</t>
  </si>
  <si>
    <t>Abbott Rapid Diagnostics Argentina S.A.</t>
  </si>
  <si>
    <t>Atlas Farmacéutica S.A.</t>
  </si>
  <si>
    <t>Laboratorio Internacional Argentino S.A.</t>
  </si>
  <si>
    <t>Murex Argentina S.A.</t>
  </si>
  <si>
    <t>Polygon Labs S.A.</t>
  </si>
  <si>
    <t>St. Jude Medical Argentina S.A.</t>
  </si>
  <si>
    <t>Abbott Australasia Pty Ltd</t>
  </si>
  <si>
    <t>Australia</t>
  </si>
  <si>
    <t>Abbott Medical Australia Pty. Ltd.</t>
  </si>
  <si>
    <t>Abbott Rapid Diagnostics PTY LTD.</t>
  </si>
  <si>
    <t>Alere Holdings Pty Limited</t>
  </si>
  <si>
    <t>Abbott Gesellschaft m.b.H.</t>
  </si>
  <si>
    <t>Austria</t>
  </si>
  <si>
    <t>Abbott Medical Austria Ges.m.b.H.</t>
  </si>
  <si>
    <t>Abbott Rapid Diagnostics Austria GmbH</t>
  </si>
  <si>
    <t>Normann Pharma-Handels GmbH</t>
  </si>
  <si>
    <t>W&amp;R Pharma Handels GmbH</t>
  </si>
  <si>
    <t>Abbott Bahamas Overseas Businesses Corporation</t>
  </si>
  <si>
    <t>Bahamas</t>
  </si>
  <si>
    <t>Abbott Holdings Universal Ltd.</t>
  </si>
  <si>
    <t>Abbott Laboratories (Bangladesh) Limited</t>
  </si>
  <si>
    <t>Alere Bangladesh Limited</t>
  </si>
  <si>
    <t>Abbott Financial Holdings SRL</t>
  </si>
  <si>
    <t>Murex Diagnostics International Inc.</t>
  </si>
  <si>
    <t>Abbott</t>
  </si>
  <si>
    <t>Abbott Medical Belgium</t>
  </si>
  <si>
    <t>Abbott Rapid Diagnostics</t>
  </si>
  <si>
    <t>Abbott Rapid Diagnostics Medical</t>
  </si>
  <si>
    <t>AGA Medical Belgium</t>
  </si>
  <si>
    <t>St. Jude Medical Coordination Center</t>
  </si>
  <si>
    <t>Abbott Australia Enterprises Limited</t>
  </si>
  <si>
    <t>Bermuda</t>
  </si>
  <si>
    <t>Abbott Australia Subsidiary Enterprises Limited</t>
  </si>
  <si>
    <t>Abbott Diagnostics International, Ltd.</t>
  </si>
  <si>
    <t>Abbott Global Enterprises Limited</t>
  </si>
  <si>
    <t>Abbott Global Finance Limited</t>
  </si>
  <si>
    <t>Abbott Global Holding Finance Limited</t>
  </si>
  <si>
    <t>Abbott Global Holdings Limited</t>
  </si>
  <si>
    <t>Abbott Healthcare (Puerto Rico) Ltd.</t>
  </si>
  <si>
    <t>Abbott Holdings Enterprises, Ltd.</t>
  </si>
  <si>
    <t>Abbott International Enterprises, Ltd.</t>
  </si>
  <si>
    <t>Abbott International Holdings Limited</t>
  </si>
  <si>
    <t>Abbott Ireland</t>
  </si>
  <si>
    <t>Abbott Strategic Opportunities Limited</t>
  </si>
  <si>
    <t>Alere Holdings Bermuda Limited</t>
  </si>
  <si>
    <t>ATS Bermuda Holdings Limited</t>
  </si>
  <si>
    <t>Pharmatech Boliviana, S.A.</t>
  </si>
  <si>
    <t>Bolivia (Plurinational State of)</t>
  </si>
  <si>
    <t>Abbott Diagnosticos Rapidos S.A.</t>
  </si>
  <si>
    <t>Abbott Laboratórios do Brasil Ltda.</t>
  </si>
  <si>
    <t>Brazil</t>
  </si>
  <si>
    <t>Farmacologia Em Aquicultura Veterinária Ltda.</t>
  </si>
  <si>
    <t>St. Jude Medical Brasil Ltda.</t>
  </si>
  <si>
    <t>American Pharmacist Inc.</t>
  </si>
  <si>
    <t>British Virgin Islands</t>
  </si>
  <si>
    <t>Rich Horizons International Limited</t>
  </si>
  <si>
    <t>Abbott Informatics Canada, Inc</t>
  </si>
  <si>
    <t>Canada</t>
  </si>
  <si>
    <t>Abbott International Corporation</t>
  </si>
  <si>
    <t>Abbott Laboratories Co.</t>
  </si>
  <si>
    <t>Abbott Medical Canada Co./ Medicale Abbott Canada Cie</t>
  </si>
  <si>
    <t>Abbott Point of Care Canada Limited</t>
  </si>
  <si>
    <t>Abbott Rapid Diagnostics ULC</t>
  </si>
  <si>
    <t>eScreen Canada ULC</t>
  </si>
  <si>
    <t>Inverness Canadian Acquisition Corporation</t>
  </si>
  <si>
    <t>Abbott Laboratories (Chile) Holdco (Dos) SpA</t>
  </si>
  <si>
    <t>Abbott Laboratories (Chile) Holdco SpA</t>
  </si>
  <si>
    <t>Abbott Laboratories de Chile Limitada</t>
  </si>
  <si>
    <t>Antares S.A.</t>
  </si>
  <si>
    <t>Aquagestion Capacitación S.A.</t>
  </si>
  <si>
    <t>Aquagestion S.A.</t>
  </si>
  <si>
    <t>Banco de Vida S.A.</t>
  </si>
  <si>
    <t>Bioalgae S.A.</t>
  </si>
  <si>
    <t>CFR Chile S.A.</t>
  </si>
  <si>
    <t>Consorcio Tecnológico en Biomedicina Clinico-Molecular S.A.</t>
  </si>
  <si>
    <t>Dextech S.A.</t>
  </si>
  <si>
    <t>Esprit de Vie S.A.</t>
  </si>
  <si>
    <t>Farmacología en Aquacultura Veterinaria FAV S.A.</t>
  </si>
  <si>
    <t>Igloo Zone Chile S.A.</t>
  </si>
  <si>
    <t>Instituto de Criopreservación de Chile S.A.</t>
  </si>
  <si>
    <t>Inversiones K2 SpA</t>
  </si>
  <si>
    <t>Laboratorios Recalcine S.A.</t>
  </si>
  <si>
    <t>Novasalud.com S.A.</t>
  </si>
  <si>
    <t>Vida Cell Inversiones S.A.</t>
  </si>
  <si>
    <t>Vida Cell S.A.</t>
  </si>
  <si>
    <t>Abbott (Jiaxing) Nutrition Co., Ltd.</t>
  </si>
  <si>
    <t>China</t>
  </si>
  <si>
    <t>Abbott (Shanghai) Diagnostics Sales Co., Ltd.</t>
  </si>
  <si>
    <t>Abbott Diagnostics (Shanghai) Co., Ltd.</t>
  </si>
  <si>
    <t>Abbott Laboratories Trading (Shanghai) Co., Ltd.</t>
  </si>
  <si>
    <t>Abbott Medical (Shanghai) Co., Ltd.</t>
  </si>
  <si>
    <t>Abbott Medical Devices Trading (Shanghai) Co., Ltd.</t>
  </si>
  <si>
    <t>Abbott Medical Diagnostics Products Co., Ltd.</t>
  </si>
  <si>
    <t>ABON Biopharm (Hangzhou) Co., Ltd.</t>
  </si>
  <si>
    <t>Alere (Shanghai) Healthcare Management Co., Ltd.</t>
  </si>
  <si>
    <t>Alere (Shanghai) Technology Co., Ltd.</t>
  </si>
  <si>
    <t>Inverness Medical (Beijing) Co., Ltd.</t>
  </si>
  <si>
    <t>Shandong Abbott Dairy Product Co., Ltd.</t>
  </si>
  <si>
    <t>Shanghai Abbott Medical Devices Science and Technology Co., Ltd.</t>
  </si>
  <si>
    <t>Shanghai Abbott Pharmaceutical Co., Ltd.</t>
  </si>
  <si>
    <t>Shanghai Abbott Pharmaceutical Science and Technology Co., Ltd.</t>
  </si>
  <si>
    <t>Abbott Laboratories de Colombia SAS</t>
  </si>
  <si>
    <t>Alere Colombia S.A.</t>
  </si>
  <si>
    <t>American Generics S.A.S.</t>
  </si>
  <si>
    <t>Distribuciones Uquifa S.A.S.</t>
  </si>
  <si>
    <t>Focus Pharmaceutical S.A.S.</t>
  </si>
  <si>
    <t>Laboratorio Franco Colombiano Lafrancol S.A.S.</t>
  </si>
  <si>
    <t>Laboratorio Synthesis S.A.S.</t>
  </si>
  <si>
    <t>Laboratorios Naturmedik S.A.S.</t>
  </si>
  <si>
    <t>Laboratorios Pauly Pharmaceutical S.A.S.</t>
  </si>
  <si>
    <t>Lafrancol Internacional S.A.S.</t>
  </si>
  <si>
    <t>St. Jude Medical Colombia, Ltda.</t>
  </si>
  <si>
    <t>Abbott Healthcare Costa Rica, S.A.</t>
  </si>
  <si>
    <t>Costa Rica</t>
  </si>
  <si>
    <t>Abbott Medical Costa Rica, Limitada</t>
  </si>
  <si>
    <t>Gynopharm Sociedad Anonima</t>
  </si>
  <si>
    <t>Laboratorio Franco Colombiano De Costa Rica Sociedad Anonima</t>
  </si>
  <si>
    <t>Abbott Laboratories d.o.o.</t>
  </si>
  <si>
    <t>Croatia</t>
  </si>
  <si>
    <t>Abbott Medical Overseas Cyprus Limited</t>
  </si>
  <si>
    <t>Cyprus</t>
  </si>
  <si>
    <t>Abbott Overseas Cyprus Limited</t>
  </si>
  <si>
    <t>Arvis Investments Limited</t>
  </si>
  <si>
    <t>Abbott Laboratories, s.r.o.</t>
  </si>
  <si>
    <t>Czech Republic</t>
  </si>
  <si>
    <t>Abbott Rapid Diagnostics s.r.o.</t>
  </si>
  <si>
    <t>Abbott Laboratories A/S</t>
  </si>
  <si>
    <t>Denmark</t>
  </si>
  <si>
    <t>Abbott Medical Danmark A/S</t>
  </si>
  <si>
    <t>Abbott Rapid Diagnostics A/S</t>
  </si>
  <si>
    <t>Inversiones Komodo, S.R.L.</t>
  </si>
  <si>
    <t>Dominican Republic</t>
  </si>
  <si>
    <t>Lafrancol Dominicana, S.A.S.</t>
  </si>
  <si>
    <t>Abbott Laboratorios del Ecuador Cia. Ltda.</t>
  </si>
  <si>
    <t>Ecuador</t>
  </si>
  <si>
    <t>Farmacologia en Aquacultura Veterinaria FAV Ecuador S.A.</t>
  </si>
  <si>
    <t>Western Pharmaceuticals S.A.</t>
  </si>
  <si>
    <t>Abbott Healthcare LLC</t>
  </si>
  <si>
    <t>Egypt</t>
  </si>
  <si>
    <t>Abbott Limited Egypt LLC</t>
  </si>
  <si>
    <t>Abbott Products Egypt LLC</t>
  </si>
  <si>
    <t>Abbott Sociedad Anonima de Capital Variable</t>
  </si>
  <si>
    <t>El Salvador</t>
  </si>
  <si>
    <t>CFR Interamericas EL Salvador, Sociedad Anónima de Capital Variable</t>
  </si>
  <si>
    <t>Abbott Medical Estonia OÜ</t>
  </si>
  <si>
    <t>Estonia</t>
  </si>
  <si>
    <t>Abbott Medical Finland Oy</t>
  </si>
  <si>
    <t>Finland</t>
  </si>
  <si>
    <t>Abbott Oy</t>
  </si>
  <si>
    <t>Abbott Rapid Diagnostics Oy Ab</t>
  </si>
  <si>
    <t>Abbott France S.A.S.</t>
  </si>
  <si>
    <t>Abbott Informatics France</t>
  </si>
  <si>
    <t>Abbott Medical France SAS</t>
  </si>
  <si>
    <t>Abbott Products Distribution SAS</t>
  </si>
  <si>
    <t>Abbott Rapid Diagnostics S.A.S.</t>
  </si>
  <si>
    <t>Laboratoires Fournier S.A.S.</t>
  </si>
  <si>
    <t>Abbott Automation Solutions GmbH</t>
  </si>
  <si>
    <t>Abbott Diagnostics GmbH</t>
  </si>
  <si>
    <t>Abbott GmbH</t>
  </si>
  <si>
    <t>Abbott Holding GmbH</t>
  </si>
  <si>
    <t>Abbott Informatics Germany GmbH</t>
  </si>
  <si>
    <t>Abbott Laboratories Deutschland GmbH</t>
  </si>
  <si>
    <t>Abbott Laboratories Deutschland Holdings GmbH</t>
  </si>
  <si>
    <t>Abbott Laboratories Deutschland Subsidiary GmbH</t>
  </si>
  <si>
    <t>Abbott Laboratories GmbH</t>
  </si>
  <si>
    <t>Abbott Management GmbH</t>
  </si>
  <si>
    <t>Abbott Medical GmbH</t>
  </si>
  <si>
    <t>Abbott Rapid Diagnostics Germany GmbH</t>
  </si>
  <si>
    <t>Abbott Rapid Diagnostics Jena GmbH</t>
  </si>
  <si>
    <t>Abbott Vascular Instruments Deutschland GmbH</t>
  </si>
  <si>
    <t>Alere Diagnostics GmbH</t>
  </si>
  <si>
    <t>Alere DoA Holding GmbH</t>
  </si>
  <si>
    <t>Alere Holding GmbH</t>
  </si>
  <si>
    <t>Fournier Pharma GmbH</t>
  </si>
  <si>
    <t>Abbott Established Products Holdings (Gibraltar) Limited</t>
  </si>
  <si>
    <t>Gibraltar</t>
  </si>
  <si>
    <t>Abbott Holding (Gibraltar) Limited</t>
  </si>
  <si>
    <t>Abbott Holding Subsidiary (Gibraltar) Limited</t>
  </si>
  <si>
    <t>Abbott Laboratories(Hellas) Societe Anonyme</t>
  </si>
  <si>
    <t>Greece</t>
  </si>
  <si>
    <t>Abbott Medical Hellas Limited Liability Trading Company</t>
  </si>
  <si>
    <t>Abbott Laboratorios, Limitada</t>
  </si>
  <si>
    <t>Lafrancol Guatemala S.A. Sociedad Anónima</t>
  </si>
  <si>
    <t>Negocios Denia, Sociedad Anónima</t>
  </si>
  <si>
    <t>Comercializadora y Distribuidora CFR Interamericas Honduras S.A.</t>
  </si>
  <si>
    <t>Honduras</t>
  </si>
  <si>
    <t>Abbott Hong Kong Holdings Limited</t>
  </si>
  <si>
    <t>Hong Kong</t>
  </si>
  <si>
    <t>Abbott Informatics Asia Pacific Limited</t>
  </si>
  <si>
    <t>Abbott Laboratories Limited</t>
  </si>
  <si>
    <t>Abbott Laboratories Subsidiary Hong Kong Limited</t>
  </si>
  <si>
    <t>Abbott Medical (Hong Kong) Limited</t>
  </si>
  <si>
    <t>Abt Finance HK Holdings Limited</t>
  </si>
  <si>
    <t>Alere HK Holdings Limited</t>
  </si>
  <si>
    <t>Inverness Medical Innovations Hong Kong Limited</t>
  </si>
  <si>
    <t>Abbott Medical Korlátolt Felelősségű Társaság</t>
  </si>
  <si>
    <t>Hungary</t>
  </si>
  <si>
    <t>Abbott Healthcare Private Limited</t>
  </si>
  <si>
    <t>Abbott India Limited</t>
  </si>
  <si>
    <t>St. Jude Medical India Private Limited</t>
  </si>
  <si>
    <t>PT Alere Health</t>
  </si>
  <si>
    <t>PT. Abbott Indonesia</t>
  </si>
  <si>
    <t>PT. Abbott Products Indonesia</t>
  </si>
  <si>
    <t>Abbott Ireland Limited</t>
  </si>
  <si>
    <t>Abbott Laboratories Vascular Enterprises</t>
  </si>
  <si>
    <t>Abbott Laboratories Vascular Enterprises Limited Partnership</t>
  </si>
  <si>
    <t>Abbott Laboratories, Ireland, Limited</t>
  </si>
  <si>
    <t>Abbott Mature Products International Unlimited Company</t>
  </si>
  <si>
    <t>Abbott Mature Products Management Limited</t>
  </si>
  <si>
    <t>Abbott Medical Ireland Limited</t>
  </si>
  <si>
    <t>Abbott Nutrition Limited</t>
  </si>
  <si>
    <t>Abbott Products Unlimited Company</t>
  </si>
  <si>
    <t>Abbott Rapid Diagnostics International Holdco Unlimited Company</t>
  </si>
  <si>
    <t>Abbott Rapid Diagnostics International Investments Unlimited Company</t>
  </si>
  <si>
    <t>Abbott Rapid Diagnostics International Subsidiary Unlimited Company</t>
  </si>
  <si>
    <t>Abbott Rapid Diagnostics International Unlimited Company</t>
  </si>
  <si>
    <t>Abbott Rapid DX International Limited</t>
  </si>
  <si>
    <t>Alere Technologies Holdings Limited</t>
  </si>
  <si>
    <t>Apica Cardiovascular Limited</t>
  </si>
  <si>
    <t>Abbott Informatics Technologies Ltd</t>
  </si>
  <si>
    <t>Abbott Medical Laboratories LTD</t>
  </si>
  <si>
    <t>Alere Connected Health LTD</t>
  </si>
  <si>
    <t>MediGuide Ltd.</t>
  </si>
  <si>
    <t>Abbott Medical Italia S.R.L.</t>
  </si>
  <si>
    <t>Italy</t>
  </si>
  <si>
    <t>Abbott Rapid Diagnostics S.r.l.</t>
  </si>
  <si>
    <t>Abbott S.r.l.</t>
  </si>
  <si>
    <t>Alere Toxicology S.r.l. in Liquidazione</t>
  </si>
  <si>
    <t>Abbott West Indies Limited</t>
  </si>
  <si>
    <t>Abbott Diagnostics Medical Co., Ltd.</t>
  </si>
  <si>
    <t>Japan</t>
  </si>
  <si>
    <t>Abbott Japan LLC</t>
  </si>
  <si>
    <t>Abbott Medical Japan LLC</t>
  </si>
  <si>
    <t>St. Jude Medical Asia Pacific Holdings GK</t>
  </si>
  <si>
    <t>Abbott Kazakhstan Limited Liability Partnership</t>
  </si>
  <si>
    <t>Kazakhstan</t>
  </si>
  <si>
    <t>Veropharm Limited Liability Partnership</t>
  </si>
  <si>
    <t>Abbott Kenya Limited</t>
  </si>
  <si>
    <t>Kenya</t>
  </si>
  <si>
    <t>Abbott Diagnostics Korea, Inc.</t>
  </si>
  <si>
    <t>Korea (the Republic of)</t>
  </si>
  <si>
    <t>Abbott Korea Limited</t>
  </si>
  <si>
    <t>Abbott Medical Korea Limited</t>
  </si>
  <si>
    <t>Abbott Rapid Diagnostics Inc.</t>
  </si>
  <si>
    <t>ALR Holdings</t>
  </si>
  <si>
    <t>"Abbott Laboratories Baltics"</t>
  </si>
  <si>
    <t>Latvia</t>
  </si>
  <si>
    <t>UAB "Abbott Medical Lithuania"</t>
  </si>
  <si>
    <t>Lithuania</t>
  </si>
  <si>
    <t>Abbott Bulgaria Luxembourg S.à r.l.</t>
  </si>
  <si>
    <t>Abbott Healthcare Luxembourg S.à r.l.</t>
  </si>
  <si>
    <t>Abbott Holding Subsidiary (Gibraltar) Limited Luxembourg S.C.S.</t>
  </si>
  <si>
    <t>Abbott International Luxembourg S.àr.l.</t>
  </si>
  <si>
    <t>Abbott Investments Luxembourg S.à r.l.</t>
  </si>
  <si>
    <t>Abbott Luxembourg Finance S.à r.l.</t>
  </si>
  <si>
    <t>Abbott Nederland Luxembourg S.à r.l.</t>
  </si>
  <si>
    <t>Abbott Overseas Luxembourg S.à r.l.</t>
  </si>
  <si>
    <t>Abbott Poland Luxembourg S.à r.l.</t>
  </si>
  <si>
    <t>Abbott South Africa Luxembourg S.à r.l.</t>
  </si>
  <si>
    <t>Abbott Volga Luxembourg S.à r.l.</t>
  </si>
  <si>
    <t>St. Jude Medical International Holding</t>
  </si>
  <si>
    <t>St. Jude Medical Luxembourg</t>
  </si>
  <si>
    <t>St. Jude Medical Luxembourg Holdings II</t>
  </si>
  <si>
    <t>St. Jude Medical Luxembourg Holdings NT</t>
  </si>
  <si>
    <t>St. Jude Medical Luxembourg Holdings SMI S.à r.l.</t>
  </si>
  <si>
    <t>St. Jude Medical Luxembourg Holdings TC S.à r.l.</t>
  </si>
  <si>
    <t>Abbott Diagnostics Health Sdn. Bhd.</t>
  </si>
  <si>
    <t>Abbott Laboratories (Malaysia) Sdn. Bhd.</t>
  </si>
  <si>
    <t>Abbott Medical (Malaysia) Sdn. Bhd.</t>
  </si>
  <si>
    <t>St. Jude Medical Operations (Malaysia) Sdn. Bhd.</t>
  </si>
  <si>
    <t>Abbott Laboratories de México, S.A. de C.V.</t>
  </si>
  <si>
    <t>Mexico</t>
  </si>
  <si>
    <t>SJ Medical Mexico, S de R.L. de C.V.</t>
  </si>
  <si>
    <t>Abbott Morocco SARL</t>
  </si>
  <si>
    <t>Morocco</t>
  </si>
  <si>
    <t>Abbott Affiliate Holdings B.V.</t>
  </si>
  <si>
    <t>Abbott B.V.</t>
  </si>
  <si>
    <t>Abbott Biologicals B.V.</t>
  </si>
  <si>
    <t>Abbott Diagnostics Holding B.V.</t>
  </si>
  <si>
    <t>Abbott Diagnostics Investments B.V.</t>
  </si>
  <si>
    <t>Abbott Healthcare B.V.</t>
  </si>
  <si>
    <t>Abbott Healthcare Products B.V.</t>
  </si>
  <si>
    <t>Abbott Holdings B.V.</t>
  </si>
  <si>
    <t>Abbott Informatics Netherlands B.V.</t>
  </si>
  <si>
    <t>Abbott Laboratories B.V.</t>
  </si>
  <si>
    <t>Abbott Laboratories European Holdings B.V.</t>
  </si>
  <si>
    <t>Abbott Logistics B.V.</t>
  </si>
  <si>
    <t>Abbott Medical Nederland B.V.</t>
  </si>
  <si>
    <t>Abbott Nederland C.V.</t>
  </si>
  <si>
    <t>Abbott Netherlands Investments B.V.</t>
  </si>
  <si>
    <t>Abbott Products B.V.</t>
  </si>
  <si>
    <t>Abbott Rapid Diagnostics B.V.</t>
  </si>
  <si>
    <t>Abbott Rapid Diagnostics Holding B.V.</t>
  </si>
  <si>
    <t>Abbott Vascular Netherlands B.V.</t>
  </si>
  <si>
    <t>Alere Health Services B.V.</t>
  </si>
  <si>
    <t>Brandex Europe C.V.</t>
  </si>
  <si>
    <t>Framed B.V.</t>
  </si>
  <si>
    <t>IMTC Finance B.V.</t>
  </si>
  <si>
    <t>IMTC Holdings B.V.</t>
  </si>
  <si>
    <t>Nether Pharma N.P. C.V.</t>
  </si>
  <si>
    <t>Orgenics International Holdings B.V.</t>
  </si>
  <si>
    <t>St. Jude Medical Holdings B.V.</t>
  </si>
  <si>
    <t>Abbott Laboratories NZ Limited</t>
  </si>
  <si>
    <t>New Zealand</t>
  </si>
  <si>
    <t>Abbott Medical New Zealand Limited</t>
  </si>
  <si>
    <t>Abbott Rapid Diagnostics Limited</t>
  </si>
  <si>
    <t>CFR Interamericas Nicaragua, Sociedad Anónima</t>
  </si>
  <si>
    <t>Nicaragua</t>
  </si>
  <si>
    <t>Alere Healthcare Nigeria Limited</t>
  </si>
  <si>
    <t>Nigeria</t>
  </si>
  <si>
    <t>Abbott Diagnostics Technologies AS</t>
  </si>
  <si>
    <t>Norway</t>
  </si>
  <si>
    <t>Abbott Medical Norway AS</t>
  </si>
  <si>
    <t>Abbott Norge AS</t>
  </si>
  <si>
    <t>Abbott Rapid Diagnostics AS</t>
  </si>
  <si>
    <t>Axis-Shield AS</t>
  </si>
  <si>
    <t>Abbott Laboratories (Pakistan) Limited</t>
  </si>
  <si>
    <t>Alere Medical Pakistan (Private) Limited</t>
  </si>
  <si>
    <t>Pakistan</t>
  </si>
  <si>
    <t>Abbott Laboratories, C.A.</t>
  </si>
  <si>
    <t>Panama</t>
  </si>
  <si>
    <t>Abbott Overseas, S.A.</t>
  </si>
  <si>
    <t>Caripharm Inc.</t>
  </si>
  <si>
    <t>CFR Interamericas Panamá S.A.</t>
  </si>
  <si>
    <t>Forestcreek Overseas S.A.</t>
  </si>
  <si>
    <t>Golnorth Investments S.A.</t>
  </si>
  <si>
    <t>Gynopharm de Centroamérica S.A.</t>
  </si>
  <si>
    <t>Ramses Business Corp.</t>
  </si>
  <si>
    <t>Saboya Enterprises Corporation</t>
  </si>
  <si>
    <t>Fada Pharma Paraguay Sociedad Anonima</t>
  </si>
  <si>
    <t>Paraguay</t>
  </si>
  <si>
    <t>Pharma International Sociedad Anonima</t>
  </si>
  <si>
    <t>Abbott Laboratorios S.A.</t>
  </si>
  <si>
    <t>Peru</t>
  </si>
  <si>
    <t>Farmindustria S.A.</t>
  </si>
  <si>
    <t>Lafrancol Perú S.R.L</t>
  </si>
  <si>
    <t>Neosalud S.A.C.</t>
  </si>
  <si>
    <t>Abbott Laboratories (Philippines)</t>
  </si>
  <si>
    <t>Philippines</t>
  </si>
  <si>
    <t>Abbott Products (Philippines), Inc.</t>
  </si>
  <si>
    <t>Alere Philippines, Inc.</t>
  </si>
  <si>
    <t>Arriva Medical Philippines, Inc.</t>
  </si>
  <si>
    <t>Abbott Holdings Poland Spółka z ograniczoną odpowiedzialnością</t>
  </si>
  <si>
    <t>Poland</t>
  </si>
  <si>
    <t>Abbott Laboratories Poland Spółka z ograniczoną odpowiedzialnością</t>
  </si>
  <si>
    <t>Abbott Medical spółka z ograniczoną odpowiedzialnością</t>
  </si>
  <si>
    <t>Abbott Laboratórios, Lda</t>
  </si>
  <si>
    <t>Portugal</t>
  </si>
  <si>
    <t>Abbott Medical (Portugal) Distribuicao de Produtos Medicos Lda</t>
  </si>
  <si>
    <t>Abbott Rapid Diagnostics LDA</t>
  </si>
  <si>
    <t>Abbott Laboratories (Puerto Rico) Incorporated</t>
  </si>
  <si>
    <t>Puerto Rico</t>
  </si>
  <si>
    <t>Abbott Medical Puerto Rico LLC</t>
  </si>
  <si>
    <t>St. Jude Medical Puerto Rico LLC</t>
  </si>
  <si>
    <t>Abbott Products Romania S.R.L.</t>
  </si>
  <si>
    <t>Garden Hills LLC</t>
  </si>
  <si>
    <t>Russian Federation</t>
  </si>
  <si>
    <t>Limited Liability Company “VEROPHARM”</t>
  </si>
  <si>
    <t>Limited Liability Company Abbott Laboratories</t>
  </si>
  <si>
    <t>OJSC "Voronezhkhimpharm"</t>
  </si>
  <si>
    <t>SC "VEROPHARM"</t>
  </si>
  <si>
    <t>Abbott Saudi Arabia for Trading</t>
  </si>
  <si>
    <t>Abbott Medical Balkan d.o.o. Beograd (Novi Beograd)</t>
  </si>
  <si>
    <t>Abbott Informatics Singapore Pte. Limited</t>
  </si>
  <si>
    <t>Abbott Laboratories (Singapore) Private Limited</t>
  </si>
  <si>
    <t>ABBOTT LABORATORIES SUBSIDIARY SINGAPORE PRIVATE LTD.</t>
  </si>
  <si>
    <t>Abbott Manufacturing Singapore Private Limited</t>
  </si>
  <si>
    <t>Abbott Medical (Singapore) Pte. Ltd.</t>
  </si>
  <si>
    <t>Abbott Operations Singapore Pte. Ltd.</t>
  </si>
  <si>
    <t>Abbott Rapid Diagnostics PTE. LTD.</t>
  </si>
  <si>
    <t>Abbott Laboratories Slovakia s.r.o.</t>
  </si>
  <si>
    <t>Abbott Laboratories družba za farmacijo in diagnostiko d.o.o.</t>
  </si>
  <si>
    <t>Abbott Laboratories South Africa (Pty) Ltd.</t>
  </si>
  <si>
    <t>Abbott Rapid Diagnostics (PTY) LTD.</t>
  </si>
  <si>
    <t>Pantech (RF) (PTY) LTD</t>
  </si>
  <si>
    <t>Abbott Doral Investments, S.L.</t>
  </si>
  <si>
    <t>Abbott Informatics Spain, S.A.</t>
  </si>
  <si>
    <t>Abbott Laboratories, S.A.</t>
  </si>
  <si>
    <t>Abbott Medical España, S.A.</t>
  </si>
  <si>
    <t>Abbott Products (Spain), S.L.</t>
  </si>
  <si>
    <t>Abbott Rapid Diagnostics Healthcare, S.L.</t>
  </si>
  <si>
    <t>Alere Spain, S.L.</t>
  </si>
  <si>
    <t>Farmaceutica Mont Blanc, S.L.</t>
  </si>
  <si>
    <t>Igloo Zone, S.L.</t>
  </si>
  <si>
    <t>Abbott Medical Sweden AB</t>
  </si>
  <si>
    <t>Abbott Rapid Diagnostics AB</t>
  </si>
  <si>
    <t>European Drug Testing Service EDTS AB</t>
  </si>
  <si>
    <t>St. Jude Medical AB</t>
  </si>
  <si>
    <t>St. Jude Medical Systems AB</t>
  </si>
  <si>
    <t>Abbott AG</t>
  </si>
  <si>
    <t>Abbott Finance Company SA</t>
  </si>
  <si>
    <t>Abbott Medical (Schweiz) AG</t>
  </si>
  <si>
    <t>Abbott Products Operations AG</t>
  </si>
  <si>
    <t>Abbott Rapid Diagnostics Schweiz GmbH</t>
  </si>
  <si>
    <t>Abbott Switzerland Investments GmbH</t>
  </si>
  <si>
    <t>Alere Switzerland GmbH</t>
  </si>
  <si>
    <t>SPD Swiss Precision Diagnostics GmbH</t>
  </si>
  <si>
    <t>St. Jude Medical GVA Sàrl</t>
  </si>
  <si>
    <t>Thoratec Switzerland GmbH</t>
  </si>
  <si>
    <t>Abbott Medical Taiwan Co.</t>
  </si>
  <si>
    <t>Taiwan (Province of China)</t>
  </si>
  <si>
    <t>Abbott Rapid Diagnostics Health Corp.</t>
  </si>
  <si>
    <t>Abbott Fund Tanzania Limited</t>
  </si>
  <si>
    <t>Tanzania, the United Republic of</t>
  </si>
  <si>
    <t>Abbott Medical (Thailand) Co., Ltd.</t>
  </si>
  <si>
    <t>Abbott Products Tunisie S.A.R.L.</t>
  </si>
  <si>
    <t>Abbott Laboratuarlari Ithalat Ihracat ve Ticaret Ltd.Sti</t>
  </si>
  <si>
    <t>Turkey</t>
  </si>
  <si>
    <t>St. Jude Medical Turkey Medikal Ürünler Ticaret Limited Sirketi</t>
  </si>
  <si>
    <t>Limited Liability Company "Abbott Ukraine"</t>
  </si>
  <si>
    <t>Ukraine</t>
  </si>
  <si>
    <t>Товариство з обмеженою відповідальністю «Верофарм» (ТОВ «Верофарм»)</t>
  </si>
  <si>
    <t>St. Jude Medical Middle East DMCC</t>
  </si>
  <si>
    <t>United Arab Emirates</t>
  </si>
  <si>
    <t>Abbott (UK) Finance Limited</t>
  </si>
  <si>
    <t>Abbott (UK) Holdings Limited</t>
  </si>
  <si>
    <t>Abbott Asia Holdings Limited</t>
  </si>
  <si>
    <t>Abbott Asia Investments Limited</t>
  </si>
  <si>
    <t>Abbott Australasia Holdings Limited</t>
  </si>
  <si>
    <t>Abbott Capital India Limited</t>
  </si>
  <si>
    <t>Abbott Diabetes Care Limited</t>
  </si>
  <si>
    <t>Abbott Equity Holdings Unlimited</t>
  </si>
  <si>
    <t>Abbott Healthcare Connections Limited</t>
  </si>
  <si>
    <t>Abbott Healthcare Products Ltd</t>
  </si>
  <si>
    <t>Abbott Informatics Europe Limited</t>
  </si>
  <si>
    <t>Abbott Laboratories Trustee Company Limited</t>
  </si>
  <si>
    <t>Abbott Medical U.K. Limited</t>
  </si>
  <si>
    <t>Abbott Toxicology Limited</t>
  </si>
  <si>
    <t>Abbott UK Investments Limited</t>
  </si>
  <si>
    <t>Abbott Vascular Devices (2) Limited</t>
  </si>
  <si>
    <t>Abbott Vascular Devices Limited</t>
  </si>
  <si>
    <t>Alere AS Holdings Limited</t>
  </si>
  <si>
    <t>Alere BBI Holdings Limited</t>
  </si>
  <si>
    <t>Alere Connected Health Limited</t>
  </si>
  <si>
    <t>Alere Technologies Limited</t>
  </si>
  <si>
    <t>Alere UK Holdings Limited</t>
  </si>
  <si>
    <t>Alere UK Subco Limited</t>
  </si>
  <si>
    <t>Alisoc Investment &amp; Co</t>
  </si>
  <si>
    <t>Axis-Shield Diagnostics Limited</t>
  </si>
  <si>
    <t>Axis-Shield Limited</t>
  </si>
  <si>
    <t>BBI Animal Health Limited</t>
  </si>
  <si>
    <t>BBI Diagnostics Group 2 Public Limited Company</t>
  </si>
  <si>
    <t>Concateno South Limited</t>
  </si>
  <si>
    <t>Concateno UK Limited</t>
  </si>
  <si>
    <t>European Chemicals &amp; Co</t>
  </si>
  <si>
    <t>Fournier Pharmaceuticals Limited</t>
  </si>
  <si>
    <t>Globapharm &amp; CO LP</t>
  </si>
  <si>
    <t>IG Innovations Limited</t>
  </si>
  <si>
    <t>Knoll UK Investments Unlimited</t>
  </si>
  <si>
    <t>Mansbridge Pharmaceuticals Limited</t>
  </si>
  <si>
    <t>Medscreen Holdings Limited</t>
  </si>
  <si>
    <t>Sinensix &amp; Co.</t>
  </si>
  <si>
    <t>TwistDX Limited</t>
  </si>
  <si>
    <t>Unipath Management Limited</t>
  </si>
  <si>
    <t>Abbott Laboratories Uruguay S.A.</t>
  </si>
  <si>
    <t>Abbott Operations Uruguay S.R.L.</t>
  </si>
  <si>
    <t>Bosque Bonito S.A.</t>
  </si>
  <si>
    <t>European Services S.A.</t>
  </si>
  <si>
    <t>Fernwood Investment S.A.</t>
  </si>
  <si>
    <t>Kangshenyunga S.A.</t>
  </si>
  <si>
    <t>Pharmaceutical Technologies (Pharmatech) S.A.</t>
  </si>
  <si>
    <t>Tremora S.A.</t>
  </si>
  <si>
    <t>Tuenir S.A.</t>
  </si>
  <si>
    <t>Gynopharm de Venezuela, C.A.</t>
  </si>
  <si>
    <t>3A Nutrition (Vietnam) Company Limited</t>
  </si>
  <si>
    <t>Domesco Medical Import-Export Joint-Stock Corporation</t>
  </si>
  <si>
    <t>Glomed Pharmaceutical Company Limited</t>
  </si>
  <si>
    <t>Abbott Trading Company, Inc.</t>
  </si>
  <si>
    <t>Virgin Islands (U.S.)</t>
  </si>
  <si>
    <t>Announced</t>
  </si>
  <si>
    <t>Price (in $M)</t>
  </si>
  <si>
    <t>Incorporated:</t>
  </si>
  <si>
    <t>Abbott Subsidiaries</t>
  </si>
  <si>
    <t>Description</t>
  </si>
  <si>
    <t>International Subsidiaries</t>
  </si>
  <si>
    <t>Domestic Subsidiaries:</t>
  </si>
  <si>
    <t>Bangladesh</t>
  </si>
  <si>
    <t>Jamaica</t>
  </si>
  <si>
    <t>Abbott M&amp;A Acquirees</t>
  </si>
  <si>
    <t>Jeti line competes directly with Penumbra's peripheral Indigo Lightning &amp; Bolt CAVT Systems</t>
  </si>
  <si>
    <t>Jeti uses a "hydrodynamic" approach. It shoots a high-speed jet of saline at the tip to break up the clot before sucking it in (maceration + aspiration)</t>
  </si>
  <si>
    <t>This is designed to prevent clogging and reduce blood loss by breaking the clot into smaller pieces first</t>
  </si>
  <si>
    <t>CGM Monitor - Libre Rio</t>
  </si>
  <si>
    <t>The Libre 3 or Libre 3 Plus sensor streams real-time glucose data every minute directly to a reader device or dedicated smartphone app via Bluetooth, with no need to scan the sensor manually</t>
  </si>
  <si>
    <t>The Libre Rio sensor streams real-time glucose data every minute directly to a reader device or dedicated smartphone app via Bluetooth, with no need to scan the sensor manually</t>
  </si>
  <si>
    <t>Intended patients are all people with Type 1, Type 2 (on insulin), or gestational diabetes</t>
  </si>
  <si>
    <t xml:space="preserve">World's smallest and thinnest CGM sensor (size of two stacked pennies) </t>
  </si>
  <si>
    <t>Huge development for diabetes patients ... eliminates the need for frequent patient fingerstick pricks which have traditionally been required for blood glucose monitoring (BGM)</t>
  </si>
  <si>
    <t xml:space="preserve">Libre Rio has a 14-day wear time and is approved for adults 18 and older </t>
  </si>
  <si>
    <t xml:space="preserve">Abbott’s diabetes franchise is a dominant growth driver in The Company's overall medical devices portfolio </t>
  </si>
  <si>
    <t>Intended for patients with type 2 diabetes who do not use insulin and manage their condition primarily through diet and lifestyle</t>
  </si>
  <si>
    <t>Based on the FreeStyle Libre technology … Focuses on providing glucose data and personalized insights for lifestyle management … does not include certain clinical features</t>
  </si>
  <si>
    <t>CGM Monitor - Libre Lingo</t>
  </si>
  <si>
    <t>The Libre Lingo sensor streams real-time glucose data every minute directly to a reader device or dedicated smartphone app via Bluetooth, with no need to scan the sensor manually</t>
  </si>
  <si>
    <r>
      <rPr>
        <b/>
        <sz val="11"/>
        <color theme="1"/>
        <rFont val="Calibre"/>
      </rPr>
      <t>Intended for general consumers without diabetes</t>
    </r>
    <r>
      <rPr>
        <sz val="11"/>
        <color theme="1"/>
        <rFont val="Calibre"/>
      </rPr>
      <t xml:space="preserve"> (same market as DXCM's Stelo) </t>
    </r>
    <r>
      <rPr>
        <b/>
        <sz val="11"/>
        <color theme="1"/>
        <rFont val="Calibre"/>
      </rPr>
      <t>for general health and wellness purposes</t>
    </r>
  </si>
  <si>
    <r>
      <t xml:space="preserve">Abbott's </t>
    </r>
    <r>
      <rPr>
        <b/>
        <sz val="11"/>
        <color theme="1"/>
        <rFont val="Calibre"/>
      </rPr>
      <t xml:space="preserve">over-the-counter (OTC) continuous glucose monitoring (CGM) system </t>
    </r>
    <r>
      <rPr>
        <sz val="11"/>
        <color theme="1"/>
        <rFont val="Calibre"/>
      </rPr>
      <t>- Disposable sensor device and reader for viewing sensor outputs</t>
    </r>
  </si>
  <si>
    <t xml:space="preserve">Libre Lingo has a 14-day wear time and is approved for adults 18 and older </t>
  </si>
  <si>
    <t>Based on the FreeStyle Libre technology … Focuses on providing health oriented consumers insights into glocuse levels … data not intended / approved for medical action without consulting healthcare providers</t>
  </si>
  <si>
    <t>Each device has a different intended target audience … relies on the same base technology, but each system uses its own dedicated app, preventing users from simply using the "wrong" software for their condition</t>
  </si>
  <si>
    <t>FreeStyle Libre 2 System</t>
  </si>
  <si>
    <r>
      <rPr>
        <b/>
        <sz val="11"/>
        <color theme="1"/>
        <rFont val="Calibre"/>
      </rPr>
      <t>Abbott's flagship CGM product - Disposable sensor device</t>
    </r>
    <r>
      <rPr>
        <sz val="11"/>
        <color theme="1"/>
        <rFont val="Calibre"/>
      </rPr>
      <t xml:space="preserve"> (Libre 3 / Libre 3 Plus) and reader for viewing sensor outputs … </t>
    </r>
    <r>
      <rPr>
        <b/>
        <sz val="11"/>
        <color theme="1"/>
        <rFont val="Calibre"/>
      </rPr>
      <t>Requires perscription from healthcare provider</t>
    </r>
  </si>
  <si>
    <r>
      <rPr>
        <b/>
        <sz val="11"/>
        <color theme="1"/>
        <rFont val="Calibre"/>
      </rPr>
      <t>Abbott's Budget CGM product - Disposable sensor device</t>
    </r>
    <r>
      <rPr>
        <sz val="11"/>
        <color theme="1"/>
        <rFont val="Calibre"/>
      </rPr>
      <t xml:space="preserve"> (Libre 2 / Libre 2 Plus) and reader for viewing sensor outputs … </t>
    </r>
    <r>
      <rPr>
        <b/>
        <sz val="11"/>
        <color theme="1"/>
        <rFont val="Calibre"/>
      </rPr>
      <t>Requires perscription from healthcare provider</t>
    </r>
  </si>
  <si>
    <t>The Libre 2 or Libre 2 Plus sensor requires manual scanning ("Flash monitoring") meaning the user must actively hold a reader or smartphone near the sensor on their arm to get a current glucose reading</t>
  </si>
  <si>
    <t>The sensor only stores 8 hours of data. If the user does not scan at least every eight hours, there will be gaps (broken lines) in the historical glucose graph</t>
  </si>
  <si>
    <r>
      <rPr>
        <b/>
        <sz val="11"/>
        <color theme="1"/>
        <rFont val="Calibre"/>
      </rPr>
      <t>Libre 2 Plus has a 15-day wear time</t>
    </r>
    <r>
      <rPr>
        <sz val="11"/>
        <color theme="1"/>
        <rFont val="Calibre"/>
      </rPr>
      <t xml:space="preserve"> and is </t>
    </r>
    <r>
      <rPr>
        <b/>
        <sz val="11"/>
        <color theme="1"/>
        <rFont val="Calibre"/>
      </rPr>
      <t>approved for children as young as 2</t>
    </r>
    <r>
      <rPr>
        <sz val="11"/>
        <color theme="1"/>
        <rFont val="Calibre"/>
      </rPr>
      <t xml:space="preserve"> years old … Standard Libre 2 sensor has 14-day wear time and is approved for children 4 and older</t>
    </r>
  </si>
  <si>
    <r>
      <rPr>
        <b/>
        <sz val="11"/>
        <color theme="1"/>
        <rFont val="Calibre"/>
      </rPr>
      <t>Libre 3 Plus has a 15-day wear time</t>
    </r>
    <r>
      <rPr>
        <sz val="11"/>
        <color theme="1"/>
        <rFont val="Calibre"/>
      </rPr>
      <t xml:space="preserve"> and is </t>
    </r>
    <r>
      <rPr>
        <b/>
        <sz val="11"/>
        <color theme="1"/>
        <rFont val="Calibre"/>
      </rPr>
      <t>approved for children as young as 2</t>
    </r>
    <r>
      <rPr>
        <sz val="11"/>
        <color theme="1"/>
        <rFont val="Calibre"/>
      </rPr>
      <t xml:space="preserve"> years old … Standard Libre 3 sensor has 14-day wear time and is approved for children 4 and older</t>
    </r>
  </si>
  <si>
    <r>
      <rPr>
        <b/>
        <sz val="11"/>
        <color theme="1"/>
        <rFont val="Calibre"/>
      </rPr>
      <t>Most advanced censor technology</t>
    </r>
    <r>
      <rPr>
        <sz val="11"/>
        <color theme="1"/>
        <rFont val="Calibre"/>
      </rPr>
      <t xml:space="preserve"> … </t>
    </r>
    <r>
      <rPr>
        <b/>
        <sz val="11"/>
        <color theme="1"/>
        <rFont val="Calibre"/>
      </rPr>
      <t xml:space="preserve">Includes features necessary for intensive diabetes management </t>
    </r>
    <r>
      <rPr>
        <sz val="11"/>
        <color theme="1"/>
        <rFont val="Calibre"/>
      </rPr>
      <t>… alarms, data sharing with healthcare providers, compatibility with insulin pumps</t>
    </r>
  </si>
  <si>
    <t>Management's strategy for CGM offerings rely on marketing The Company's proven FreeStyle Libre sensor technology across different consumer markets by tailoring the software experience and regulatory clearance for each user base</t>
  </si>
  <si>
    <t>https://www.cardiovascular.abbott/us/en/hcp/products.html</t>
  </si>
  <si>
    <t>Abbott Vascular Products</t>
  </si>
  <si>
    <t>Fixed Asset Turnover Ratio</t>
  </si>
  <si>
    <t>Ttl Asset Turnover Ratio</t>
  </si>
  <si>
    <t>Pediatric Nutritionals Growth Y/y</t>
  </si>
  <si>
    <t>Adult Nutritionals Growth Y/y</t>
  </si>
  <si>
    <t>Ttl Nutritionals Revenues Growth Y/y</t>
  </si>
  <si>
    <t>Core Lab Growth Y/y</t>
  </si>
  <si>
    <t>Molecular Growth Y/y</t>
  </si>
  <si>
    <t>Point of Care Growth Y/y</t>
  </si>
  <si>
    <t>Rapid Diagnostics Growth Y/y</t>
  </si>
  <si>
    <t>Ttl Diagnostics Growth Y/y</t>
  </si>
  <si>
    <t>Rhythm Management Growth Y/y</t>
  </si>
  <si>
    <t>Electrophysiology Growth Y/y</t>
  </si>
  <si>
    <t>Heart Failure Growth Y/y</t>
  </si>
  <si>
    <t>Vascular Growth Y/y</t>
  </si>
  <si>
    <t>Revenue Breakdown by Segment</t>
  </si>
  <si>
    <r>
      <rPr>
        <b/>
        <sz val="11"/>
        <color rgb="FF0070C0"/>
        <rFont val="Calibre"/>
      </rPr>
      <t>Avg.</t>
    </r>
    <r>
      <rPr>
        <sz val="11"/>
        <color rgb="FF0070C0"/>
        <rFont val="Calibre"/>
      </rPr>
      <t xml:space="preserve"> (2024-2025)</t>
    </r>
  </si>
  <si>
    <t>2024-2025</t>
  </si>
  <si>
    <t>Capital Structure</t>
  </si>
  <si>
    <t>Mkt Cap</t>
  </si>
  <si>
    <t>Debt to Ttl Mkt Cap</t>
  </si>
  <si>
    <t>Mkt Equity to Ttl Mkt Cap</t>
  </si>
  <si>
    <t>Debt / Equity</t>
  </si>
  <si>
    <t>Cost of Equity</t>
  </si>
  <si>
    <t>Market Return(1-year avg.)</t>
  </si>
  <si>
    <t xml:space="preserve">Cost of Equity </t>
  </si>
  <si>
    <t>Cost of Debt</t>
  </si>
  <si>
    <t>Tax Rate</t>
  </si>
  <si>
    <t>After Tax Cost of Debt</t>
  </si>
  <si>
    <t>WACC</t>
  </si>
  <si>
    <t>https://www.sec.gov/edgar/browse/?CIK=1800&amp;owner=exclude</t>
  </si>
  <si>
    <t>Q1 2026</t>
  </si>
  <si>
    <t>Q2'26</t>
  </si>
  <si>
    <t>9/21/2026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</si>
</sst>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0.0%"/>
    <numFmt numFmtId="166" formatCode="_(* #,##0_);_(* \(#,##0\);_(* &quot;-&quot;??_);_(@_)"/>
    <numFmt numFmtId="167" formatCode="_(* #,##0.0_);_(* \(#,##0.0\);_(* &quot;-&quot;??_);_(@_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e"/>
    </font>
    <font>
      <b/>
      <sz val="11"/>
      <color theme="1"/>
      <name val="Calibre"/>
    </font>
    <font>
      <b/>
      <sz val="11"/>
      <color theme="0"/>
      <name val="Calibre"/>
    </font>
    <font>
      <sz val="11"/>
      <color theme="0"/>
      <name val="Calibre"/>
    </font>
    <font>
      <b/>
      <sz val="10"/>
      <name val="Arial"/>
      <family val="2"/>
    </font>
    <font>
      <i/>
      <sz val="11"/>
      <color theme="1"/>
      <name val="Calibre"/>
    </font>
    <font>
      <b/>
      <sz val="10"/>
      <name val="Calibre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e"/>
    </font>
    <font>
      <b/>
      <sz val="11"/>
      <color rgb="FF0070C0"/>
      <name val="Calibre"/>
    </font>
    <font>
      <sz val="11"/>
      <color rgb="FF0070C0"/>
      <name val="Calibre"/>
    </font>
    <font>
      <sz val="11"/>
      <name val="Calibre"/>
    </font>
    <font>
      <u/>
      <sz val="11"/>
      <color theme="10"/>
      <name val="Calibri"/>
      <family val="2"/>
      <scheme val="minor"/>
    </font>
    <font>
      <u/>
      <sz val="11"/>
      <color rgb="FF00B0F0"/>
      <name val="Calibre"/>
    </font>
    <font>
      <sz val="11"/>
      <color theme="4" tint="-0.249977111117893"/>
      <name val="Calibre"/>
    </font>
    <font>
      <sz val="10"/>
      <name val="Arial"/>
      <family val="2"/>
    </font>
    <font>
      <b/>
      <u/>
      <sz val="11"/>
      <color theme="0"/>
      <name val="Calibre"/>
    </font>
    <font>
      <b/>
      <u/>
      <sz val="11"/>
      <color theme="1"/>
      <name val="Calibre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5F5F5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115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10" fontId="2" fillId="4" borderId="6" xfId="0" applyNumberFormat="1" applyFont="1" applyFill="1" applyBorder="1"/>
    <xf numFmtId="10" fontId="2" fillId="4" borderId="7" xfId="0" applyNumberFormat="1" applyFont="1" applyFill="1" applyBorder="1"/>
    <xf numFmtId="0" fontId="4" fillId="3" borderId="8" xfId="0" applyFont="1" applyFill="1" applyBorder="1" applyAlignment="1">
      <alignment horizontal="left"/>
    </xf>
    <xf numFmtId="0" fontId="5" fillId="3" borderId="0" xfId="0" applyFont="1" applyFill="1" applyAlignment="1">
      <alignment horizontal="center"/>
    </xf>
    <xf numFmtId="0" fontId="5" fillId="3" borderId="9" xfId="0" applyFont="1" applyFill="1" applyBorder="1" applyAlignment="1">
      <alignment horizontal="center"/>
    </xf>
    <xf numFmtId="10" fontId="2" fillId="0" borderId="10" xfId="0" applyNumberFormat="1" applyFont="1" applyBorder="1"/>
    <xf numFmtId="10" fontId="2" fillId="0" borderId="11" xfId="0" applyNumberFormat="1" applyFont="1" applyBorder="1"/>
    <xf numFmtId="10" fontId="2" fillId="4" borderId="10" xfId="0" applyNumberFormat="1" applyFont="1" applyFill="1" applyBorder="1"/>
    <xf numFmtId="10" fontId="2" fillId="4" borderId="11" xfId="0" applyNumberFormat="1" applyFont="1" applyFill="1" applyBorder="1"/>
    <xf numFmtId="0" fontId="4" fillId="3" borderId="12" xfId="0" applyFont="1" applyFill="1" applyBorder="1" applyAlignment="1">
      <alignment horizontal="left"/>
    </xf>
    <xf numFmtId="0" fontId="5" fillId="3" borderId="1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10" fontId="2" fillId="0" borderId="15" xfId="0" applyNumberFormat="1" applyFont="1" applyBorder="1"/>
    <xf numFmtId="10" fontId="2" fillId="0" borderId="16" xfId="0" applyNumberFormat="1" applyFont="1" applyBorder="1"/>
    <xf numFmtId="0" fontId="6" fillId="5" borderId="0" xfId="0" applyFont="1" applyFill="1" applyAlignment="1">
      <alignment horizontal="center" vertical="center"/>
    </xf>
    <xf numFmtId="10" fontId="2" fillId="0" borderId="0" xfId="0" applyNumberFormat="1" applyFont="1"/>
    <xf numFmtId="0" fontId="8" fillId="5" borderId="0" xfId="0" applyFont="1" applyFill="1" applyAlignment="1">
      <alignment horizontal="center" vertical="center"/>
    </xf>
    <xf numFmtId="10" fontId="8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right" vertical="center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7" xfId="0" applyFont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/>
    <xf numFmtId="0" fontId="14" fillId="0" borderId="0" xfId="0" applyFont="1" applyAlignment="1">
      <alignment horizontal="left"/>
    </xf>
    <xf numFmtId="2" fontId="2" fillId="0" borderId="0" xfId="1" quotePrefix="1" applyNumberFormat="1" applyFont="1"/>
    <xf numFmtId="2" fontId="2" fillId="0" borderId="0" xfId="0" applyNumberFormat="1" applyFont="1"/>
    <xf numFmtId="2" fontId="2" fillId="0" borderId="0" xfId="0" quotePrefix="1" applyNumberFormat="1" applyFont="1"/>
    <xf numFmtId="0" fontId="2" fillId="0" borderId="0" xfId="1" applyNumberFormat="1" applyFont="1"/>
    <xf numFmtId="49" fontId="2" fillId="0" borderId="0" xfId="0" applyNumberFormat="1" applyFont="1"/>
    <xf numFmtId="0" fontId="16" fillId="0" borderId="0" xfId="2" applyFont="1"/>
    <xf numFmtId="0" fontId="13" fillId="0" borderId="0" xfId="0" applyFont="1" applyAlignment="1">
      <alignment horizontal="right"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vertical="top" wrapText="1"/>
    </xf>
    <xf numFmtId="10" fontId="13" fillId="0" borderId="0" xfId="0" applyNumberFormat="1" applyFont="1" applyAlignment="1">
      <alignment vertical="top"/>
    </xf>
    <xf numFmtId="1" fontId="13" fillId="0" borderId="0" xfId="0" applyNumberFormat="1" applyFont="1" applyAlignment="1">
      <alignment vertical="top"/>
    </xf>
    <xf numFmtId="164" fontId="13" fillId="0" borderId="0" xfId="0" applyNumberFormat="1" applyFont="1" applyAlignment="1">
      <alignment vertical="top"/>
    </xf>
    <xf numFmtId="165" fontId="13" fillId="0" borderId="0" xfId="1" applyNumberFormat="1" applyFont="1" applyAlignment="1">
      <alignment vertical="top"/>
    </xf>
    <xf numFmtId="0" fontId="12" fillId="0" borderId="0" xfId="0" applyFont="1" applyAlignment="1">
      <alignment vertical="top"/>
    </xf>
    <xf numFmtId="14" fontId="13" fillId="0" borderId="0" xfId="0" applyNumberFormat="1" applyFont="1" applyAlignment="1">
      <alignment horizontal="left" vertical="top"/>
    </xf>
    <xf numFmtId="2" fontId="13" fillId="0" borderId="0" xfId="0" applyNumberFormat="1" applyFont="1" applyAlignment="1">
      <alignment vertical="top"/>
    </xf>
    <xf numFmtId="49" fontId="13" fillId="0" borderId="0" xfId="0" applyNumberFormat="1" applyFont="1" applyAlignment="1">
      <alignment horizontal="right" vertical="top"/>
    </xf>
    <xf numFmtId="0" fontId="13" fillId="0" borderId="0" xfId="0" applyFont="1" applyAlignment="1">
      <alignment horizontal="left" vertical="top"/>
    </xf>
    <xf numFmtId="0" fontId="18" fillId="0" borderId="0" xfId="0" applyFont="1"/>
    <xf numFmtId="10" fontId="0" fillId="0" borderId="0" xfId="0" applyNumberFormat="1"/>
    <xf numFmtId="0" fontId="0" fillId="0" borderId="18" xfId="0" applyBorder="1"/>
    <xf numFmtId="0" fontId="9" fillId="0" borderId="17" xfId="0" applyFont="1" applyBorder="1" applyAlignment="1">
      <alignment horizontal="center"/>
    </xf>
    <xf numFmtId="10" fontId="2" fillId="0" borderId="0" xfId="1" applyNumberFormat="1" applyFont="1"/>
    <xf numFmtId="0" fontId="11" fillId="0" borderId="0" xfId="0" applyFont="1" applyAlignment="1">
      <alignment horizontal="left"/>
    </xf>
    <xf numFmtId="165" fontId="2" fillId="0" borderId="0" xfId="1" applyNumberFormat="1" applyFont="1"/>
    <xf numFmtId="165" fontId="3" fillId="0" borderId="0" xfId="1" applyNumberFormat="1" applyFont="1"/>
    <xf numFmtId="1" fontId="3" fillId="0" borderId="0" xfId="0" applyNumberFormat="1" applyFont="1"/>
    <xf numFmtId="1" fontId="2" fillId="0" borderId="0" xfId="0" applyNumberFormat="1" applyFont="1"/>
    <xf numFmtId="1" fontId="12" fillId="0" borderId="0" xfId="0" applyNumberFormat="1" applyFont="1"/>
    <xf numFmtId="1" fontId="13" fillId="0" borderId="0" xfId="0" applyNumberFormat="1" applyFont="1"/>
    <xf numFmtId="165" fontId="12" fillId="0" borderId="0" xfId="0" applyNumberFormat="1" applyFont="1"/>
    <xf numFmtId="165" fontId="13" fillId="0" borderId="0" xfId="0" applyNumberFormat="1" applyFont="1"/>
    <xf numFmtId="10" fontId="2" fillId="4" borderId="19" xfId="0" applyNumberFormat="1" applyFont="1" applyFill="1" applyBorder="1"/>
    <xf numFmtId="10" fontId="2" fillId="0" borderId="20" xfId="0" applyNumberFormat="1" applyFont="1" applyBorder="1"/>
    <xf numFmtId="10" fontId="2" fillId="4" borderId="20" xfId="0" applyNumberFormat="1" applyFont="1" applyFill="1" applyBorder="1"/>
    <xf numFmtId="10" fontId="2" fillId="0" borderId="21" xfId="0" applyNumberFormat="1" applyFont="1" applyBorder="1"/>
    <xf numFmtId="0" fontId="4" fillId="2" borderId="3" xfId="0" applyFont="1" applyFill="1" applyBorder="1" applyAlignment="1">
      <alignment horizontal="center"/>
    </xf>
    <xf numFmtId="0" fontId="4" fillId="2" borderId="3" xfId="0" applyFont="1" applyFill="1" applyBorder="1"/>
    <xf numFmtId="0" fontId="4" fillId="2" borderId="22" xfId="0" applyFont="1" applyFill="1" applyBorder="1" applyAlignment="1">
      <alignment horizontal="center"/>
    </xf>
    <xf numFmtId="166" fontId="2" fillId="4" borderId="23" xfId="3" applyNumberFormat="1" applyFont="1" applyFill="1" applyBorder="1" applyAlignment="1">
      <alignment horizontal="left"/>
    </xf>
    <xf numFmtId="166" fontId="2" fillId="0" borderId="24" xfId="3" applyNumberFormat="1" applyFont="1" applyBorder="1" applyAlignment="1">
      <alignment horizontal="left"/>
    </xf>
    <xf numFmtId="166" fontId="2" fillId="4" borderId="24" xfId="3" applyNumberFormat="1" applyFont="1" applyFill="1" applyBorder="1" applyAlignment="1">
      <alignment horizontal="left"/>
    </xf>
    <xf numFmtId="166" fontId="2" fillId="0" borderId="25" xfId="3" applyNumberFormat="1" applyFont="1" applyBorder="1"/>
    <xf numFmtId="0" fontId="19" fillId="3" borderId="1" xfId="0" applyFont="1" applyFill="1" applyBorder="1" applyAlignment="1">
      <alignment horizontal="left"/>
    </xf>
    <xf numFmtId="0" fontId="19" fillId="3" borderId="2" xfId="0" applyFont="1" applyFill="1" applyBorder="1" applyAlignment="1">
      <alignment horizontal="left"/>
    </xf>
    <xf numFmtId="0" fontId="19" fillId="3" borderId="8" xfId="0" applyFont="1" applyFill="1" applyBorder="1" applyAlignment="1">
      <alignment horizontal="left"/>
    </xf>
    <xf numFmtId="0" fontId="5" fillId="3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5" fillId="3" borderId="8" xfId="0" applyFont="1" applyFill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20" fillId="0" borderId="0" xfId="0" applyFont="1"/>
    <xf numFmtId="2" fontId="2" fillId="0" borderId="0" xfId="0" applyNumberFormat="1" applyFont="1" applyAlignment="1">
      <alignment vertical="center"/>
    </xf>
    <xf numFmtId="10" fontId="2" fillId="0" borderId="0" xfId="0" applyNumberFormat="1" applyFont="1" applyAlignment="1">
      <alignment vertical="center"/>
    </xf>
    <xf numFmtId="165" fontId="3" fillId="0" borderId="0" xfId="0" applyNumberFormat="1" applyFont="1"/>
    <xf numFmtId="165" fontId="2" fillId="0" borderId="0" xfId="0" applyNumberFormat="1" applyFont="1"/>
    <xf numFmtId="0" fontId="12" fillId="0" borderId="0" xfId="0" applyFont="1" applyAlignment="1">
      <alignment horizontal="left" vertical="top" indent="1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left" indent="1"/>
    </xf>
    <xf numFmtId="10" fontId="13" fillId="0" borderId="0" xfId="1" applyNumberFormat="1" applyFont="1"/>
    <xf numFmtId="0" fontId="12" fillId="0" borderId="0" xfId="0" applyFont="1" applyAlignment="1">
      <alignment horizontal="left" indent="1"/>
    </xf>
    <xf numFmtId="10" fontId="12" fillId="0" borderId="0" xfId="1" applyNumberFormat="1" applyFont="1"/>
    <xf numFmtId="14" fontId="13" fillId="0" borderId="0" xfId="0" applyNumberFormat="1" applyFont="1" applyAlignment="1">
      <alignment horizontal="right" vertical="top"/>
    </xf>
    <xf numFmtId="0" fontId="13" fillId="0" borderId="0" xfId="0" applyFont="1" applyAlignment="1">
      <alignment horizontal="left" vertical="top" indent="1"/>
    </xf>
    <xf numFmtId="2" fontId="13" fillId="0" borderId="0" xfId="0" applyNumberFormat="1" applyFont="1"/>
    <xf numFmtId="9" fontId="13" fillId="0" borderId="0" xfId="1" applyFont="1"/>
    <xf numFmtId="10" fontId="13" fillId="0" borderId="0" xfId="1" applyNumberFormat="1" applyFont="1" applyAlignment="1">
      <alignment horizontal="left" indent="1"/>
    </xf>
    <xf numFmtId="10" fontId="13" fillId="0" borderId="0" xfId="1" applyNumberFormat="1" applyFont="1" applyAlignment="1">
      <alignment horizontal="right"/>
    </xf>
    <xf numFmtId="0" fontId="13" fillId="0" borderId="0" xfId="0" applyFont="1" applyAlignment="1">
      <alignment horizontal="center"/>
    </xf>
    <xf numFmtId="1" fontId="12" fillId="0" borderId="0" xfId="0" applyNumberFormat="1" applyFont="1" applyAlignment="1">
      <alignment horizontal="left" indent="1"/>
    </xf>
    <xf numFmtId="10" fontId="13" fillId="0" borderId="0" xfId="0" applyNumberFormat="1" applyFont="1"/>
    <xf numFmtId="43" fontId="2" fillId="0" borderId="0" xfId="3" applyFont="1" applyAlignment="1">
      <alignment horizontal="left"/>
    </xf>
    <xf numFmtId="167" fontId="2" fillId="0" borderId="0" xfId="3" applyNumberFormat="1" applyFont="1" applyAlignment="1">
      <alignment horizontal="left"/>
    </xf>
    <xf numFmtId="166" fontId="2" fillId="0" borderId="0" xfId="3" applyNumberFormat="1" applyFont="1" applyAlignment="1">
      <alignment horizontal="left"/>
    </xf>
    <xf numFmtId="0" fontId="17" fillId="0" borderId="0" xfId="0" applyFont="1" applyAlignment="1">
      <alignment horizontal="center"/>
    </xf>
  </cellXfs>
  <cellStyles count="4">
    <cellStyle name="Comma" xfId="3" builtinId="3"/>
    <cellStyle name="Hyperlink" xfId="2" builtinId="8"/>
    <cellStyle name="Normal" xfId="0" builtinId="0"/>
    <cellStyle name="Percent" xfId="1" builtinId="5"/>
  </cellStyles>
  <dxfs count="5">
    <dxf>
      <font>
        <b/>
        <i val="0"/>
        <color theme="0"/>
      </font>
      <fill>
        <patternFill>
          <bgColor rgb="FF5A8C38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6D6D"/>
        </patternFill>
      </fill>
    </dxf>
    <dxf>
      <font>
        <b/>
        <i val="0"/>
        <color theme="0"/>
      </font>
      <fill>
        <patternFill>
          <bgColor rgb="FFF20000"/>
        </patternFill>
      </fill>
    </dxf>
  </dxfs>
  <tableStyles count="0" defaultTableStyle="TableStyleMedium2" defaultPivotStyle="PivotStyleLight16"/>
  <colors>
    <mruColors>
      <color rgb="FFFF5B5B"/>
      <color rgb="FFFF4343"/>
      <color rgb="FFEA0000"/>
      <color rgb="FF91C46E"/>
      <color rgb="FF3B87CD"/>
      <color rgb="FFFF99CC"/>
      <color rgb="FFFF2525"/>
      <color rgb="FF97C777"/>
      <color rgb="FF4976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(ABT) Revenue by Segment (in $ millions)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109587501048507E-2"/>
          <c:y val="0.13860043538261757"/>
          <c:w val="0.91646860416323306"/>
          <c:h val="0.7768813138841103"/>
        </c:manualLayout>
      </c:layout>
      <c:barChart>
        <c:barDir val="col"/>
        <c:grouping val="stacked"/>
        <c:varyColors val="0"/>
        <c:ser>
          <c:idx val="6"/>
          <c:order val="0"/>
          <c:tx>
            <c:v>Pharma</c:v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Model!$AU$1:$BS$1</c:f>
              <c:strCache>
                <c:ptCount val="25"/>
                <c:pt idx="0">
                  <c:v>Q1 2020</c:v>
                </c:pt>
                <c:pt idx="4">
                  <c:v>Q1 2021</c:v>
                </c:pt>
                <c:pt idx="8">
                  <c:v>Q1 2022</c:v>
                </c:pt>
                <c:pt idx="12">
                  <c:v>Q1 2023</c:v>
                </c:pt>
                <c:pt idx="16">
                  <c:v>Q1 2024</c:v>
                </c:pt>
                <c:pt idx="20">
                  <c:v>Q1 2025</c:v>
                </c:pt>
                <c:pt idx="24">
                  <c:v>Q1 2026</c:v>
                </c:pt>
              </c:strCache>
            </c:strRef>
          </c:cat>
          <c:val>
            <c:numRef>
              <c:f>Model!$AU$4:$BT$4</c:f>
              <c:numCache>
                <c:formatCode>General</c:formatCode>
                <c:ptCount val="26"/>
                <c:pt idx="0">
                  <c:v>1044</c:v>
                </c:pt>
                <c:pt idx="1">
                  <c:v>1013</c:v>
                </c:pt>
                <c:pt idx="2">
                  <c:v>1099</c:v>
                </c:pt>
                <c:pt idx="3">
                  <c:v>1147</c:v>
                </c:pt>
                <c:pt idx="4">
                  <c:v>1070</c:v>
                </c:pt>
                <c:pt idx="5">
                  <c:v>1180</c:v>
                </c:pt>
                <c:pt idx="6">
                  <c:v>1265</c:v>
                </c:pt>
                <c:pt idx="7">
                  <c:v>1203</c:v>
                </c:pt>
                <c:pt idx="8">
                  <c:v>1147</c:v>
                </c:pt>
                <c:pt idx="9">
                  <c:v>1223</c:v>
                </c:pt>
                <c:pt idx="10">
                  <c:v>1326</c:v>
                </c:pt>
                <c:pt idx="11">
                  <c:v>1216</c:v>
                </c:pt>
                <c:pt idx="12">
                  <c:v>1189</c:v>
                </c:pt>
                <c:pt idx="13">
                  <c:v>1287</c:v>
                </c:pt>
                <c:pt idx="14">
                  <c:v>1368</c:v>
                </c:pt>
                <c:pt idx="15">
                  <c:v>1222</c:v>
                </c:pt>
                <c:pt idx="16">
                  <c:v>1226</c:v>
                </c:pt>
                <c:pt idx="17">
                  <c:v>1294</c:v>
                </c:pt>
                <c:pt idx="18">
                  <c:v>1406</c:v>
                </c:pt>
                <c:pt idx="19">
                  <c:v>1268</c:v>
                </c:pt>
                <c:pt idx="20">
                  <c:v>1260</c:v>
                </c:pt>
                <c:pt idx="21">
                  <c:v>1383</c:v>
                </c:pt>
                <c:pt idx="22">
                  <c:v>1511</c:v>
                </c:pt>
                <c:pt idx="23">
                  <c:v>1382</c:v>
                </c:pt>
                <c:pt idx="24">
                  <c:v>1426</c:v>
                </c:pt>
                <c:pt idx="25">
                  <c:v>1426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3E-43B3-B662-D76C6E829219}"/>
            </c:ext>
          </c:extLst>
        </c:ser>
        <c:ser>
          <c:idx val="7"/>
          <c:order val="1"/>
          <c:tx>
            <c:v>Nutritionals</c:v>
          </c:tx>
          <c:spPr>
            <a:solidFill>
              <a:srgbClr val="FF5B5B"/>
            </a:solidFill>
            <a:ln>
              <a:noFill/>
            </a:ln>
            <a:effectLst/>
          </c:spPr>
          <c:invertIfNegative val="0"/>
          <c:cat>
            <c:strRef>
              <c:f>Model!$AU$1:$BS$1</c:f>
              <c:strCache>
                <c:ptCount val="25"/>
                <c:pt idx="0">
                  <c:v>Q1 2020</c:v>
                </c:pt>
                <c:pt idx="4">
                  <c:v>Q1 2021</c:v>
                </c:pt>
                <c:pt idx="8">
                  <c:v>Q1 2022</c:v>
                </c:pt>
                <c:pt idx="12">
                  <c:v>Q1 2023</c:v>
                </c:pt>
                <c:pt idx="16">
                  <c:v>Q1 2024</c:v>
                </c:pt>
                <c:pt idx="20">
                  <c:v>Q1 2025</c:v>
                </c:pt>
                <c:pt idx="24">
                  <c:v>Q1 2026</c:v>
                </c:pt>
              </c:strCache>
            </c:strRef>
          </c:cat>
          <c:val>
            <c:numRef>
              <c:f>Model!$AU$7:$BT$7</c:f>
              <c:numCache>
                <c:formatCode>General</c:formatCode>
                <c:ptCount val="26"/>
                <c:pt idx="0">
                  <c:v>1904</c:v>
                </c:pt>
                <c:pt idx="1">
                  <c:v>1883</c:v>
                </c:pt>
                <c:pt idx="2">
                  <c:v>1924</c:v>
                </c:pt>
                <c:pt idx="3">
                  <c:v>1936</c:v>
                </c:pt>
                <c:pt idx="4">
                  <c:v>2036</c:v>
                </c:pt>
                <c:pt idx="5">
                  <c:v>2108</c:v>
                </c:pt>
                <c:pt idx="6">
                  <c:v>2108</c:v>
                </c:pt>
                <c:pt idx="7">
                  <c:v>2042</c:v>
                </c:pt>
                <c:pt idx="8">
                  <c:v>1894</c:v>
                </c:pt>
                <c:pt idx="9">
                  <c:v>1953</c:v>
                </c:pt>
                <c:pt idx="10">
                  <c:v>1795</c:v>
                </c:pt>
                <c:pt idx="11">
                  <c:v>1817</c:v>
                </c:pt>
                <c:pt idx="12">
                  <c:v>1967</c:v>
                </c:pt>
                <c:pt idx="13">
                  <c:v>2076</c:v>
                </c:pt>
                <c:pt idx="14">
                  <c:v>2073</c:v>
                </c:pt>
                <c:pt idx="15">
                  <c:v>2038</c:v>
                </c:pt>
                <c:pt idx="16">
                  <c:v>2068</c:v>
                </c:pt>
                <c:pt idx="17">
                  <c:v>2150</c:v>
                </c:pt>
                <c:pt idx="18">
                  <c:v>2066</c:v>
                </c:pt>
                <c:pt idx="19">
                  <c:v>2129</c:v>
                </c:pt>
                <c:pt idx="20">
                  <c:v>2146</c:v>
                </c:pt>
                <c:pt idx="21">
                  <c:v>2212</c:v>
                </c:pt>
                <c:pt idx="22">
                  <c:v>2153</c:v>
                </c:pt>
                <c:pt idx="23">
                  <c:v>1940</c:v>
                </c:pt>
                <c:pt idx="24">
                  <c:v>2017</c:v>
                </c:pt>
                <c:pt idx="25">
                  <c:v>2017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63E-43B3-B662-D76C6E829219}"/>
            </c:ext>
          </c:extLst>
        </c:ser>
        <c:ser>
          <c:idx val="9"/>
          <c:order val="2"/>
          <c:tx>
            <c:v>Med-Devices</c:v>
          </c:tx>
          <c:spPr>
            <a:solidFill>
              <a:srgbClr val="97C777"/>
            </a:solidFill>
            <a:ln>
              <a:noFill/>
            </a:ln>
            <a:effectLst/>
          </c:spPr>
          <c:invertIfNegative val="0"/>
          <c:cat>
            <c:strRef>
              <c:f>Model!$AU$1:$BS$1</c:f>
              <c:strCache>
                <c:ptCount val="25"/>
                <c:pt idx="0">
                  <c:v>Q1 2020</c:v>
                </c:pt>
                <c:pt idx="4">
                  <c:v>Q1 2021</c:v>
                </c:pt>
                <c:pt idx="8">
                  <c:v>Q1 2022</c:v>
                </c:pt>
                <c:pt idx="12">
                  <c:v>Q1 2023</c:v>
                </c:pt>
                <c:pt idx="16">
                  <c:v>Q1 2024</c:v>
                </c:pt>
                <c:pt idx="20">
                  <c:v>Q1 2025</c:v>
                </c:pt>
                <c:pt idx="24">
                  <c:v>Q1 2026</c:v>
                </c:pt>
              </c:strCache>
            </c:strRef>
          </c:cat>
          <c:val>
            <c:numRef>
              <c:f>Model!$AU$20:$BT$20</c:f>
              <c:numCache>
                <c:formatCode>General</c:formatCode>
                <c:ptCount val="26"/>
                <c:pt idx="0">
                  <c:v>2937</c:v>
                </c:pt>
                <c:pt idx="1">
                  <c:v>2423</c:v>
                </c:pt>
                <c:pt idx="2">
                  <c:v>3170</c:v>
                </c:pt>
                <c:pt idx="3">
                  <c:v>3257</c:v>
                </c:pt>
                <c:pt idx="4">
                  <c:v>3320</c:v>
                </c:pt>
                <c:pt idx="5">
                  <c:v>3666</c:v>
                </c:pt>
                <c:pt idx="6">
                  <c:v>3632</c:v>
                </c:pt>
                <c:pt idx="7">
                  <c:v>3749</c:v>
                </c:pt>
                <c:pt idx="8">
                  <c:v>3594</c:v>
                </c:pt>
                <c:pt idx="9">
                  <c:v>3785</c:v>
                </c:pt>
                <c:pt idx="10">
                  <c:v>3645</c:v>
                </c:pt>
                <c:pt idx="11">
                  <c:v>3778</c:v>
                </c:pt>
                <c:pt idx="12">
                  <c:v>3900</c:v>
                </c:pt>
                <c:pt idx="13">
                  <c:v>4295</c:v>
                </c:pt>
                <c:pt idx="14">
                  <c:v>4249</c:v>
                </c:pt>
                <c:pt idx="15">
                  <c:v>4443</c:v>
                </c:pt>
                <c:pt idx="16">
                  <c:v>4453</c:v>
                </c:pt>
                <c:pt idx="17">
                  <c:v>4734</c:v>
                </c:pt>
                <c:pt idx="18">
                  <c:v>4747</c:v>
                </c:pt>
                <c:pt idx="19">
                  <c:v>5052</c:v>
                </c:pt>
                <c:pt idx="20">
                  <c:v>4895</c:v>
                </c:pt>
                <c:pt idx="21">
                  <c:v>5369</c:v>
                </c:pt>
                <c:pt idx="22">
                  <c:v>5448</c:v>
                </c:pt>
                <c:pt idx="23">
                  <c:v>5675</c:v>
                </c:pt>
                <c:pt idx="24">
                  <c:v>5539</c:v>
                </c:pt>
                <c:pt idx="25">
                  <c:v>5539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63E-43B3-B662-D76C6E829219}"/>
            </c:ext>
          </c:extLst>
        </c:ser>
        <c:ser>
          <c:idx val="8"/>
          <c:order val="3"/>
          <c:tx>
            <c:v>Diagnostics</c:v>
          </c:tx>
          <c:spPr>
            <a:solidFill>
              <a:srgbClr val="FFC000">
                <a:lumMod val="60000"/>
                <a:lumOff val="40000"/>
              </a:srgbClr>
            </a:solidFill>
            <a:ln>
              <a:noFill/>
            </a:ln>
            <a:effectLst/>
          </c:spPr>
          <c:invertIfNegative val="0"/>
          <c:cat>
            <c:strRef>
              <c:f>Model!$AU$1:$BS$1</c:f>
              <c:strCache>
                <c:ptCount val="25"/>
                <c:pt idx="0">
                  <c:v>Q1 2020</c:v>
                </c:pt>
                <c:pt idx="4">
                  <c:v>Q1 2021</c:v>
                </c:pt>
                <c:pt idx="8">
                  <c:v>Q1 2022</c:v>
                </c:pt>
                <c:pt idx="12">
                  <c:v>Q1 2023</c:v>
                </c:pt>
                <c:pt idx="16">
                  <c:v>Q1 2024</c:v>
                </c:pt>
                <c:pt idx="20">
                  <c:v>Q1 2025</c:v>
                </c:pt>
                <c:pt idx="24">
                  <c:v>Q1 2026</c:v>
                </c:pt>
              </c:strCache>
            </c:strRef>
          </c:cat>
          <c:val>
            <c:numRef>
              <c:f>Model!$AU$12:$BT$12</c:f>
              <c:numCache>
                <c:formatCode>General</c:formatCode>
                <c:ptCount val="26"/>
                <c:pt idx="0">
                  <c:v>1826</c:v>
                </c:pt>
                <c:pt idx="1">
                  <c:v>1994</c:v>
                </c:pt>
                <c:pt idx="2">
                  <c:v>2640</c:v>
                </c:pt>
                <c:pt idx="3">
                  <c:v>4345</c:v>
                </c:pt>
                <c:pt idx="4">
                  <c:v>4014</c:v>
                </c:pt>
                <c:pt idx="5">
                  <c:v>3247</c:v>
                </c:pt>
                <c:pt idx="6">
                  <c:v>3912</c:v>
                </c:pt>
                <c:pt idx="7">
                  <c:v>4471</c:v>
                </c:pt>
                <c:pt idx="8">
                  <c:v>5257</c:v>
                </c:pt>
                <c:pt idx="9">
                  <c:v>4294</c:v>
                </c:pt>
                <c:pt idx="10">
                  <c:v>3641</c:v>
                </c:pt>
                <c:pt idx="11">
                  <c:v>3277</c:v>
                </c:pt>
                <c:pt idx="12">
                  <c:v>2688</c:v>
                </c:pt>
                <c:pt idx="13">
                  <c:v>2317</c:v>
                </c:pt>
                <c:pt idx="14">
                  <c:v>2449</c:v>
                </c:pt>
                <c:pt idx="15">
                  <c:v>2534</c:v>
                </c:pt>
                <c:pt idx="16">
                  <c:v>2214</c:v>
                </c:pt>
                <c:pt idx="17">
                  <c:v>2195</c:v>
                </c:pt>
                <c:pt idx="18">
                  <c:v>2412</c:v>
                </c:pt>
                <c:pt idx="19">
                  <c:v>2520</c:v>
                </c:pt>
                <c:pt idx="20">
                  <c:v>2054</c:v>
                </c:pt>
                <c:pt idx="21">
                  <c:v>2173</c:v>
                </c:pt>
                <c:pt idx="22">
                  <c:v>2253</c:v>
                </c:pt>
                <c:pt idx="23">
                  <c:v>2457</c:v>
                </c:pt>
                <c:pt idx="24">
                  <c:v>2180</c:v>
                </c:pt>
                <c:pt idx="25">
                  <c:v>2180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63E-43B3-B662-D76C6E829219}"/>
            </c:ext>
          </c:extLst>
        </c:ser>
        <c:ser>
          <c:idx val="0"/>
          <c:order val="4"/>
          <c:tx>
            <c:v>Other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Model!$AU$1:$BS$1</c:f>
              <c:strCache>
                <c:ptCount val="25"/>
                <c:pt idx="0">
                  <c:v>Q1 2020</c:v>
                </c:pt>
                <c:pt idx="4">
                  <c:v>Q1 2021</c:v>
                </c:pt>
                <c:pt idx="8">
                  <c:v>Q1 2022</c:v>
                </c:pt>
                <c:pt idx="12">
                  <c:v>Q1 2023</c:v>
                </c:pt>
                <c:pt idx="16">
                  <c:v>Q1 2024</c:v>
                </c:pt>
                <c:pt idx="20">
                  <c:v>Q1 2025</c:v>
                </c:pt>
                <c:pt idx="24">
                  <c:v>Q1 2026</c:v>
                </c:pt>
              </c:strCache>
            </c:strRef>
          </c:cat>
          <c:val>
            <c:numRef>
              <c:f>Model!$AU$21:$BT$21</c:f>
              <c:numCache>
                <c:formatCode>General</c:formatCode>
                <c:ptCount val="26"/>
                <c:pt idx="0">
                  <c:v>15</c:v>
                </c:pt>
                <c:pt idx="1">
                  <c:v>15</c:v>
                </c:pt>
                <c:pt idx="2">
                  <c:v>20</c:v>
                </c:pt>
                <c:pt idx="3">
                  <c:v>16</c:v>
                </c:pt>
                <c:pt idx="4">
                  <c:v>16</c:v>
                </c:pt>
                <c:pt idx="5">
                  <c:v>22</c:v>
                </c:pt>
                <c:pt idx="6">
                  <c:v>11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4</c:v>
                </c:pt>
                <c:pt idx="16">
                  <c:v>3</c:v>
                </c:pt>
                <c:pt idx="17">
                  <c:v>4</c:v>
                </c:pt>
                <c:pt idx="18">
                  <c:v>4</c:v>
                </c:pt>
                <c:pt idx="19">
                  <c:v>5</c:v>
                </c:pt>
                <c:pt idx="20">
                  <c:v>3</c:v>
                </c:pt>
                <c:pt idx="21">
                  <c:v>5</c:v>
                </c:pt>
                <c:pt idx="22">
                  <c:v>4</c:v>
                </c:pt>
                <c:pt idx="23">
                  <c:v>5</c:v>
                </c:pt>
                <c:pt idx="24">
                  <c:v>2</c:v>
                </c:pt>
                <c:pt idx="2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E4-4750-9147-D09F2D3FB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"/>
        <c:overlap val="100"/>
        <c:axId val="826587039"/>
        <c:axId val="826586079"/>
      </c:barChart>
      <c:catAx>
        <c:axId val="82658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6079"/>
        <c:crossesAt val="-10000"/>
        <c:auto val="1"/>
        <c:lblAlgn val="ctr"/>
        <c:lblOffset val="100"/>
        <c:noMultiLvlLbl val="0"/>
      </c:catAx>
      <c:valAx>
        <c:axId val="82658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500001367016772"/>
          <c:y val="5.2058346839546202E-2"/>
          <c:w val="0.76188585908360551"/>
          <c:h val="7.31608937995058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(ABT) Quarterly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00B050"/>
            </a:solidFill>
          </c:spPr>
          <c:invertIfNegative val="0"/>
          <c:cat>
            <c:strRef>
              <c:f>[1]Model!$AW$3:$BQ$3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Model!$AU$75:$BT$75</c:f>
              <c:numCache>
                <c:formatCode>General</c:formatCode>
                <c:ptCount val="26"/>
                <c:pt idx="0">
                  <c:v>564</c:v>
                </c:pt>
                <c:pt idx="1">
                  <c:v>537</c:v>
                </c:pt>
                <c:pt idx="2">
                  <c:v>1232</c:v>
                </c:pt>
                <c:pt idx="3">
                  <c:v>2138</c:v>
                </c:pt>
                <c:pt idx="4">
                  <c:v>1793</c:v>
                </c:pt>
                <c:pt idx="5">
                  <c:v>1189</c:v>
                </c:pt>
                <c:pt idx="6">
                  <c:v>2100</c:v>
                </c:pt>
                <c:pt idx="7">
                  <c:v>1989</c:v>
                </c:pt>
                <c:pt idx="8">
                  <c:v>2447</c:v>
                </c:pt>
                <c:pt idx="9">
                  <c:v>2018</c:v>
                </c:pt>
                <c:pt idx="10">
                  <c:v>1435</c:v>
                </c:pt>
                <c:pt idx="11">
                  <c:v>1033</c:v>
                </c:pt>
                <c:pt idx="12">
                  <c:v>1318</c:v>
                </c:pt>
                <c:pt idx="13">
                  <c:v>1375</c:v>
                </c:pt>
                <c:pt idx="14">
                  <c:v>1436</c:v>
                </c:pt>
                <c:pt idx="15">
                  <c:v>1594</c:v>
                </c:pt>
                <c:pt idx="16">
                  <c:v>1225</c:v>
                </c:pt>
                <c:pt idx="17">
                  <c:v>1302</c:v>
                </c:pt>
                <c:pt idx="18">
                  <c:v>1646</c:v>
                </c:pt>
                <c:pt idx="19">
                  <c:v>9229</c:v>
                </c:pt>
                <c:pt idx="20">
                  <c:v>1325</c:v>
                </c:pt>
                <c:pt idx="21">
                  <c:v>1779</c:v>
                </c:pt>
                <c:pt idx="22">
                  <c:v>1644</c:v>
                </c:pt>
                <c:pt idx="23">
                  <c:v>1776</c:v>
                </c:pt>
                <c:pt idx="24">
                  <c:v>1077</c:v>
                </c:pt>
                <c:pt idx="25">
                  <c:v>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46-4EF6-8D0F-B65629DF816B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</c:spPr>
          <c:invertIfNegative val="0"/>
          <c:cat>
            <c:strRef>
              <c:f>[1]Model!$AW$3:$BQ$3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Model!$AU$122:$BT$122</c:f>
              <c:numCache>
                <c:formatCode>0</c:formatCode>
                <c:ptCount val="26"/>
                <c:pt idx="0">
                  <c:v>355</c:v>
                </c:pt>
                <c:pt idx="1">
                  <c:v>680</c:v>
                </c:pt>
                <c:pt idx="2">
                  <c:v>1570</c:v>
                </c:pt>
                <c:pt idx="3">
                  <c:v>3119</c:v>
                </c:pt>
                <c:pt idx="4">
                  <c:v>2240</c:v>
                </c:pt>
                <c:pt idx="5">
                  <c:v>1715</c:v>
                </c:pt>
                <c:pt idx="6">
                  <c:v>2240</c:v>
                </c:pt>
                <c:pt idx="7">
                  <c:v>2453</c:v>
                </c:pt>
                <c:pt idx="8">
                  <c:v>1744</c:v>
                </c:pt>
                <c:pt idx="9">
                  <c:v>2031</c:v>
                </c:pt>
                <c:pt idx="10">
                  <c:v>2313</c:v>
                </c:pt>
                <c:pt idx="11">
                  <c:v>1716</c:v>
                </c:pt>
                <c:pt idx="12">
                  <c:v>763</c:v>
                </c:pt>
                <c:pt idx="13">
                  <c:v>696</c:v>
                </c:pt>
                <c:pt idx="14">
                  <c:v>1317</c:v>
                </c:pt>
                <c:pt idx="15">
                  <c:v>2283</c:v>
                </c:pt>
                <c:pt idx="16">
                  <c:v>627</c:v>
                </c:pt>
                <c:pt idx="17">
                  <c:v>1427</c:v>
                </c:pt>
                <c:pt idx="18">
                  <c:v>2149</c:v>
                </c:pt>
                <c:pt idx="19">
                  <c:v>2148</c:v>
                </c:pt>
                <c:pt idx="20">
                  <c:v>933</c:v>
                </c:pt>
                <c:pt idx="21">
                  <c:v>1545</c:v>
                </c:pt>
                <c:pt idx="22">
                  <c:v>2291</c:v>
                </c:pt>
                <c:pt idx="23">
                  <c:v>2626</c:v>
                </c:pt>
                <c:pt idx="24">
                  <c:v>916</c:v>
                </c:pt>
                <c:pt idx="25">
                  <c:v>1991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46-4EF6-8D0F-B65629DF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v>Revenues</c:v>
          </c:tx>
          <c:spPr>
            <a:ln w="28575"/>
          </c:spPr>
          <c:marker>
            <c:symbol val="none"/>
          </c:marker>
          <c:cat>
            <c:strRef>
              <c:f>Model!$AU$1:$BS$1</c:f>
              <c:strCache>
                <c:ptCount val="25"/>
                <c:pt idx="0">
                  <c:v>Q1 2020</c:v>
                </c:pt>
                <c:pt idx="4">
                  <c:v>Q1 2021</c:v>
                </c:pt>
                <c:pt idx="8">
                  <c:v>Q1 2022</c:v>
                </c:pt>
                <c:pt idx="12">
                  <c:v>Q1 2023</c:v>
                </c:pt>
                <c:pt idx="16">
                  <c:v>Q1 2024</c:v>
                </c:pt>
                <c:pt idx="20">
                  <c:v>Q1 2025</c:v>
                </c:pt>
                <c:pt idx="24">
                  <c:v>Q1 2026</c:v>
                </c:pt>
              </c:strCache>
            </c:strRef>
          </c:cat>
          <c:val>
            <c:numRef>
              <c:f>Model!$AU$61:$BT$61</c:f>
              <c:numCache>
                <c:formatCode>General</c:formatCode>
                <c:ptCount val="26"/>
                <c:pt idx="0">
                  <c:v>7726</c:v>
                </c:pt>
                <c:pt idx="1">
                  <c:v>7328</c:v>
                </c:pt>
                <c:pt idx="2">
                  <c:v>8853</c:v>
                </c:pt>
                <c:pt idx="3">
                  <c:v>10701</c:v>
                </c:pt>
                <c:pt idx="4">
                  <c:v>10456</c:v>
                </c:pt>
                <c:pt idx="5">
                  <c:v>10223</c:v>
                </c:pt>
                <c:pt idx="6">
                  <c:v>10928</c:v>
                </c:pt>
                <c:pt idx="7">
                  <c:v>11468</c:v>
                </c:pt>
                <c:pt idx="8">
                  <c:v>11895</c:v>
                </c:pt>
                <c:pt idx="9">
                  <c:v>11257</c:v>
                </c:pt>
                <c:pt idx="10">
                  <c:v>10410</c:v>
                </c:pt>
                <c:pt idx="11">
                  <c:v>10091</c:v>
                </c:pt>
                <c:pt idx="12">
                  <c:v>9747</c:v>
                </c:pt>
                <c:pt idx="13">
                  <c:v>9978</c:v>
                </c:pt>
                <c:pt idx="14">
                  <c:v>10143</c:v>
                </c:pt>
                <c:pt idx="15">
                  <c:v>10241</c:v>
                </c:pt>
                <c:pt idx="16">
                  <c:v>9964</c:v>
                </c:pt>
                <c:pt idx="17">
                  <c:v>10377</c:v>
                </c:pt>
                <c:pt idx="18">
                  <c:v>10635</c:v>
                </c:pt>
                <c:pt idx="19">
                  <c:v>10974</c:v>
                </c:pt>
                <c:pt idx="20">
                  <c:v>10358</c:v>
                </c:pt>
                <c:pt idx="21">
                  <c:v>11142</c:v>
                </c:pt>
                <c:pt idx="22">
                  <c:v>11369</c:v>
                </c:pt>
                <c:pt idx="23">
                  <c:v>11459</c:v>
                </c:pt>
                <c:pt idx="24">
                  <c:v>11164</c:v>
                </c:pt>
                <c:pt idx="25">
                  <c:v>12593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646-4EF6-8D0F-B65629DF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(ABT) Historical Return Histogram + Normal Distribution Overlay</a:t>
            </a:r>
          </a:p>
        </c:rich>
      </c:tx>
      <c:layout>
        <c:manualLayout>
          <c:xMode val="edge"/>
          <c:yMode val="edge"/>
          <c:x val="0.26993827160493827"/>
          <c:y val="9.08483681719537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764362787984838E-2"/>
          <c:y val="6.1527057344455703E-2"/>
          <c:w val="0.93313376105764534"/>
          <c:h val="0.8721575682681670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'Notes | Quant Analysis'!$I$282</c:f>
              <c:strCache>
                <c:ptCount val="1"/>
                <c:pt idx="0">
                  <c:v>Histogram Data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127000" cap="flat" cmpd="sng" algn="ctr">
                <a:solidFill>
                  <a:srgbClr val="00B0F0"/>
                </a:solidFill>
                <a:round/>
              </a:ln>
              <a:effectLst/>
            </c:spPr>
          </c:errBars>
          <c:xVal>
            <c:numRef>
              <c:f>'Notes | Quant Analysis'!$I$284:$I$364</c:f>
              <c:numCache>
                <c:formatCode>0.00%</c:formatCode>
                <c:ptCount val="81"/>
                <c:pt idx="0">
                  <c:v>-0.04</c:v>
                </c:pt>
                <c:pt idx="1">
                  <c:v>-3.9E-2</c:v>
                </c:pt>
                <c:pt idx="2">
                  <c:v>-3.7999999999999999E-2</c:v>
                </c:pt>
                <c:pt idx="3">
                  <c:v>-3.6999999999999998E-2</c:v>
                </c:pt>
                <c:pt idx="4">
                  <c:v>-3.5999999999999997E-2</c:v>
                </c:pt>
                <c:pt idx="5">
                  <c:v>-3.4999999999999996E-2</c:v>
                </c:pt>
                <c:pt idx="6">
                  <c:v>-3.3999999999999996E-2</c:v>
                </c:pt>
                <c:pt idx="7">
                  <c:v>-3.2999999999999995E-2</c:v>
                </c:pt>
                <c:pt idx="8">
                  <c:v>-3.1999999999999994E-2</c:v>
                </c:pt>
                <c:pt idx="9">
                  <c:v>-3.0999999999999993E-2</c:v>
                </c:pt>
                <c:pt idx="10">
                  <c:v>-2.9999999999999992E-2</c:v>
                </c:pt>
                <c:pt idx="11">
                  <c:v>-2.8999999999999991E-2</c:v>
                </c:pt>
                <c:pt idx="12">
                  <c:v>-2.799999999999999E-2</c:v>
                </c:pt>
                <c:pt idx="13">
                  <c:v>-2.6999999999999989E-2</c:v>
                </c:pt>
                <c:pt idx="14">
                  <c:v>-2.5999999999999988E-2</c:v>
                </c:pt>
                <c:pt idx="15">
                  <c:v>-2.4999999999999988E-2</c:v>
                </c:pt>
                <c:pt idx="16">
                  <c:v>-2.3999999999999987E-2</c:v>
                </c:pt>
                <c:pt idx="17">
                  <c:v>-2.2999999999999986E-2</c:v>
                </c:pt>
                <c:pt idx="18">
                  <c:v>-2.1999999999999985E-2</c:v>
                </c:pt>
                <c:pt idx="19">
                  <c:v>-2.0999999999999984E-2</c:v>
                </c:pt>
                <c:pt idx="20">
                  <c:v>-1.9999999999999983E-2</c:v>
                </c:pt>
                <c:pt idx="21">
                  <c:v>-1.8999999999999982E-2</c:v>
                </c:pt>
                <c:pt idx="22">
                  <c:v>-1.7999999999999981E-2</c:v>
                </c:pt>
                <c:pt idx="23">
                  <c:v>-1.699999999999998E-2</c:v>
                </c:pt>
                <c:pt idx="24">
                  <c:v>-1.599999999999998E-2</c:v>
                </c:pt>
                <c:pt idx="25">
                  <c:v>-1.4999999999999979E-2</c:v>
                </c:pt>
                <c:pt idx="26">
                  <c:v>-1.3999999999999978E-2</c:v>
                </c:pt>
                <c:pt idx="27">
                  <c:v>-1.2999999999999977E-2</c:v>
                </c:pt>
                <c:pt idx="28">
                  <c:v>-1.1999999999999976E-2</c:v>
                </c:pt>
                <c:pt idx="29">
                  <c:v>-1.0999999999999975E-2</c:v>
                </c:pt>
                <c:pt idx="30">
                  <c:v>-9.9999999999999742E-3</c:v>
                </c:pt>
                <c:pt idx="31">
                  <c:v>-8.9999999999999733E-3</c:v>
                </c:pt>
                <c:pt idx="32">
                  <c:v>-7.9999999999999724E-3</c:v>
                </c:pt>
                <c:pt idx="33">
                  <c:v>-6.9999999999999724E-3</c:v>
                </c:pt>
                <c:pt idx="34">
                  <c:v>-5.9999999999999724E-3</c:v>
                </c:pt>
                <c:pt idx="35">
                  <c:v>-4.9999999999999723E-3</c:v>
                </c:pt>
                <c:pt idx="36">
                  <c:v>-3.9999999999999723E-3</c:v>
                </c:pt>
                <c:pt idx="37">
                  <c:v>-2.9999999999999723E-3</c:v>
                </c:pt>
                <c:pt idx="38">
                  <c:v>-1.9999999999999723E-3</c:v>
                </c:pt>
                <c:pt idx="39">
                  <c:v>-9.9999999999997227E-4</c:v>
                </c:pt>
                <c:pt idx="40">
                  <c:v>2.7755575615628914E-17</c:v>
                </c:pt>
                <c:pt idx="41">
                  <c:v>1.0000000000000278E-3</c:v>
                </c:pt>
                <c:pt idx="42">
                  <c:v>2.0000000000000278E-3</c:v>
                </c:pt>
                <c:pt idx="43">
                  <c:v>3.0000000000000278E-3</c:v>
                </c:pt>
                <c:pt idx="44">
                  <c:v>4.0000000000000278E-3</c:v>
                </c:pt>
                <c:pt idx="45">
                  <c:v>5.0000000000000279E-3</c:v>
                </c:pt>
                <c:pt idx="46">
                  <c:v>6.0000000000000279E-3</c:v>
                </c:pt>
                <c:pt idx="47">
                  <c:v>7.0000000000000279E-3</c:v>
                </c:pt>
                <c:pt idx="48">
                  <c:v>8.0000000000000279E-3</c:v>
                </c:pt>
                <c:pt idx="49">
                  <c:v>9.0000000000000288E-3</c:v>
                </c:pt>
                <c:pt idx="50">
                  <c:v>1.000000000000003E-2</c:v>
                </c:pt>
                <c:pt idx="51">
                  <c:v>1.1000000000000031E-2</c:v>
                </c:pt>
                <c:pt idx="52">
                  <c:v>1.2000000000000031E-2</c:v>
                </c:pt>
                <c:pt idx="53">
                  <c:v>1.3000000000000032E-2</c:v>
                </c:pt>
                <c:pt idx="54">
                  <c:v>1.4000000000000033E-2</c:v>
                </c:pt>
                <c:pt idx="55">
                  <c:v>1.5000000000000034E-2</c:v>
                </c:pt>
                <c:pt idx="56">
                  <c:v>1.6000000000000035E-2</c:v>
                </c:pt>
                <c:pt idx="57">
                  <c:v>1.7000000000000036E-2</c:v>
                </c:pt>
                <c:pt idx="58">
                  <c:v>1.8000000000000037E-2</c:v>
                </c:pt>
                <c:pt idx="59">
                  <c:v>1.9000000000000038E-2</c:v>
                </c:pt>
                <c:pt idx="60">
                  <c:v>2.0000000000000039E-2</c:v>
                </c:pt>
                <c:pt idx="61">
                  <c:v>2.1000000000000039E-2</c:v>
                </c:pt>
                <c:pt idx="62">
                  <c:v>2.200000000000004E-2</c:v>
                </c:pt>
                <c:pt idx="63">
                  <c:v>2.3000000000000041E-2</c:v>
                </c:pt>
                <c:pt idx="64">
                  <c:v>2.4000000000000042E-2</c:v>
                </c:pt>
                <c:pt idx="65">
                  <c:v>2.5000000000000043E-2</c:v>
                </c:pt>
                <c:pt idx="66">
                  <c:v>2.6000000000000044E-2</c:v>
                </c:pt>
                <c:pt idx="67">
                  <c:v>2.7000000000000045E-2</c:v>
                </c:pt>
                <c:pt idx="68">
                  <c:v>2.8000000000000046E-2</c:v>
                </c:pt>
                <c:pt idx="69">
                  <c:v>2.9000000000000047E-2</c:v>
                </c:pt>
                <c:pt idx="70">
                  <c:v>3.0000000000000047E-2</c:v>
                </c:pt>
                <c:pt idx="71">
                  <c:v>3.1000000000000048E-2</c:v>
                </c:pt>
                <c:pt idx="72">
                  <c:v>3.2000000000000049E-2</c:v>
                </c:pt>
                <c:pt idx="73">
                  <c:v>3.300000000000005E-2</c:v>
                </c:pt>
                <c:pt idx="74">
                  <c:v>3.4000000000000051E-2</c:v>
                </c:pt>
                <c:pt idx="75">
                  <c:v>3.5000000000000052E-2</c:v>
                </c:pt>
                <c:pt idx="76">
                  <c:v>3.6000000000000053E-2</c:v>
                </c:pt>
                <c:pt idx="77">
                  <c:v>3.7000000000000054E-2</c:v>
                </c:pt>
                <c:pt idx="78">
                  <c:v>3.8000000000000055E-2</c:v>
                </c:pt>
                <c:pt idx="79">
                  <c:v>3.9000000000000055E-2</c:v>
                </c:pt>
                <c:pt idx="80">
                  <c:v>4.0000000000000056E-2</c:v>
                </c:pt>
              </c:numCache>
            </c:numRef>
          </c:xVal>
          <c:yVal>
            <c:numRef>
              <c:f>'Notes | Quant Analysis'!$J$284:$J$364</c:f>
              <c:numCache>
                <c:formatCode>General</c:formatCode>
                <c:ptCount val="8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5</c:v>
                </c:pt>
                <c:pt idx="14">
                  <c:v>3</c:v>
                </c:pt>
                <c:pt idx="15">
                  <c:v>4</c:v>
                </c:pt>
                <c:pt idx="16">
                  <c:v>3</c:v>
                </c:pt>
                <c:pt idx="17">
                  <c:v>4</c:v>
                </c:pt>
                <c:pt idx="18">
                  <c:v>5</c:v>
                </c:pt>
                <c:pt idx="19">
                  <c:v>7</c:v>
                </c:pt>
                <c:pt idx="20">
                  <c:v>10</c:v>
                </c:pt>
                <c:pt idx="21">
                  <c:v>9</c:v>
                </c:pt>
                <c:pt idx="22">
                  <c:v>6</c:v>
                </c:pt>
                <c:pt idx="23">
                  <c:v>9</c:v>
                </c:pt>
                <c:pt idx="24">
                  <c:v>15</c:v>
                </c:pt>
                <c:pt idx="25">
                  <c:v>17</c:v>
                </c:pt>
                <c:pt idx="26">
                  <c:v>12</c:v>
                </c:pt>
                <c:pt idx="27">
                  <c:v>14</c:v>
                </c:pt>
                <c:pt idx="28">
                  <c:v>18</c:v>
                </c:pt>
                <c:pt idx="29">
                  <c:v>25</c:v>
                </c:pt>
                <c:pt idx="30">
                  <c:v>32</c:v>
                </c:pt>
                <c:pt idx="31">
                  <c:v>24</c:v>
                </c:pt>
                <c:pt idx="32">
                  <c:v>31</c:v>
                </c:pt>
                <c:pt idx="33">
                  <c:v>30</c:v>
                </c:pt>
                <c:pt idx="34">
                  <c:v>37</c:v>
                </c:pt>
                <c:pt idx="35">
                  <c:v>50</c:v>
                </c:pt>
                <c:pt idx="36">
                  <c:v>31</c:v>
                </c:pt>
                <c:pt idx="37">
                  <c:v>52</c:v>
                </c:pt>
                <c:pt idx="38">
                  <c:v>40</c:v>
                </c:pt>
                <c:pt idx="39">
                  <c:v>60</c:v>
                </c:pt>
                <c:pt idx="40">
                  <c:v>52</c:v>
                </c:pt>
                <c:pt idx="41">
                  <c:v>29</c:v>
                </c:pt>
                <c:pt idx="42">
                  <c:v>48</c:v>
                </c:pt>
                <c:pt idx="43">
                  <c:v>57</c:v>
                </c:pt>
                <c:pt idx="44">
                  <c:v>50</c:v>
                </c:pt>
                <c:pt idx="45">
                  <c:v>52</c:v>
                </c:pt>
                <c:pt idx="46">
                  <c:v>36</c:v>
                </c:pt>
                <c:pt idx="47">
                  <c:v>47</c:v>
                </c:pt>
                <c:pt idx="48">
                  <c:v>40</c:v>
                </c:pt>
                <c:pt idx="49">
                  <c:v>31</c:v>
                </c:pt>
                <c:pt idx="50">
                  <c:v>28</c:v>
                </c:pt>
                <c:pt idx="51">
                  <c:v>27</c:v>
                </c:pt>
                <c:pt idx="52">
                  <c:v>23</c:v>
                </c:pt>
                <c:pt idx="53">
                  <c:v>21</c:v>
                </c:pt>
                <c:pt idx="54">
                  <c:v>17</c:v>
                </c:pt>
                <c:pt idx="55">
                  <c:v>23</c:v>
                </c:pt>
                <c:pt idx="56">
                  <c:v>10</c:v>
                </c:pt>
                <c:pt idx="57">
                  <c:v>15</c:v>
                </c:pt>
                <c:pt idx="58">
                  <c:v>7</c:v>
                </c:pt>
                <c:pt idx="59">
                  <c:v>9</c:v>
                </c:pt>
                <c:pt idx="60">
                  <c:v>11</c:v>
                </c:pt>
                <c:pt idx="61">
                  <c:v>5</c:v>
                </c:pt>
                <c:pt idx="62">
                  <c:v>6</c:v>
                </c:pt>
                <c:pt idx="63">
                  <c:v>7</c:v>
                </c:pt>
                <c:pt idx="64">
                  <c:v>7</c:v>
                </c:pt>
                <c:pt idx="65">
                  <c:v>1</c:v>
                </c:pt>
                <c:pt idx="66">
                  <c:v>1</c:v>
                </c:pt>
                <c:pt idx="67">
                  <c:v>4</c:v>
                </c:pt>
                <c:pt idx="68">
                  <c:v>1</c:v>
                </c:pt>
                <c:pt idx="69">
                  <c:v>5</c:v>
                </c:pt>
                <c:pt idx="70">
                  <c:v>3</c:v>
                </c:pt>
                <c:pt idx="71">
                  <c:v>0</c:v>
                </c:pt>
                <c:pt idx="72">
                  <c:v>2</c:v>
                </c:pt>
                <c:pt idx="73">
                  <c:v>5</c:v>
                </c:pt>
                <c:pt idx="74">
                  <c:v>0</c:v>
                </c:pt>
                <c:pt idx="75">
                  <c:v>3</c:v>
                </c:pt>
                <c:pt idx="76">
                  <c:v>2</c:v>
                </c:pt>
                <c:pt idx="77">
                  <c:v>0</c:v>
                </c:pt>
                <c:pt idx="78">
                  <c:v>1</c:v>
                </c:pt>
                <c:pt idx="79">
                  <c:v>0</c:v>
                </c:pt>
                <c:pt idx="8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C7-4862-86E9-AF862A5BA0AD}"/>
            </c:ext>
          </c:extLst>
        </c:ser>
        <c:ser>
          <c:idx val="1"/>
          <c:order val="1"/>
          <c:tx>
            <c:strRef>
              <c:f>'Notes | Quant Analysis'!$L$282</c:f>
              <c:strCache>
                <c:ptCount val="1"/>
                <c:pt idx="0">
                  <c:v>Distribution Overlay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Analysis'!$L$284:$L$364</c:f>
              <c:numCache>
                <c:formatCode>0.00%</c:formatCode>
                <c:ptCount val="81"/>
                <c:pt idx="0">
                  <c:v>-0.04</c:v>
                </c:pt>
                <c:pt idx="1">
                  <c:v>-3.9E-2</c:v>
                </c:pt>
                <c:pt idx="2">
                  <c:v>-3.7999999999999999E-2</c:v>
                </c:pt>
                <c:pt idx="3">
                  <c:v>-3.6999999999999998E-2</c:v>
                </c:pt>
                <c:pt idx="4">
                  <c:v>-3.5999999999999997E-2</c:v>
                </c:pt>
                <c:pt idx="5">
                  <c:v>-3.4999999999999996E-2</c:v>
                </c:pt>
                <c:pt idx="6">
                  <c:v>-3.3999999999999996E-2</c:v>
                </c:pt>
                <c:pt idx="7">
                  <c:v>-3.2999999999999995E-2</c:v>
                </c:pt>
                <c:pt idx="8">
                  <c:v>-3.1999999999999994E-2</c:v>
                </c:pt>
                <c:pt idx="9">
                  <c:v>-3.0999999999999993E-2</c:v>
                </c:pt>
                <c:pt idx="10">
                  <c:v>-2.9999999999999992E-2</c:v>
                </c:pt>
                <c:pt idx="11">
                  <c:v>-2.8999999999999991E-2</c:v>
                </c:pt>
                <c:pt idx="12">
                  <c:v>-2.799999999999999E-2</c:v>
                </c:pt>
                <c:pt idx="13">
                  <c:v>-2.6999999999999989E-2</c:v>
                </c:pt>
                <c:pt idx="14">
                  <c:v>-2.5999999999999988E-2</c:v>
                </c:pt>
                <c:pt idx="15">
                  <c:v>-2.4999999999999988E-2</c:v>
                </c:pt>
                <c:pt idx="16">
                  <c:v>-2.3999999999999987E-2</c:v>
                </c:pt>
                <c:pt idx="17">
                  <c:v>-2.2999999999999986E-2</c:v>
                </c:pt>
                <c:pt idx="18">
                  <c:v>-2.1999999999999985E-2</c:v>
                </c:pt>
                <c:pt idx="19">
                  <c:v>-2.0999999999999984E-2</c:v>
                </c:pt>
                <c:pt idx="20">
                  <c:v>-1.9999999999999983E-2</c:v>
                </c:pt>
                <c:pt idx="21">
                  <c:v>-1.8999999999999982E-2</c:v>
                </c:pt>
                <c:pt idx="22">
                  <c:v>-1.7999999999999981E-2</c:v>
                </c:pt>
                <c:pt idx="23">
                  <c:v>-1.699999999999998E-2</c:v>
                </c:pt>
                <c:pt idx="24">
                  <c:v>-1.599999999999998E-2</c:v>
                </c:pt>
                <c:pt idx="25">
                  <c:v>-1.4999999999999979E-2</c:v>
                </c:pt>
                <c:pt idx="26">
                  <c:v>-1.3999999999999978E-2</c:v>
                </c:pt>
                <c:pt idx="27">
                  <c:v>-1.2999999999999977E-2</c:v>
                </c:pt>
                <c:pt idx="28">
                  <c:v>-1.1999999999999976E-2</c:v>
                </c:pt>
                <c:pt idx="29">
                  <c:v>-1.0999999999999975E-2</c:v>
                </c:pt>
                <c:pt idx="30">
                  <c:v>-9.9999999999999742E-3</c:v>
                </c:pt>
                <c:pt idx="31">
                  <c:v>-8.9999999999999733E-3</c:v>
                </c:pt>
                <c:pt idx="32">
                  <c:v>-7.9999999999999724E-3</c:v>
                </c:pt>
                <c:pt idx="33">
                  <c:v>-6.9999999999999724E-3</c:v>
                </c:pt>
                <c:pt idx="34">
                  <c:v>-5.9999999999999724E-3</c:v>
                </c:pt>
                <c:pt idx="35">
                  <c:v>-4.9999999999999723E-3</c:v>
                </c:pt>
                <c:pt idx="36">
                  <c:v>-3.9999999999999723E-3</c:v>
                </c:pt>
                <c:pt idx="37">
                  <c:v>-2.9999999999999723E-3</c:v>
                </c:pt>
                <c:pt idx="38">
                  <c:v>-1.9999999999999723E-3</c:v>
                </c:pt>
                <c:pt idx="39">
                  <c:v>-9.9999999999997227E-4</c:v>
                </c:pt>
                <c:pt idx="40">
                  <c:v>2.7755575615628914E-17</c:v>
                </c:pt>
                <c:pt idx="41">
                  <c:v>1.0000000000000278E-3</c:v>
                </c:pt>
                <c:pt idx="42">
                  <c:v>2.0000000000000278E-3</c:v>
                </c:pt>
                <c:pt idx="43">
                  <c:v>3.0000000000000278E-3</c:v>
                </c:pt>
                <c:pt idx="44">
                  <c:v>4.0000000000000278E-3</c:v>
                </c:pt>
                <c:pt idx="45">
                  <c:v>5.0000000000000279E-3</c:v>
                </c:pt>
                <c:pt idx="46">
                  <c:v>6.0000000000000279E-3</c:v>
                </c:pt>
                <c:pt idx="47">
                  <c:v>7.0000000000000279E-3</c:v>
                </c:pt>
                <c:pt idx="48">
                  <c:v>8.0000000000000279E-3</c:v>
                </c:pt>
                <c:pt idx="49">
                  <c:v>9.0000000000000288E-3</c:v>
                </c:pt>
                <c:pt idx="50">
                  <c:v>1.000000000000003E-2</c:v>
                </c:pt>
                <c:pt idx="51">
                  <c:v>1.1000000000000031E-2</c:v>
                </c:pt>
                <c:pt idx="52">
                  <c:v>1.2000000000000031E-2</c:v>
                </c:pt>
                <c:pt idx="53">
                  <c:v>1.3000000000000032E-2</c:v>
                </c:pt>
                <c:pt idx="54">
                  <c:v>1.4000000000000033E-2</c:v>
                </c:pt>
                <c:pt idx="55">
                  <c:v>1.5000000000000034E-2</c:v>
                </c:pt>
                <c:pt idx="56">
                  <c:v>1.6000000000000035E-2</c:v>
                </c:pt>
                <c:pt idx="57">
                  <c:v>1.7000000000000036E-2</c:v>
                </c:pt>
                <c:pt idx="58">
                  <c:v>1.8000000000000037E-2</c:v>
                </c:pt>
                <c:pt idx="59">
                  <c:v>1.9000000000000038E-2</c:v>
                </c:pt>
                <c:pt idx="60">
                  <c:v>2.0000000000000039E-2</c:v>
                </c:pt>
                <c:pt idx="61">
                  <c:v>2.1000000000000039E-2</c:v>
                </c:pt>
                <c:pt idx="62">
                  <c:v>2.200000000000004E-2</c:v>
                </c:pt>
                <c:pt idx="63">
                  <c:v>2.3000000000000041E-2</c:v>
                </c:pt>
                <c:pt idx="64">
                  <c:v>2.4000000000000042E-2</c:v>
                </c:pt>
                <c:pt idx="65">
                  <c:v>2.5000000000000043E-2</c:v>
                </c:pt>
                <c:pt idx="66">
                  <c:v>2.6000000000000044E-2</c:v>
                </c:pt>
                <c:pt idx="67">
                  <c:v>2.7000000000000045E-2</c:v>
                </c:pt>
                <c:pt idx="68">
                  <c:v>2.8000000000000046E-2</c:v>
                </c:pt>
                <c:pt idx="69">
                  <c:v>2.9000000000000047E-2</c:v>
                </c:pt>
                <c:pt idx="70">
                  <c:v>3.0000000000000047E-2</c:v>
                </c:pt>
                <c:pt idx="71">
                  <c:v>3.1000000000000048E-2</c:v>
                </c:pt>
                <c:pt idx="72">
                  <c:v>3.2000000000000049E-2</c:v>
                </c:pt>
                <c:pt idx="73">
                  <c:v>3.300000000000005E-2</c:v>
                </c:pt>
                <c:pt idx="74">
                  <c:v>3.4000000000000051E-2</c:v>
                </c:pt>
                <c:pt idx="75">
                  <c:v>3.5000000000000052E-2</c:v>
                </c:pt>
                <c:pt idx="76">
                  <c:v>3.6000000000000053E-2</c:v>
                </c:pt>
                <c:pt idx="77">
                  <c:v>3.7000000000000054E-2</c:v>
                </c:pt>
                <c:pt idx="78">
                  <c:v>3.8000000000000055E-2</c:v>
                </c:pt>
                <c:pt idx="79">
                  <c:v>3.9000000000000055E-2</c:v>
                </c:pt>
                <c:pt idx="80">
                  <c:v>4.0000000000000056E-2</c:v>
                </c:pt>
              </c:numCache>
            </c:numRef>
          </c:xVal>
          <c:yVal>
            <c:numRef>
              <c:f>'Notes | Quant Analysis'!$M$284:$M$364</c:f>
              <c:numCache>
                <c:formatCode>General</c:formatCode>
                <c:ptCount val="81"/>
                <c:pt idx="0">
                  <c:v>9.548152143612601E-2</c:v>
                </c:pt>
                <c:pt idx="1">
                  <c:v>0.12726977719888027</c:v>
                </c:pt>
                <c:pt idx="2">
                  <c:v>0.16842240464068003</c:v>
                </c:pt>
                <c:pt idx="3">
                  <c:v>0.22128046232259763</c:v>
                </c:pt>
                <c:pt idx="4">
                  <c:v>0.28863892821087617</c:v>
                </c:pt>
                <c:pt idx="5">
                  <c:v>0.37379661388629232</c:v>
                </c:pt>
                <c:pt idx="6">
                  <c:v>0.48060075555383835</c:v>
                </c:pt>
                <c:pt idx="7">
                  <c:v>0.61348247662195587</c:v>
                </c:pt>
                <c:pt idx="8">
                  <c:v>0.77747870334002889</c:v>
                </c:pt>
                <c:pt idx="9">
                  <c:v>0.97823560946548738</c:v>
                </c:pt>
                <c:pt idx="10">
                  <c:v>1.221988336194076</c:v>
                </c:pt>
                <c:pt idx="11">
                  <c:v>1.5155116527297732</c:v>
                </c:pt>
                <c:pt idx="12">
                  <c:v>1.8660364640152005</c:v>
                </c:pt>
                <c:pt idx="13">
                  <c:v>2.281127701973555</c:v>
                </c:pt>
                <c:pt idx="14">
                  <c:v>2.768520207827418</c:v>
                </c:pt>
                <c:pt idx="15">
                  <c:v>3.3359107562264585</c:v>
                </c:pt>
                <c:pt idx="16">
                  <c:v>3.9907063874267719</c:v>
                </c:pt>
                <c:pt idx="17">
                  <c:v>4.7397316647385184</c:v>
                </c:pt>
                <c:pt idx="18">
                  <c:v>5.5889002815472013</c:v>
                </c:pt>
                <c:pt idx="19">
                  <c:v>6.5428594812657996</c:v>
                </c:pt>
                <c:pt idx="20">
                  <c:v>7.6046188570156863</c:v>
                </c:pt>
                <c:pt idx="21">
                  <c:v>8.7751780603932623</c:v>
                </c:pt>
                <c:pt idx="22">
                  <c:v>10.053170537748937</c:v>
                </c:pt>
                <c:pt idx="23">
                  <c:v>11.434542382869951</c:v>
                </c:pt>
                <c:pt idx="24">
                  <c:v>12.912286507818612</c:v>
                </c:pt>
                <c:pt idx="25">
                  <c:v>14.476252377261345</c:v>
                </c:pt>
                <c:pt idx="26">
                  <c:v>16.113050363705913</c:v>
                </c:pt>
                <c:pt idx="27">
                  <c:v>17.80606726983126</c:v>
                </c:pt>
                <c:pt idx="28">
                  <c:v>19.535605725713783</c:v>
                </c:pt>
                <c:pt idx="29">
                  <c:v>21.279155099343612</c:v>
                </c:pt>
                <c:pt idx="30">
                  <c:v>23.011795458894504</c:v>
                </c:pt>
                <c:pt idx="31">
                  <c:v>24.706729295225269</c:v>
                </c:pt>
                <c:pt idx="32">
                  <c:v>26.33592853953299</c:v>
                </c:pt>
                <c:pt idx="33">
                  <c:v>27.870877343363343</c:v>
                </c:pt>
                <c:pt idx="34">
                  <c:v>29.283384607719483</c:v>
                </c:pt>
                <c:pt idx="35">
                  <c:v>30.546434831677399</c:v>
                </c:pt>
                <c:pt idx="36">
                  <c:v>31.635041931991204</c:v>
                </c:pt>
                <c:pt idx="37">
                  <c:v>32.527068615252894</c:v>
                </c:pt>
                <c:pt idx="38">
                  <c:v>33.203973899793944</c:v>
                </c:pt>
                <c:pt idx="39">
                  <c:v>33.651453581924329</c:v>
                </c:pt>
                <c:pt idx="40">
                  <c:v>33.859942762017887</c:v>
                </c:pt>
                <c:pt idx="41">
                  <c:v>33.824955776164842</c:v>
                </c:pt>
                <c:pt idx="42">
                  <c:v>33.547246660573627</c:v>
                </c:pt>
                <c:pt idx="43">
                  <c:v>33.03278213156819</c:v>
                </c:pt>
                <c:pt idx="44">
                  <c:v>32.292528433461435</c:v>
                </c:pt>
                <c:pt idx="45">
                  <c:v>31.342062689213463</c:v>
                </c:pt>
                <c:pt idx="46">
                  <c:v>30.201027990820471</c:v>
                </c:pt>
                <c:pt idx="47">
                  <c:v>28.892458847152263</c:v>
                </c:pt>
                <c:pt idx="48">
                  <c:v>27.442009320319507</c:v>
                </c:pt>
                <c:pt idx="49">
                  <c:v>25.877119908798726</c:v>
                </c:pt>
                <c:pt idx="50">
                  <c:v>24.226160806335209</c:v>
                </c:pt>
                <c:pt idx="51">
                  <c:v>22.517588566841308</c:v>
                </c:pt>
                <c:pt idx="52">
                  <c:v>20.779150575568671</c:v>
                </c:pt>
                <c:pt idx="53">
                  <c:v>19.037167338284718</c:v>
                </c:pt>
                <c:pt idx="54">
                  <c:v>17.315916831736224</c:v>
                </c:pt>
                <c:pt idx="55">
                  <c:v>15.637138460124561</c:v>
                </c:pt>
                <c:pt idx="56">
                  <c:v>14.019667015773676</c:v>
                </c:pt>
                <c:pt idx="57">
                  <c:v>12.479199923418268</c:v>
                </c:pt>
                <c:pt idx="58">
                  <c:v>11.028194390798228</c:v>
                </c:pt>
                <c:pt idx="59">
                  <c:v>9.6758852573088898</c:v>
                </c:pt>
                <c:pt idx="60">
                  <c:v>8.4284096001317668</c:v>
                </c:pt>
                <c:pt idx="61">
                  <c:v>7.2890206941768696</c:v>
                </c:pt>
                <c:pt idx="62">
                  <c:v>6.2583717949457984</c:v>
                </c:pt>
                <c:pt idx="63">
                  <c:v>5.3348493915029698</c:v>
                </c:pt>
                <c:pt idx="64">
                  <c:v>4.5149359461267924</c:v>
                </c:pt>
                <c:pt idx="65">
                  <c:v>3.7935835192634273</c:v>
                </c:pt>
                <c:pt idx="66">
                  <c:v>3.164581851355464</c:v>
                </c:pt>
                <c:pt idx="67">
                  <c:v>2.620907194130111</c:v>
                </c:pt>
                <c:pt idx="68">
                  <c:v>2.1550412097204816</c:v>
                </c:pt>
                <c:pt idx="69">
                  <c:v>1.7592523604630621</c:v>
                </c:pt>
                <c:pt idx="70">
                  <c:v>1.4258352000483665</c:v>
                </c:pt>
                <c:pt idx="71">
                  <c:v>1.1473056923918994</c:v>
                </c:pt>
                <c:pt idx="72">
                  <c:v>0.91655301687112212</c:v>
                </c:pt>
                <c:pt idx="73">
                  <c:v>0.72695020065266824</c:v>
                </c:pt>
                <c:pt idx="74">
                  <c:v>0.57242732515314199</c:v>
                </c:pt>
                <c:pt idx="75">
                  <c:v>0.44751199406635461</c:v>
                </c:pt>
                <c:pt idx="76">
                  <c:v>0.34734226260609141</c:v>
                </c:pt>
                <c:pt idx="77">
                  <c:v>0.26765736918371924</c:v>
                </c:pt>
                <c:pt idx="78">
                  <c:v>0.2047714509259406</c:v>
                </c:pt>
                <c:pt idx="79">
                  <c:v>0.15553503695793749</c:v>
                </c:pt>
                <c:pt idx="80">
                  <c:v>0.1172885703268681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C7-4862-86E9-AF862A5BA0AD}"/>
            </c:ext>
          </c:extLst>
        </c:ser>
        <c:ser>
          <c:idx val="2"/>
          <c:order val="2"/>
          <c:tx>
            <c:strRef>
              <c:f>'Notes | Quant Analysis'!$O$284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8C7-4862-86E9-AF862A5BA0AD}"/>
                </c:ext>
              </c:extLst>
            </c:dLbl>
            <c:dLbl>
              <c:idx val="1"/>
              <c:layout>
                <c:manualLayout>
                  <c:x val="-5.3767825896762905E-2"/>
                  <c:y val="-2.710325843415914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042629046369204"/>
                      <c:h val="7.744840525328329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Analysis'!$P$284:$P$285</c:f>
              <c:numCache>
                <c:formatCode>0.00%</c:formatCode>
                <c:ptCount val="2"/>
                <c:pt idx="0">
                  <c:v>3.5661813111414667E-4</c:v>
                </c:pt>
                <c:pt idx="1">
                  <c:v>3.5661813111414667E-4</c:v>
                </c:pt>
              </c:numCache>
            </c:numRef>
          </c:xVal>
          <c:yVal>
            <c:numRef>
              <c:f>'Notes | Quant Analysis'!$Q$284:$Q$285</c:f>
              <c:numCache>
                <c:formatCode>General</c:formatCode>
                <c:ptCount val="2"/>
                <c:pt idx="0">
                  <c:v>0</c:v>
                </c:pt>
                <c:pt idx="1">
                  <c:v>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8C7-4862-86E9-AF862A5BA0AD}"/>
            </c:ext>
          </c:extLst>
        </c:ser>
        <c:ser>
          <c:idx val="3"/>
          <c:order val="3"/>
          <c:tx>
            <c:strRef>
              <c:f>'Notes | Quant Analysis'!$O$286</c:f>
              <c:strCache>
                <c:ptCount val="1"/>
                <c:pt idx="0">
                  <c:v>-3σ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8C7-4862-86E9-AF862A5BA0AD}"/>
                </c:ext>
              </c:extLst>
            </c:dLbl>
            <c:dLbl>
              <c:idx val="1"/>
              <c:layout>
                <c:manualLayout>
                  <c:x val="-3.9479986876640435E-2"/>
                  <c:y val="-4.188483944197406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Analysis'!$P$286:$P$287</c:f>
              <c:numCache>
                <c:formatCode>0.00%</c:formatCode>
                <c:ptCount val="2"/>
                <c:pt idx="0">
                  <c:v>-3.4973572630877657E-2</c:v>
                </c:pt>
                <c:pt idx="1">
                  <c:v>-3.4973572630877657E-2</c:v>
                </c:pt>
              </c:numCache>
            </c:numRef>
          </c:xVal>
          <c:yVal>
            <c:numRef>
              <c:f>'Notes | Quant Analysis'!$Q$286:$Q$287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8C7-4862-86E9-AF862A5BA0AD}"/>
            </c:ext>
          </c:extLst>
        </c:ser>
        <c:ser>
          <c:idx val="4"/>
          <c:order val="4"/>
          <c:tx>
            <c:strRef>
              <c:f>'Notes | Quant Analysis'!$O$288</c:f>
              <c:strCache>
                <c:ptCount val="1"/>
                <c:pt idx="0">
                  <c:v>-2σ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8C7-4862-86E9-AF862A5BA0AD}"/>
                </c:ext>
              </c:extLst>
            </c:dLbl>
            <c:dLbl>
              <c:idx val="1"/>
              <c:layout>
                <c:manualLayout>
                  <c:x val="-5.6842738407699066E-2"/>
                  <c:y val="-4.626119671251224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Analysis'!$P$288:$P$289</c:f>
              <c:numCache>
                <c:formatCode>0.00%</c:formatCode>
                <c:ptCount val="2"/>
                <c:pt idx="0">
                  <c:v>-2.3196842376880387E-2</c:v>
                </c:pt>
                <c:pt idx="1">
                  <c:v>-2.3196842376880387E-2</c:v>
                </c:pt>
              </c:numCache>
            </c:numRef>
          </c:xVal>
          <c:yVal>
            <c:numRef>
              <c:f>'Notes | Quant Analysis'!$Q$288:$Q$289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8C7-4862-86E9-AF862A5BA0AD}"/>
            </c:ext>
          </c:extLst>
        </c:ser>
        <c:ser>
          <c:idx val="5"/>
          <c:order val="5"/>
          <c:tx>
            <c:strRef>
              <c:f>'Notes | Quant Analysis'!$O$290</c:f>
              <c:strCache>
                <c:ptCount val="1"/>
                <c:pt idx="0">
                  <c:v>-1σ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8C7-4862-86E9-AF862A5BA0AD}"/>
                </c:ext>
              </c:extLst>
            </c:dLbl>
            <c:dLbl>
              <c:idx val="1"/>
              <c:layout>
                <c:manualLayout>
                  <c:x val="-7.5888342082239768E-2"/>
                  <c:y val="-3.75536875901769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1659776902887152E-2"/>
                      <c:h val="5.220762976860536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Analysis'!$P$290:$P$291</c:f>
              <c:numCache>
                <c:formatCode>0.00%</c:formatCode>
                <c:ptCount val="2"/>
                <c:pt idx="0">
                  <c:v>-1.142011212288312E-2</c:v>
                </c:pt>
                <c:pt idx="1">
                  <c:v>-1.142011212288312E-2</c:v>
                </c:pt>
              </c:numCache>
            </c:numRef>
          </c:xVal>
          <c:yVal>
            <c:numRef>
              <c:f>'Notes | Quant Analysis'!$Q$290:$Q$291</c:f>
              <c:numCache>
                <c:formatCode>General</c:formatCode>
                <c:ptCount val="2"/>
                <c:pt idx="0">
                  <c:v>0</c:v>
                </c:pt>
                <c:pt idx="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28C7-4862-86E9-AF862A5BA0AD}"/>
            </c:ext>
          </c:extLst>
        </c:ser>
        <c:ser>
          <c:idx val="6"/>
          <c:order val="6"/>
          <c:tx>
            <c:strRef>
              <c:f>'Notes | Quant Analysis'!$O$292</c:f>
              <c:strCache>
                <c:ptCount val="1"/>
                <c:pt idx="0">
                  <c:v>1σ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8C7-4862-86E9-AF862A5BA0AD}"/>
                </c:ext>
              </c:extLst>
            </c:dLbl>
            <c:dLbl>
              <c:idx val="1"/>
              <c:layout>
                <c:manualLayout>
                  <c:x val="-2.4505249343832022E-2"/>
                  <c:y val="-4.0055349554101234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E2D-40A7-A22D-BAD8FA8D64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Analysis'!$P$292:$P$293</c:f>
              <c:numCache>
                <c:formatCode>0.00%</c:formatCode>
                <c:ptCount val="2"/>
                <c:pt idx="0">
                  <c:v>1.2133348385111414E-2</c:v>
                </c:pt>
                <c:pt idx="1">
                  <c:v>1.2133348385111414E-2</c:v>
                </c:pt>
              </c:numCache>
            </c:numRef>
          </c:xVal>
          <c:yVal>
            <c:numRef>
              <c:f>'Notes | Quant Analysis'!$Q$292:$Q$293</c:f>
              <c:numCache>
                <c:formatCode>General</c:formatCode>
                <c:ptCount val="2"/>
                <c:pt idx="0">
                  <c:v>0</c:v>
                </c:pt>
                <c:pt idx="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28C7-4862-86E9-AF862A5BA0AD}"/>
            </c:ext>
          </c:extLst>
        </c:ser>
        <c:ser>
          <c:idx val="7"/>
          <c:order val="7"/>
          <c:tx>
            <c:strRef>
              <c:f>'Notes | Quant Analysis'!$O$294</c:f>
              <c:strCache>
                <c:ptCount val="1"/>
                <c:pt idx="0">
                  <c:v>2σ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8C7-4862-86E9-AF862A5BA0AD}"/>
                </c:ext>
              </c:extLst>
            </c:dLbl>
            <c:dLbl>
              <c:idx val="1"/>
              <c:layout>
                <c:manualLayout>
                  <c:x val="-3.5201115485564302E-2"/>
                  <c:y val="-4.6408335918610551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Analysis'!$P$294:$P$295</c:f>
              <c:numCache>
                <c:formatCode>0.00%</c:formatCode>
                <c:ptCount val="2"/>
                <c:pt idx="0">
                  <c:v>2.391007863910868E-2</c:v>
                </c:pt>
                <c:pt idx="1">
                  <c:v>2.391007863910868E-2</c:v>
                </c:pt>
              </c:numCache>
            </c:numRef>
          </c:xVal>
          <c:yVal>
            <c:numRef>
              <c:f>'Notes | Quant Analysis'!$Q$294:$Q$295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28C7-4862-86E9-AF862A5BA0AD}"/>
            </c:ext>
          </c:extLst>
        </c:ser>
        <c:ser>
          <c:idx val="8"/>
          <c:order val="8"/>
          <c:tx>
            <c:strRef>
              <c:f>'Notes | Quant Analysis'!$O$296</c:f>
              <c:strCache>
                <c:ptCount val="1"/>
                <c:pt idx="0">
                  <c:v>3σ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8C7-4862-86E9-AF862A5BA0AD}"/>
                </c:ext>
              </c:extLst>
            </c:dLbl>
            <c:dLbl>
              <c:idx val="1"/>
              <c:layout>
                <c:manualLayout>
                  <c:x val="-2.8868875765529309E-2"/>
                  <c:y val="-4.9171874153629481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Analysis'!$P$296:$P$297</c:f>
              <c:numCache>
                <c:formatCode>0.00%</c:formatCode>
                <c:ptCount val="2"/>
                <c:pt idx="0">
                  <c:v>3.5686808893105944E-2</c:v>
                </c:pt>
                <c:pt idx="1">
                  <c:v>3.5686808893105944E-2</c:v>
                </c:pt>
              </c:numCache>
            </c:numRef>
          </c:xVal>
          <c:yVal>
            <c:numRef>
              <c:f>'Notes | Quant Analysis'!$Q$296:$Q$297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28C7-4862-86E9-AF862A5BA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098191"/>
        <c:axId val="1274092911"/>
      </c:scatterChart>
      <c:valAx>
        <c:axId val="1274098191"/>
        <c:scaling>
          <c:orientation val="minMax"/>
          <c:max val="4.5000000000000012E-2"/>
          <c:min val="-4.500000000000001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092911"/>
        <c:crossesAt val="0"/>
        <c:crossBetween val="midCat"/>
        <c:majorUnit val="1.0000000000000002E-2"/>
      </c:valAx>
      <c:valAx>
        <c:axId val="127409291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098191"/>
        <c:crossesAt val="-100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(ABT) Annual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00B050"/>
            </a:solidFill>
          </c:spPr>
          <c:invertIfNegative val="0"/>
          <c:cat>
            <c:strRef>
              <c:f>[1]Model!$AW$3:$BQ$3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Model!$CA$75:$CQ$75</c:f>
              <c:numCache>
                <c:formatCode>0</c:formatCode>
                <c:ptCount val="17"/>
                <c:pt idx="0">
                  <c:v>5745.8</c:v>
                </c:pt>
                <c:pt idx="1">
                  <c:v>4626.1999999999989</c:v>
                </c:pt>
                <c:pt idx="2">
                  <c:v>4728.7</c:v>
                </c:pt>
                <c:pt idx="3">
                  <c:v>236.70000000000005</c:v>
                </c:pt>
                <c:pt idx="4">
                  <c:v>1988</c:v>
                </c:pt>
                <c:pt idx="5">
                  <c:v>1718</c:v>
                </c:pt>
                <c:pt idx="6">
                  <c:v>2606</c:v>
                </c:pt>
                <c:pt idx="7">
                  <c:v>1063</c:v>
                </c:pt>
                <c:pt idx="8">
                  <c:v>353</c:v>
                </c:pt>
                <c:pt idx="9">
                  <c:v>2334</c:v>
                </c:pt>
                <c:pt idx="10">
                  <c:v>3687</c:v>
                </c:pt>
                <c:pt idx="11">
                  <c:v>4471</c:v>
                </c:pt>
                <c:pt idx="12">
                  <c:v>7071</c:v>
                </c:pt>
                <c:pt idx="13">
                  <c:v>6933</c:v>
                </c:pt>
                <c:pt idx="14">
                  <c:v>5723</c:v>
                </c:pt>
                <c:pt idx="15">
                  <c:v>13402</c:v>
                </c:pt>
                <c:pt idx="16" formatCode="General">
                  <c:v>6524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5C-48BA-84D0-EF540439F646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</c:spPr>
          <c:invertIfNegative val="0"/>
          <c:cat>
            <c:strRef>
              <c:f>[1]Model!$AW$3:$BQ$3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Model!$CA$122:$CQ$122</c:f>
              <c:numCache>
                <c:formatCode>0</c:formatCode>
                <c:ptCount val="17"/>
                <c:pt idx="0">
                  <c:v>8214.5</c:v>
                </c:pt>
                <c:pt idx="1">
                  <c:v>3796.6</c:v>
                </c:pt>
                <c:pt idx="2">
                  <c:v>8970</c:v>
                </c:pt>
                <c:pt idx="3">
                  <c:v>9313.9000000000015</c:v>
                </c:pt>
                <c:pt idx="4">
                  <c:v>3324</c:v>
                </c:pt>
                <c:pt idx="5">
                  <c:v>2598</c:v>
                </c:pt>
                <c:pt idx="6">
                  <c:v>1856</c:v>
                </c:pt>
                <c:pt idx="7">
                  <c:v>2082</c:v>
                </c:pt>
                <c:pt idx="8">
                  <c:v>4435</c:v>
                </c:pt>
                <c:pt idx="9">
                  <c:v>4906</c:v>
                </c:pt>
                <c:pt idx="10">
                  <c:v>4498</c:v>
                </c:pt>
                <c:pt idx="11">
                  <c:v>5724</c:v>
                </c:pt>
                <c:pt idx="12">
                  <c:v>8648</c:v>
                </c:pt>
                <c:pt idx="13">
                  <c:v>7804</c:v>
                </c:pt>
                <c:pt idx="14">
                  <c:v>5059</c:v>
                </c:pt>
                <c:pt idx="15">
                  <c:v>6351</c:v>
                </c:pt>
                <c:pt idx="16" formatCode="General">
                  <c:v>7395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5C-48BA-84D0-EF540439F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v>Revenues</c:v>
          </c:tx>
          <c:spPr>
            <a:ln w="28575">
              <a:solidFill>
                <a:srgbClr val="00B0F0"/>
              </a:solidFill>
            </a:ln>
          </c:spPr>
          <c:marker>
            <c:symbol val="none"/>
          </c:marker>
          <c:cat>
            <c:numRef>
              <c:f>Model!$CA$3:$CQ$3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Model!$CA$61:$CQ$61</c:f>
              <c:numCache>
                <c:formatCode>0</c:formatCode>
                <c:ptCount val="17"/>
                <c:pt idx="0">
                  <c:v>30764.699999999997</c:v>
                </c:pt>
                <c:pt idx="1">
                  <c:v>35166.699999999997</c:v>
                </c:pt>
                <c:pt idx="2">
                  <c:v>38850.800000000003</c:v>
                </c:pt>
                <c:pt idx="3">
                  <c:v>19050</c:v>
                </c:pt>
                <c:pt idx="4">
                  <c:v>19657</c:v>
                </c:pt>
                <c:pt idx="5">
                  <c:v>20222</c:v>
                </c:pt>
                <c:pt idx="6">
                  <c:v>20405</c:v>
                </c:pt>
                <c:pt idx="7">
                  <c:v>20853</c:v>
                </c:pt>
                <c:pt idx="8">
                  <c:v>27390</c:v>
                </c:pt>
                <c:pt idx="9">
                  <c:v>30578</c:v>
                </c:pt>
                <c:pt idx="10">
                  <c:v>31904</c:v>
                </c:pt>
                <c:pt idx="11">
                  <c:v>34608</c:v>
                </c:pt>
                <c:pt idx="12">
                  <c:v>43075</c:v>
                </c:pt>
                <c:pt idx="13">
                  <c:v>43653</c:v>
                </c:pt>
                <c:pt idx="14">
                  <c:v>40109</c:v>
                </c:pt>
                <c:pt idx="15">
                  <c:v>41950</c:v>
                </c:pt>
                <c:pt idx="16">
                  <c:v>44328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5C-48BA-84D0-EF540439F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(ABT) Revenue of Diagnostics Segment (in $ millions)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109587501048507E-2"/>
          <c:y val="0.13860043538261757"/>
          <c:w val="0.91646860416323306"/>
          <c:h val="0.7768813138841103"/>
        </c:manualLayout>
      </c:layout>
      <c:barChart>
        <c:barDir val="col"/>
        <c:grouping val="stacked"/>
        <c:varyColors val="0"/>
        <c:ser>
          <c:idx val="6"/>
          <c:order val="0"/>
          <c:tx>
            <c:strRef>
              <c:f>Model!$B$8</c:f>
              <c:strCache>
                <c:ptCount val="1"/>
                <c:pt idx="0">
                  <c:v>Core Lab</c:v>
                </c:pt>
              </c:strCache>
            </c:strRef>
          </c:tx>
          <c:spPr>
            <a:solidFill>
              <a:srgbClr val="3B87CD"/>
            </a:solidFill>
            <a:ln>
              <a:noFill/>
            </a:ln>
            <a:effectLst/>
          </c:spPr>
          <c:invertIfNegative val="0"/>
          <c:cat>
            <c:strRef>
              <c:f>Model!$AU$1:$BS$1</c:f>
              <c:strCache>
                <c:ptCount val="25"/>
                <c:pt idx="0">
                  <c:v>Q1 2020</c:v>
                </c:pt>
                <c:pt idx="4">
                  <c:v>Q1 2021</c:v>
                </c:pt>
                <c:pt idx="8">
                  <c:v>Q1 2022</c:v>
                </c:pt>
                <c:pt idx="12">
                  <c:v>Q1 2023</c:v>
                </c:pt>
                <c:pt idx="16">
                  <c:v>Q1 2024</c:v>
                </c:pt>
                <c:pt idx="20">
                  <c:v>Q1 2025</c:v>
                </c:pt>
                <c:pt idx="24">
                  <c:v>Q1 2026</c:v>
                </c:pt>
              </c:strCache>
            </c:strRef>
          </c:cat>
          <c:val>
            <c:numRef>
              <c:f>Model!$AU$8:$BT$8</c:f>
              <c:numCache>
                <c:formatCode>General</c:formatCode>
                <c:ptCount val="26"/>
                <c:pt idx="0">
                  <c:v>989</c:v>
                </c:pt>
                <c:pt idx="1">
                  <c:v>987</c:v>
                </c:pt>
                <c:pt idx="2">
                  <c:v>1176</c:v>
                </c:pt>
                <c:pt idx="3">
                  <c:v>1323</c:v>
                </c:pt>
                <c:pt idx="4">
                  <c:v>1182</c:v>
                </c:pt>
                <c:pt idx="5">
                  <c:v>1306</c:v>
                </c:pt>
                <c:pt idx="6">
                  <c:v>1292</c:v>
                </c:pt>
                <c:pt idx="7">
                  <c:v>1348</c:v>
                </c:pt>
                <c:pt idx="8">
                  <c:v>1184</c:v>
                </c:pt>
                <c:pt idx="9">
                  <c:v>1221</c:v>
                </c:pt>
                <c:pt idx="10">
                  <c:v>1219</c:v>
                </c:pt>
                <c:pt idx="11">
                  <c:v>1264</c:v>
                </c:pt>
                <c:pt idx="12">
                  <c:v>1182</c:v>
                </c:pt>
                <c:pt idx="13">
                  <c:v>1293</c:v>
                </c:pt>
                <c:pt idx="14">
                  <c:v>1314</c:v>
                </c:pt>
                <c:pt idx="15">
                  <c:v>1370</c:v>
                </c:pt>
                <c:pt idx="16">
                  <c:v>1205</c:v>
                </c:pt>
                <c:pt idx="17">
                  <c:v>1329</c:v>
                </c:pt>
                <c:pt idx="18">
                  <c:v>1314</c:v>
                </c:pt>
                <c:pt idx="19">
                  <c:v>1387</c:v>
                </c:pt>
                <c:pt idx="20">
                  <c:v>1177</c:v>
                </c:pt>
                <c:pt idx="21">
                  <c:v>1358</c:v>
                </c:pt>
                <c:pt idx="22">
                  <c:v>1364</c:v>
                </c:pt>
                <c:pt idx="23">
                  <c:v>1461</c:v>
                </c:pt>
                <c:pt idx="24">
                  <c:v>1272</c:v>
                </c:pt>
                <c:pt idx="25">
                  <c:v>1272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EA-4F1D-80DA-2C4A669439A9}"/>
            </c:ext>
          </c:extLst>
        </c:ser>
        <c:ser>
          <c:idx val="7"/>
          <c:order val="1"/>
          <c:tx>
            <c:strRef>
              <c:f>Model!$B$9</c:f>
              <c:strCache>
                <c:ptCount val="1"/>
                <c:pt idx="0">
                  <c:v>Molecular</c:v>
                </c:pt>
              </c:strCache>
            </c:strRef>
          </c:tx>
          <c:spPr>
            <a:solidFill>
              <a:srgbClr val="91C46E"/>
            </a:solidFill>
            <a:ln>
              <a:noFill/>
            </a:ln>
            <a:effectLst/>
          </c:spPr>
          <c:invertIfNegative val="0"/>
          <c:cat>
            <c:strRef>
              <c:f>Model!$AU$1:$BS$1</c:f>
              <c:strCache>
                <c:ptCount val="25"/>
                <c:pt idx="0">
                  <c:v>Q1 2020</c:v>
                </c:pt>
                <c:pt idx="4">
                  <c:v>Q1 2021</c:v>
                </c:pt>
                <c:pt idx="8">
                  <c:v>Q1 2022</c:v>
                </c:pt>
                <c:pt idx="12">
                  <c:v>Q1 2023</c:v>
                </c:pt>
                <c:pt idx="16">
                  <c:v>Q1 2024</c:v>
                </c:pt>
                <c:pt idx="20">
                  <c:v>Q1 2025</c:v>
                </c:pt>
                <c:pt idx="24">
                  <c:v>Q1 2026</c:v>
                </c:pt>
              </c:strCache>
            </c:strRef>
          </c:cat>
          <c:val>
            <c:numRef>
              <c:f>Model!$AU$9:$BT$9</c:f>
              <c:numCache>
                <c:formatCode>General</c:formatCode>
                <c:ptCount val="26"/>
                <c:pt idx="0">
                  <c:v>139</c:v>
                </c:pt>
                <c:pt idx="1">
                  <c:v>359</c:v>
                </c:pt>
                <c:pt idx="2">
                  <c:v>458</c:v>
                </c:pt>
                <c:pt idx="3">
                  <c:v>482</c:v>
                </c:pt>
                <c:pt idx="4">
                  <c:v>447</c:v>
                </c:pt>
                <c:pt idx="5">
                  <c:v>290</c:v>
                </c:pt>
                <c:pt idx="6">
                  <c:v>345</c:v>
                </c:pt>
                <c:pt idx="7">
                  <c:v>345</c:v>
                </c:pt>
                <c:pt idx="8">
                  <c:v>420</c:v>
                </c:pt>
                <c:pt idx="9">
                  <c:v>212</c:v>
                </c:pt>
                <c:pt idx="10">
                  <c:v>183</c:v>
                </c:pt>
                <c:pt idx="11">
                  <c:v>180</c:v>
                </c:pt>
                <c:pt idx="12">
                  <c:v>147</c:v>
                </c:pt>
                <c:pt idx="13">
                  <c:v>141</c:v>
                </c:pt>
                <c:pt idx="14">
                  <c:v>133</c:v>
                </c:pt>
                <c:pt idx="15">
                  <c:v>153</c:v>
                </c:pt>
                <c:pt idx="16">
                  <c:v>129</c:v>
                </c:pt>
                <c:pt idx="17">
                  <c:v>127</c:v>
                </c:pt>
                <c:pt idx="18">
                  <c:v>128</c:v>
                </c:pt>
                <c:pt idx="19">
                  <c:v>137</c:v>
                </c:pt>
                <c:pt idx="20">
                  <c:v>122</c:v>
                </c:pt>
                <c:pt idx="21">
                  <c:v>123</c:v>
                </c:pt>
                <c:pt idx="22">
                  <c:v>131</c:v>
                </c:pt>
                <c:pt idx="23">
                  <c:v>141</c:v>
                </c:pt>
                <c:pt idx="24">
                  <c:v>149</c:v>
                </c:pt>
                <c:pt idx="25">
                  <c:v>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EA-4F1D-80DA-2C4A669439A9}"/>
            </c:ext>
          </c:extLst>
        </c:ser>
        <c:ser>
          <c:idx val="8"/>
          <c:order val="2"/>
          <c:tx>
            <c:strRef>
              <c:f>Model!$B$10</c:f>
              <c:strCache>
                <c:ptCount val="1"/>
                <c:pt idx="0">
                  <c:v>Point of Care</c:v>
                </c:pt>
              </c:strCache>
            </c:strRef>
          </c:tx>
          <c:spPr>
            <a:solidFill>
              <a:srgbClr val="FFC000">
                <a:lumMod val="60000"/>
                <a:lumOff val="40000"/>
              </a:srgbClr>
            </a:solidFill>
            <a:ln>
              <a:noFill/>
            </a:ln>
            <a:effectLst/>
          </c:spPr>
          <c:invertIfNegative val="0"/>
          <c:cat>
            <c:strRef>
              <c:f>Model!$AU$1:$BS$1</c:f>
              <c:strCache>
                <c:ptCount val="25"/>
                <c:pt idx="0">
                  <c:v>Q1 2020</c:v>
                </c:pt>
                <c:pt idx="4">
                  <c:v>Q1 2021</c:v>
                </c:pt>
                <c:pt idx="8">
                  <c:v>Q1 2022</c:v>
                </c:pt>
                <c:pt idx="12">
                  <c:v>Q1 2023</c:v>
                </c:pt>
                <c:pt idx="16">
                  <c:v>Q1 2024</c:v>
                </c:pt>
                <c:pt idx="20">
                  <c:v>Q1 2025</c:v>
                </c:pt>
                <c:pt idx="24">
                  <c:v>Q1 2026</c:v>
                </c:pt>
              </c:strCache>
            </c:strRef>
          </c:cat>
          <c:val>
            <c:numRef>
              <c:f>Model!$AU$10:$BT$10</c:f>
              <c:numCache>
                <c:formatCode>General</c:formatCode>
                <c:ptCount val="26"/>
                <c:pt idx="0">
                  <c:v>138</c:v>
                </c:pt>
                <c:pt idx="1">
                  <c:v>118</c:v>
                </c:pt>
                <c:pt idx="2">
                  <c:v>131</c:v>
                </c:pt>
                <c:pt idx="3">
                  <c:v>129</c:v>
                </c:pt>
                <c:pt idx="4">
                  <c:v>129</c:v>
                </c:pt>
                <c:pt idx="5">
                  <c:v>137</c:v>
                </c:pt>
                <c:pt idx="6">
                  <c:v>135</c:v>
                </c:pt>
                <c:pt idx="7">
                  <c:v>135</c:v>
                </c:pt>
                <c:pt idx="8">
                  <c:v>128</c:v>
                </c:pt>
                <c:pt idx="9">
                  <c:v>139</c:v>
                </c:pt>
                <c:pt idx="10">
                  <c:v>127</c:v>
                </c:pt>
                <c:pt idx="11">
                  <c:v>131</c:v>
                </c:pt>
                <c:pt idx="12">
                  <c:v>134</c:v>
                </c:pt>
                <c:pt idx="13">
                  <c:v>142</c:v>
                </c:pt>
                <c:pt idx="14">
                  <c:v>140</c:v>
                </c:pt>
                <c:pt idx="15">
                  <c:v>149</c:v>
                </c:pt>
                <c:pt idx="16">
                  <c:v>139</c:v>
                </c:pt>
                <c:pt idx="17">
                  <c:v>156</c:v>
                </c:pt>
                <c:pt idx="18">
                  <c:v>146</c:v>
                </c:pt>
                <c:pt idx="19">
                  <c:v>147</c:v>
                </c:pt>
                <c:pt idx="20">
                  <c:v>142</c:v>
                </c:pt>
                <c:pt idx="21">
                  <c:v>148</c:v>
                </c:pt>
                <c:pt idx="22">
                  <c:v>158</c:v>
                </c:pt>
                <c:pt idx="23">
                  <c:v>158</c:v>
                </c:pt>
                <c:pt idx="24">
                  <c:v>96</c:v>
                </c:pt>
                <c:pt idx="25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EA-4F1D-80DA-2C4A669439A9}"/>
            </c:ext>
          </c:extLst>
        </c:ser>
        <c:ser>
          <c:idx val="9"/>
          <c:order val="3"/>
          <c:tx>
            <c:strRef>
              <c:f>Model!$B$11</c:f>
              <c:strCache>
                <c:ptCount val="1"/>
                <c:pt idx="0">
                  <c:v>Rapid Diagnostics</c:v>
                </c:pt>
              </c:strCache>
            </c:strRef>
          </c:tx>
          <c:spPr>
            <a:solidFill>
              <a:srgbClr val="FF5B5B"/>
            </a:solidFill>
            <a:ln>
              <a:noFill/>
            </a:ln>
            <a:effectLst/>
          </c:spPr>
          <c:invertIfNegative val="0"/>
          <c:cat>
            <c:strRef>
              <c:f>Model!$AU$1:$BS$1</c:f>
              <c:strCache>
                <c:ptCount val="25"/>
                <c:pt idx="0">
                  <c:v>Q1 2020</c:v>
                </c:pt>
                <c:pt idx="4">
                  <c:v>Q1 2021</c:v>
                </c:pt>
                <c:pt idx="8">
                  <c:v>Q1 2022</c:v>
                </c:pt>
                <c:pt idx="12">
                  <c:v>Q1 2023</c:v>
                </c:pt>
                <c:pt idx="16">
                  <c:v>Q1 2024</c:v>
                </c:pt>
                <c:pt idx="20">
                  <c:v>Q1 2025</c:v>
                </c:pt>
                <c:pt idx="24">
                  <c:v>Q1 2026</c:v>
                </c:pt>
              </c:strCache>
            </c:strRef>
          </c:cat>
          <c:val>
            <c:numRef>
              <c:f>Model!$AU$11:$BT$11</c:f>
              <c:numCache>
                <c:formatCode>General</c:formatCode>
                <c:ptCount val="26"/>
                <c:pt idx="0">
                  <c:v>560</c:v>
                </c:pt>
                <c:pt idx="1">
                  <c:v>530</c:v>
                </c:pt>
                <c:pt idx="2">
                  <c:v>875</c:v>
                </c:pt>
                <c:pt idx="3">
                  <c:v>2411</c:v>
                </c:pt>
                <c:pt idx="4">
                  <c:v>2256</c:v>
                </c:pt>
                <c:pt idx="5">
                  <c:v>1514</c:v>
                </c:pt>
                <c:pt idx="6">
                  <c:v>2140</c:v>
                </c:pt>
                <c:pt idx="7">
                  <c:v>2643</c:v>
                </c:pt>
                <c:pt idx="8">
                  <c:v>3525</c:v>
                </c:pt>
                <c:pt idx="9">
                  <c:v>2722</c:v>
                </c:pt>
                <c:pt idx="10">
                  <c:v>2112</c:v>
                </c:pt>
                <c:pt idx="11">
                  <c:v>1702</c:v>
                </c:pt>
                <c:pt idx="12">
                  <c:v>1225</c:v>
                </c:pt>
                <c:pt idx="13">
                  <c:v>741</c:v>
                </c:pt>
                <c:pt idx="14">
                  <c:v>862</c:v>
                </c:pt>
                <c:pt idx="15">
                  <c:v>862</c:v>
                </c:pt>
                <c:pt idx="16">
                  <c:v>741</c:v>
                </c:pt>
                <c:pt idx="17">
                  <c:v>583</c:v>
                </c:pt>
                <c:pt idx="18">
                  <c:v>824</c:v>
                </c:pt>
                <c:pt idx="19">
                  <c:v>849</c:v>
                </c:pt>
                <c:pt idx="20">
                  <c:v>613</c:v>
                </c:pt>
                <c:pt idx="21">
                  <c:v>544</c:v>
                </c:pt>
                <c:pt idx="22">
                  <c:v>600</c:v>
                </c:pt>
                <c:pt idx="23">
                  <c:v>697</c:v>
                </c:pt>
                <c:pt idx="24">
                  <c:v>663</c:v>
                </c:pt>
                <c:pt idx="25">
                  <c:v>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8EA-4F1D-80DA-2C4A66943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"/>
        <c:overlap val="100"/>
        <c:axId val="826587039"/>
        <c:axId val="826586079"/>
      </c:barChart>
      <c:catAx>
        <c:axId val="82658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6079"/>
        <c:crossesAt val="-10000"/>
        <c:auto val="1"/>
        <c:lblAlgn val="ctr"/>
        <c:lblOffset val="100"/>
        <c:noMultiLvlLbl val="0"/>
      </c:catAx>
      <c:valAx>
        <c:axId val="82658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500001367016772"/>
          <c:y val="5.2058346839546202E-2"/>
          <c:w val="0.76188585908360551"/>
          <c:h val="7.31608937995058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(ABT) Revenue of Med-Devices Segment (in $ millions)</a:t>
            </a:r>
          </a:p>
        </c:rich>
      </c:tx>
      <c:layout>
        <c:manualLayout>
          <c:xMode val="edge"/>
          <c:yMode val="edge"/>
          <c:x val="0.28150322347019896"/>
          <c:y val="1.38779638877895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109587501048507E-2"/>
          <c:y val="0.16635635515130165"/>
          <c:w val="0.91646860416323306"/>
          <c:h val="0.74912538776797721"/>
        </c:manualLayout>
      </c:layout>
      <c:barChart>
        <c:barDir val="col"/>
        <c:grouping val="stacked"/>
        <c:varyColors val="0"/>
        <c:ser>
          <c:idx val="6"/>
          <c:order val="0"/>
          <c:tx>
            <c:strRef>
              <c:f>Model!$B$13</c:f>
              <c:strCache>
                <c:ptCount val="1"/>
                <c:pt idx="0">
                  <c:v>Rhythm Management</c:v>
                </c:pt>
              </c:strCache>
            </c:strRef>
          </c:tx>
          <c:spPr>
            <a:solidFill>
              <a:srgbClr val="3B87CD"/>
            </a:solidFill>
            <a:ln>
              <a:noFill/>
            </a:ln>
            <a:effectLst/>
          </c:spPr>
          <c:invertIfNegative val="0"/>
          <c:cat>
            <c:strRef>
              <c:f>Model!$AU$1:$BS$1</c:f>
              <c:strCache>
                <c:ptCount val="25"/>
                <c:pt idx="0">
                  <c:v>Q1 2020</c:v>
                </c:pt>
                <c:pt idx="4">
                  <c:v>Q1 2021</c:v>
                </c:pt>
                <c:pt idx="8">
                  <c:v>Q1 2022</c:v>
                </c:pt>
                <c:pt idx="12">
                  <c:v>Q1 2023</c:v>
                </c:pt>
                <c:pt idx="16">
                  <c:v>Q1 2024</c:v>
                </c:pt>
                <c:pt idx="20">
                  <c:v>Q1 2025</c:v>
                </c:pt>
                <c:pt idx="24">
                  <c:v>Q1 2026</c:v>
                </c:pt>
              </c:strCache>
            </c:strRef>
          </c:cat>
          <c:val>
            <c:numRef>
              <c:f>Model!$AU$13:$BT$13</c:f>
              <c:numCache>
                <c:formatCode>General</c:formatCode>
                <c:ptCount val="26"/>
                <c:pt idx="0">
                  <c:v>474</c:v>
                </c:pt>
                <c:pt idx="1">
                  <c:v>401</c:v>
                </c:pt>
                <c:pt idx="2">
                  <c:v>507</c:v>
                </c:pt>
                <c:pt idx="3">
                  <c:v>532</c:v>
                </c:pt>
                <c:pt idx="4">
                  <c:v>519</c:v>
                </c:pt>
                <c:pt idx="5">
                  <c:v>567</c:v>
                </c:pt>
                <c:pt idx="6">
                  <c:v>571</c:v>
                </c:pt>
                <c:pt idx="7">
                  <c:v>541</c:v>
                </c:pt>
                <c:pt idx="8">
                  <c:v>524</c:v>
                </c:pt>
                <c:pt idx="9">
                  <c:v>548</c:v>
                </c:pt>
                <c:pt idx="10">
                  <c:v>533</c:v>
                </c:pt>
                <c:pt idx="11">
                  <c:v>514</c:v>
                </c:pt>
                <c:pt idx="12">
                  <c:v>527</c:v>
                </c:pt>
                <c:pt idx="13">
                  <c:v>583</c:v>
                </c:pt>
                <c:pt idx="14">
                  <c:v>563</c:v>
                </c:pt>
                <c:pt idx="15">
                  <c:v>582</c:v>
                </c:pt>
                <c:pt idx="16">
                  <c:v>562</c:v>
                </c:pt>
                <c:pt idx="17">
                  <c:v>607</c:v>
                </c:pt>
                <c:pt idx="18">
                  <c:v>597</c:v>
                </c:pt>
                <c:pt idx="19">
                  <c:v>624</c:v>
                </c:pt>
                <c:pt idx="20">
                  <c:v>585</c:v>
                </c:pt>
                <c:pt idx="21">
                  <c:v>673</c:v>
                </c:pt>
                <c:pt idx="22">
                  <c:v>686</c:v>
                </c:pt>
                <c:pt idx="23">
                  <c:v>705</c:v>
                </c:pt>
                <c:pt idx="24">
                  <c:v>684</c:v>
                </c:pt>
                <c:pt idx="25">
                  <c:v>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F2-45FF-BB24-872C36689EEB}"/>
            </c:ext>
          </c:extLst>
        </c:ser>
        <c:ser>
          <c:idx val="8"/>
          <c:order val="1"/>
          <c:tx>
            <c:strRef>
              <c:f>Model!$B$15</c:f>
              <c:strCache>
                <c:ptCount val="1"/>
                <c:pt idx="0">
                  <c:v>Heart Failure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Model!$AU$1:$BS$1</c:f>
              <c:strCache>
                <c:ptCount val="25"/>
                <c:pt idx="0">
                  <c:v>Q1 2020</c:v>
                </c:pt>
                <c:pt idx="4">
                  <c:v>Q1 2021</c:v>
                </c:pt>
                <c:pt idx="8">
                  <c:v>Q1 2022</c:v>
                </c:pt>
                <c:pt idx="12">
                  <c:v>Q1 2023</c:v>
                </c:pt>
                <c:pt idx="16">
                  <c:v>Q1 2024</c:v>
                </c:pt>
                <c:pt idx="20">
                  <c:v>Q1 2025</c:v>
                </c:pt>
                <c:pt idx="24">
                  <c:v>Q1 2026</c:v>
                </c:pt>
              </c:strCache>
            </c:strRef>
          </c:cat>
          <c:val>
            <c:numRef>
              <c:f>Model!$AU$15:$BT$15</c:f>
              <c:numCache>
                <c:formatCode>General</c:formatCode>
                <c:ptCount val="26"/>
                <c:pt idx="0">
                  <c:v>203</c:v>
                </c:pt>
                <c:pt idx="1">
                  <c:v>158</c:v>
                </c:pt>
                <c:pt idx="2">
                  <c:v>190</c:v>
                </c:pt>
                <c:pt idx="3">
                  <c:v>189</c:v>
                </c:pt>
                <c:pt idx="4">
                  <c:v>194</c:v>
                </c:pt>
                <c:pt idx="5">
                  <c:v>227</c:v>
                </c:pt>
                <c:pt idx="6">
                  <c:v>229</c:v>
                </c:pt>
                <c:pt idx="7">
                  <c:v>239</c:v>
                </c:pt>
                <c:pt idx="8">
                  <c:v>250</c:v>
                </c:pt>
                <c:pt idx="9">
                  <c:v>269</c:v>
                </c:pt>
                <c:pt idx="10">
                  <c:v>258</c:v>
                </c:pt>
                <c:pt idx="11">
                  <c:v>258</c:v>
                </c:pt>
                <c:pt idx="12">
                  <c:v>281</c:v>
                </c:pt>
                <c:pt idx="13">
                  <c:v>295</c:v>
                </c:pt>
                <c:pt idx="14">
                  <c:v>284</c:v>
                </c:pt>
                <c:pt idx="15">
                  <c:v>301</c:v>
                </c:pt>
                <c:pt idx="16">
                  <c:v>305</c:v>
                </c:pt>
                <c:pt idx="17">
                  <c:v>321</c:v>
                </c:pt>
                <c:pt idx="18">
                  <c:v>322</c:v>
                </c:pt>
                <c:pt idx="19">
                  <c:v>331</c:v>
                </c:pt>
                <c:pt idx="20">
                  <c:v>339</c:v>
                </c:pt>
                <c:pt idx="21">
                  <c:v>368</c:v>
                </c:pt>
                <c:pt idx="22">
                  <c:v>366</c:v>
                </c:pt>
                <c:pt idx="23">
                  <c:v>375</c:v>
                </c:pt>
                <c:pt idx="24">
                  <c:v>389</c:v>
                </c:pt>
                <c:pt idx="25">
                  <c:v>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F2-45FF-BB24-872C36689EEB}"/>
            </c:ext>
          </c:extLst>
        </c:ser>
        <c:ser>
          <c:idx val="0"/>
          <c:order val="2"/>
          <c:tx>
            <c:strRef>
              <c:f>Model!$B$17</c:f>
              <c:strCache>
                <c:ptCount val="1"/>
                <c:pt idx="0">
                  <c:v>Structural Heart</c:v>
                </c:pt>
              </c:strCache>
            </c:strRef>
          </c:tx>
          <c:spPr>
            <a:solidFill>
              <a:srgbClr val="EA0000"/>
            </a:solidFill>
            <a:ln>
              <a:noFill/>
            </a:ln>
            <a:effectLst/>
          </c:spPr>
          <c:invertIfNegative val="0"/>
          <c:cat>
            <c:strRef>
              <c:f>Model!$AU$1:$BS$1</c:f>
              <c:strCache>
                <c:ptCount val="25"/>
                <c:pt idx="0">
                  <c:v>Q1 2020</c:v>
                </c:pt>
                <c:pt idx="4">
                  <c:v>Q1 2021</c:v>
                </c:pt>
                <c:pt idx="8">
                  <c:v>Q1 2022</c:v>
                </c:pt>
                <c:pt idx="12">
                  <c:v>Q1 2023</c:v>
                </c:pt>
                <c:pt idx="16">
                  <c:v>Q1 2024</c:v>
                </c:pt>
                <c:pt idx="20">
                  <c:v>Q1 2025</c:v>
                </c:pt>
                <c:pt idx="24">
                  <c:v>Q1 2026</c:v>
                </c:pt>
              </c:strCache>
            </c:strRef>
          </c:cat>
          <c:val>
            <c:numRef>
              <c:f>Model!$AU$17:$BT$17</c:f>
              <c:numCache>
                <c:formatCode>General</c:formatCode>
                <c:ptCount val="26"/>
                <c:pt idx="0">
                  <c:v>318</c:v>
                </c:pt>
                <c:pt idx="1">
                  <c:v>223</c:v>
                </c:pt>
                <c:pt idx="2">
                  <c:v>353</c:v>
                </c:pt>
                <c:pt idx="3">
                  <c:v>353</c:v>
                </c:pt>
                <c:pt idx="4">
                  <c:v>377</c:v>
                </c:pt>
                <c:pt idx="5">
                  <c:v>422</c:v>
                </c:pt>
                <c:pt idx="6">
                  <c:v>392</c:v>
                </c:pt>
                <c:pt idx="7">
                  <c:v>419</c:v>
                </c:pt>
                <c:pt idx="8">
                  <c:v>411</c:v>
                </c:pt>
                <c:pt idx="9">
                  <c:v>440</c:v>
                </c:pt>
                <c:pt idx="10">
                  <c:v>420</c:v>
                </c:pt>
                <c:pt idx="11">
                  <c:v>441</c:v>
                </c:pt>
                <c:pt idx="12">
                  <c:v>461</c:v>
                </c:pt>
                <c:pt idx="13">
                  <c:v>498</c:v>
                </c:pt>
                <c:pt idx="14">
                  <c:v>487</c:v>
                </c:pt>
                <c:pt idx="15">
                  <c:v>498</c:v>
                </c:pt>
                <c:pt idx="16">
                  <c:v>515</c:v>
                </c:pt>
                <c:pt idx="17">
                  <c:v>564</c:v>
                </c:pt>
                <c:pt idx="18">
                  <c:v>558</c:v>
                </c:pt>
                <c:pt idx="19">
                  <c:v>609</c:v>
                </c:pt>
                <c:pt idx="20">
                  <c:v>577</c:v>
                </c:pt>
                <c:pt idx="21">
                  <c:v>636</c:v>
                </c:pt>
                <c:pt idx="22">
                  <c:v>635</c:v>
                </c:pt>
                <c:pt idx="23">
                  <c:v>675</c:v>
                </c:pt>
                <c:pt idx="24">
                  <c:v>578</c:v>
                </c:pt>
                <c:pt idx="25">
                  <c:v>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F2-45FF-BB24-872C36689EEB}"/>
            </c:ext>
          </c:extLst>
        </c:ser>
        <c:ser>
          <c:idx val="9"/>
          <c:order val="3"/>
          <c:tx>
            <c:strRef>
              <c:f>Model!$B$16</c:f>
              <c:strCache>
                <c:ptCount val="1"/>
                <c:pt idx="0">
                  <c:v>Vascular</c:v>
                </c:pt>
              </c:strCache>
            </c:strRef>
          </c:tx>
          <c:spPr>
            <a:solidFill>
              <a:srgbClr val="FF5B5B"/>
            </a:solidFill>
            <a:ln>
              <a:noFill/>
            </a:ln>
            <a:effectLst/>
          </c:spPr>
          <c:invertIfNegative val="0"/>
          <c:cat>
            <c:strRef>
              <c:f>Model!$AU$1:$BS$1</c:f>
              <c:strCache>
                <c:ptCount val="25"/>
                <c:pt idx="0">
                  <c:v>Q1 2020</c:v>
                </c:pt>
                <c:pt idx="4">
                  <c:v>Q1 2021</c:v>
                </c:pt>
                <c:pt idx="8">
                  <c:v>Q1 2022</c:v>
                </c:pt>
                <c:pt idx="12">
                  <c:v>Q1 2023</c:v>
                </c:pt>
                <c:pt idx="16">
                  <c:v>Q1 2024</c:v>
                </c:pt>
                <c:pt idx="20">
                  <c:v>Q1 2025</c:v>
                </c:pt>
                <c:pt idx="24">
                  <c:v>Q1 2026</c:v>
                </c:pt>
              </c:strCache>
            </c:strRef>
          </c:cat>
          <c:val>
            <c:numRef>
              <c:f>Model!$AU$16:$BT$16</c:f>
              <c:numCache>
                <c:formatCode>General</c:formatCode>
                <c:ptCount val="26"/>
                <c:pt idx="0">
                  <c:v>625</c:v>
                </c:pt>
                <c:pt idx="1">
                  <c:v>481</c:v>
                </c:pt>
                <c:pt idx="2">
                  <c:v>630</c:v>
                </c:pt>
                <c:pt idx="3">
                  <c:v>603</c:v>
                </c:pt>
                <c:pt idx="4">
                  <c:v>635</c:v>
                </c:pt>
                <c:pt idx="5">
                  <c:v>697</c:v>
                </c:pt>
                <c:pt idx="6">
                  <c:v>644</c:v>
                </c:pt>
                <c:pt idx="7">
                  <c:v>678</c:v>
                </c:pt>
                <c:pt idx="8">
                  <c:v>619</c:v>
                </c:pt>
                <c:pt idx="9">
                  <c:v>653</c:v>
                </c:pt>
                <c:pt idx="10">
                  <c:v>606</c:v>
                </c:pt>
                <c:pt idx="11">
                  <c:v>605</c:v>
                </c:pt>
                <c:pt idx="12">
                  <c:v>617</c:v>
                </c:pt>
                <c:pt idx="13">
                  <c:v>715</c:v>
                </c:pt>
                <c:pt idx="14">
                  <c:v>672</c:v>
                </c:pt>
                <c:pt idx="15">
                  <c:v>677</c:v>
                </c:pt>
                <c:pt idx="16">
                  <c:v>689</c:v>
                </c:pt>
                <c:pt idx="17">
                  <c:v>724</c:v>
                </c:pt>
                <c:pt idx="18">
                  <c:v>699</c:v>
                </c:pt>
                <c:pt idx="19">
                  <c:v>725</c:v>
                </c:pt>
                <c:pt idx="20">
                  <c:v>710</c:v>
                </c:pt>
                <c:pt idx="21">
                  <c:v>757</c:v>
                </c:pt>
                <c:pt idx="22">
                  <c:v>745</c:v>
                </c:pt>
                <c:pt idx="23">
                  <c:v>783</c:v>
                </c:pt>
                <c:pt idx="24">
                  <c:v>777</c:v>
                </c:pt>
                <c:pt idx="25">
                  <c:v>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F2-45FF-BB24-872C36689EEB}"/>
            </c:ext>
          </c:extLst>
        </c:ser>
        <c:ser>
          <c:idx val="1"/>
          <c:order val="4"/>
          <c:tx>
            <c:strRef>
              <c:f>Model!$B$18</c:f>
              <c:strCache>
                <c:ptCount val="1"/>
                <c:pt idx="0">
                  <c:v>Neuromodulation</c:v>
                </c:pt>
              </c:strCache>
            </c:strRef>
          </c:tx>
          <c:spPr>
            <a:solidFill>
              <a:srgbClr val="FF99CC"/>
            </a:solidFill>
            <a:ln>
              <a:noFill/>
            </a:ln>
            <a:effectLst/>
          </c:spPr>
          <c:invertIfNegative val="0"/>
          <c:cat>
            <c:strRef>
              <c:f>Model!$AU$1:$BS$1</c:f>
              <c:strCache>
                <c:ptCount val="25"/>
                <c:pt idx="0">
                  <c:v>Q1 2020</c:v>
                </c:pt>
                <c:pt idx="4">
                  <c:v>Q1 2021</c:v>
                </c:pt>
                <c:pt idx="8">
                  <c:v>Q1 2022</c:v>
                </c:pt>
                <c:pt idx="12">
                  <c:v>Q1 2023</c:v>
                </c:pt>
                <c:pt idx="16">
                  <c:v>Q1 2024</c:v>
                </c:pt>
                <c:pt idx="20">
                  <c:v>Q1 2025</c:v>
                </c:pt>
                <c:pt idx="24">
                  <c:v>Q1 2026</c:v>
                </c:pt>
              </c:strCache>
            </c:strRef>
          </c:cat>
          <c:val>
            <c:numRef>
              <c:f>Model!$AU$18:$BT$18</c:f>
              <c:numCache>
                <c:formatCode>General</c:formatCode>
                <c:ptCount val="26"/>
                <c:pt idx="0">
                  <c:v>177</c:v>
                </c:pt>
                <c:pt idx="1">
                  <c:v>106</c:v>
                </c:pt>
                <c:pt idx="2">
                  <c:v>206</c:v>
                </c:pt>
                <c:pt idx="3">
                  <c:v>213</c:v>
                </c:pt>
                <c:pt idx="4">
                  <c:v>184</c:v>
                </c:pt>
                <c:pt idx="5">
                  <c:v>210</c:v>
                </c:pt>
                <c:pt idx="6">
                  <c:v>190</c:v>
                </c:pt>
                <c:pt idx="7">
                  <c:v>197</c:v>
                </c:pt>
                <c:pt idx="8">
                  <c:v>179</c:v>
                </c:pt>
                <c:pt idx="9">
                  <c:v>197</c:v>
                </c:pt>
                <c:pt idx="10">
                  <c:v>192</c:v>
                </c:pt>
                <c:pt idx="11">
                  <c:v>202</c:v>
                </c:pt>
                <c:pt idx="12">
                  <c:v>196</c:v>
                </c:pt>
                <c:pt idx="13">
                  <c:v>227</c:v>
                </c:pt>
                <c:pt idx="14">
                  <c:v>227</c:v>
                </c:pt>
                <c:pt idx="15">
                  <c:v>240</c:v>
                </c:pt>
                <c:pt idx="16">
                  <c:v>226</c:v>
                </c:pt>
                <c:pt idx="17">
                  <c:v>243</c:v>
                </c:pt>
                <c:pt idx="18">
                  <c:v>236</c:v>
                </c:pt>
                <c:pt idx="19">
                  <c:v>257</c:v>
                </c:pt>
                <c:pt idx="20">
                  <c:v>228</c:v>
                </c:pt>
                <c:pt idx="21">
                  <c:v>254</c:v>
                </c:pt>
                <c:pt idx="22">
                  <c:v>254</c:v>
                </c:pt>
                <c:pt idx="23">
                  <c:v>274</c:v>
                </c:pt>
                <c:pt idx="24">
                  <c:v>243</c:v>
                </c:pt>
                <c:pt idx="25">
                  <c:v>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2F2-45FF-BB24-872C36689EEB}"/>
            </c:ext>
          </c:extLst>
        </c:ser>
        <c:ser>
          <c:idx val="7"/>
          <c:order val="5"/>
          <c:tx>
            <c:strRef>
              <c:f>Model!$B$14</c:f>
              <c:strCache>
                <c:ptCount val="1"/>
                <c:pt idx="0">
                  <c:v>Electrophysiology</c:v>
                </c:pt>
              </c:strCache>
            </c:strRef>
          </c:tx>
          <c:spPr>
            <a:solidFill>
              <a:srgbClr val="FFC000">
                <a:lumMod val="60000"/>
                <a:lumOff val="40000"/>
              </a:srgbClr>
            </a:solidFill>
            <a:ln>
              <a:noFill/>
            </a:ln>
            <a:effectLst/>
          </c:spPr>
          <c:invertIfNegative val="0"/>
          <c:cat>
            <c:strRef>
              <c:f>Model!$AU$1:$BS$1</c:f>
              <c:strCache>
                <c:ptCount val="25"/>
                <c:pt idx="0">
                  <c:v>Q1 2020</c:v>
                </c:pt>
                <c:pt idx="4">
                  <c:v>Q1 2021</c:v>
                </c:pt>
                <c:pt idx="8">
                  <c:v>Q1 2022</c:v>
                </c:pt>
                <c:pt idx="12">
                  <c:v>Q1 2023</c:v>
                </c:pt>
                <c:pt idx="16">
                  <c:v>Q1 2024</c:v>
                </c:pt>
                <c:pt idx="20">
                  <c:v>Q1 2025</c:v>
                </c:pt>
                <c:pt idx="24">
                  <c:v>Q1 2026</c:v>
                </c:pt>
              </c:strCache>
            </c:strRef>
          </c:cat>
          <c:val>
            <c:numRef>
              <c:f>Model!$AU$14:$BT$14</c:f>
              <c:numCache>
                <c:formatCode>General</c:formatCode>
                <c:ptCount val="26"/>
                <c:pt idx="0">
                  <c:v>388</c:v>
                </c:pt>
                <c:pt idx="1">
                  <c:v>299</c:v>
                </c:pt>
                <c:pt idx="2">
                  <c:v>441</c:v>
                </c:pt>
                <c:pt idx="3">
                  <c:v>450</c:v>
                </c:pt>
                <c:pt idx="4">
                  <c:v>431</c:v>
                </c:pt>
                <c:pt idx="5">
                  <c:v>487</c:v>
                </c:pt>
                <c:pt idx="6">
                  <c:v>485</c:v>
                </c:pt>
                <c:pt idx="7">
                  <c:v>504</c:v>
                </c:pt>
                <c:pt idx="8">
                  <c:v>485</c:v>
                </c:pt>
                <c:pt idx="9">
                  <c:v>486</c:v>
                </c:pt>
                <c:pt idx="10">
                  <c:v>469</c:v>
                </c:pt>
                <c:pt idx="11">
                  <c:v>487</c:v>
                </c:pt>
                <c:pt idx="12">
                  <c:v>505</c:v>
                </c:pt>
                <c:pt idx="13">
                  <c:v>553</c:v>
                </c:pt>
                <c:pt idx="14">
                  <c:v>544</c:v>
                </c:pt>
                <c:pt idx="15">
                  <c:v>593</c:v>
                </c:pt>
                <c:pt idx="16">
                  <c:v>587</c:v>
                </c:pt>
                <c:pt idx="17">
                  <c:v>627</c:v>
                </c:pt>
                <c:pt idx="18">
                  <c:v>610</c:v>
                </c:pt>
                <c:pt idx="19">
                  <c:v>643</c:v>
                </c:pt>
                <c:pt idx="20">
                  <c:v>629</c:v>
                </c:pt>
                <c:pt idx="21">
                  <c:v>700</c:v>
                </c:pt>
                <c:pt idx="22">
                  <c:v>705</c:v>
                </c:pt>
                <c:pt idx="23">
                  <c:v>730</c:v>
                </c:pt>
                <c:pt idx="24">
                  <c:v>788</c:v>
                </c:pt>
                <c:pt idx="25">
                  <c:v>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F2-45FF-BB24-872C36689EEB}"/>
            </c:ext>
          </c:extLst>
        </c:ser>
        <c:ser>
          <c:idx val="2"/>
          <c:order val="6"/>
          <c:tx>
            <c:strRef>
              <c:f>Model!$B$19</c:f>
              <c:strCache>
                <c:ptCount val="1"/>
                <c:pt idx="0">
                  <c:v>Diabetes Care</c:v>
                </c:pt>
              </c:strCache>
            </c:strRef>
          </c:tx>
          <c:spPr>
            <a:solidFill>
              <a:srgbClr val="91C46E"/>
            </a:solidFill>
            <a:ln>
              <a:noFill/>
            </a:ln>
            <a:effectLst/>
          </c:spPr>
          <c:invertIfNegative val="0"/>
          <c:cat>
            <c:strRef>
              <c:f>Model!$AU$1:$BS$1</c:f>
              <c:strCache>
                <c:ptCount val="25"/>
                <c:pt idx="0">
                  <c:v>Q1 2020</c:v>
                </c:pt>
                <c:pt idx="4">
                  <c:v>Q1 2021</c:v>
                </c:pt>
                <c:pt idx="8">
                  <c:v>Q1 2022</c:v>
                </c:pt>
                <c:pt idx="12">
                  <c:v>Q1 2023</c:v>
                </c:pt>
                <c:pt idx="16">
                  <c:v>Q1 2024</c:v>
                </c:pt>
                <c:pt idx="20">
                  <c:v>Q1 2025</c:v>
                </c:pt>
                <c:pt idx="24">
                  <c:v>Q1 2026</c:v>
                </c:pt>
              </c:strCache>
            </c:strRef>
          </c:cat>
          <c:val>
            <c:numRef>
              <c:f>Model!$AU$19:$BT$19</c:f>
              <c:numCache>
                <c:formatCode>General</c:formatCode>
                <c:ptCount val="26"/>
                <c:pt idx="0">
                  <c:v>752</c:v>
                </c:pt>
                <c:pt idx="1">
                  <c:v>755</c:v>
                </c:pt>
                <c:pt idx="2">
                  <c:v>843</c:v>
                </c:pt>
                <c:pt idx="3">
                  <c:v>917</c:v>
                </c:pt>
                <c:pt idx="4">
                  <c:v>980</c:v>
                </c:pt>
                <c:pt idx="5">
                  <c:v>1056</c:v>
                </c:pt>
                <c:pt idx="6">
                  <c:v>1121</c:v>
                </c:pt>
                <c:pt idx="7">
                  <c:v>1171</c:v>
                </c:pt>
                <c:pt idx="8">
                  <c:v>1126</c:v>
                </c:pt>
                <c:pt idx="9">
                  <c:v>1192</c:v>
                </c:pt>
                <c:pt idx="10">
                  <c:v>1167</c:v>
                </c:pt>
                <c:pt idx="11">
                  <c:v>1271</c:v>
                </c:pt>
                <c:pt idx="12">
                  <c:v>1313</c:v>
                </c:pt>
                <c:pt idx="13">
                  <c:v>1424</c:v>
                </c:pt>
                <c:pt idx="14">
                  <c:v>1472</c:v>
                </c:pt>
                <c:pt idx="15">
                  <c:v>1552</c:v>
                </c:pt>
                <c:pt idx="16">
                  <c:v>1569</c:v>
                </c:pt>
                <c:pt idx="17">
                  <c:v>1648</c:v>
                </c:pt>
                <c:pt idx="18">
                  <c:v>1725</c:v>
                </c:pt>
                <c:pt idx="19">
                  <c:v>1863</c:v>
                </c:pt>
                <c:pt idx="20">
                  <c:v>1827</c:v>
                </c:pt>
                <c:pt idx="21">
                  <c:v>1981</c:v>
                </c:pt>
                <c:pt idx="22">
                  <c:v>2057</c:v>
                </c:pt>
                <c:pt idx="23">
                  <c:v>2133</c:v>
                </c:pt>
                <c:pt idx="24">
                  <c:v>2080</c:v>
                </c:pt>
                <c:pt idx="25">
                  <c:v>2080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F2-45FF-BB24-872C36689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"/>
        <c:overlap val="100"/>
        <c:axId val="826587039"/>
        <c:axId val="826586079"/>
      </c:barChart>
      <c:catAx>
        <c:axId val="82658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6079"/>
        <c:crossesAt val="-10000"/>
        <c:auto val="1"/>
        <c:lblAlgn val="ctr"/>
        <c:lblOffset val="100"/>
        <c:noMultiLvlLbl val="0"/>
      </c:catAx>
      <c:valAx>
        <c:axId val="82658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6.554324079443237E-2"/>
          <c:y val="5.2058346839546202E-2"/>
          <c:w val="0.91587403653549304"/>
          <c:h val="0.119420789881980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13" Type="http://schemas.openxmlformats.org/officeDocument/2006/relationships/image" Target="../media/image8.png"/><Relationship Id="rId3" Type="http://schemas.openxmlformats.org/officeDocument/2006/relationships/chart" Target="../charts/chart3.xml"/><Relationship Id="rId7" Type="http://schemas.openxmlformats.org/officeDocument/2006/relationships/image" Target="../media/image4.png"/><Relationship Id="rId12" Type="http://schemas.openxmlformats.org/officeDocument/2006/relationships/image" Target="../media/image7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11" Type="http://schemas.openxmlformats.org/officeDocument/2006/relationships/image" Target="../media/image6.png"/><Relationship Id="rId5" Type="http://schemas.openxmlformats.org/officeDocument/2006/relationships/image" Target="../media/image2.png"/><Relationship Id="rId10" Type="http://schemas.openxmlformats.org/officeDocument/2006/relationships/image" Target="../media/image5.png"/><Relationship Id="rId4" Type="http://schemas.openxmlformats.org/officeDocument/2006/relationships/chart" Target="../charts/chart4.xml"/><Relationship Id="rId9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eg"/><Relationship Id="rId2" Type="http://schemas.openxmlformats.org/officeDocument/2006/relationships/image" Target="../media/image10.jpeg"/><Relationship Id="rId1" Type="http://schemas.openxmlformats.org/officeDocument/2006/relationships/image" Target="../media/image9.jpeg"/><Relationship Id="rId4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10390</xdr:colOff>
      <xdr:row>2</xdr:row>
      <xdr:rowOff>11205</xdr:rowOff>
    </xdr:from>
    <xdr:to>
      <xdr:col>8</xdr:col>
      <xdr:colOff>5347</xdr:colOff>
      <xdr:row>8</xdr:row>
      <xdr:rowOff>2545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C5769E-06FA-7E74-80F8-E5552EFA41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637" r="7273"/>
        <a:stretch>
          <a:fillRect/>
        </a:stretch>
      </xdr:blipFill>
      <xdr:spPr>
        <a:xfrm>
          <a:off x="2901508" y="380999"/>
          <a:ext cx="1810310" cy="10671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72</xdr:col>
      <xdr:colOff>0</xdr:colOff>
      <xdr:row>0</xdr:row>
      <xdr:rowOff>0</xdr:rowOff>
    </xdr:from>
    <xdr:to>
      <xdr:col>72</xdr:col>
      <xdr:colOff>0</xdr:colOff>
      <xdr:row>133</xdr:row>
      <xdr:rowOff>22412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D82459E-58B3-42DB-9684-9D533E1F9712}"/>
            </a:ext>
          </a:extLst>
        </xdr:cNvPr>
        <xdr:cNvCxnSpPr/>
      </xdr:nvCxnSpPr>
      <xdr:spPr>
        <a:xfrm>
          <a:off x="45002824" y="0"/>
          <a:ext cx="0" cy="2408144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0</xdr:colOff>
      <xdr:row>0</xdr:row>
      <xdr:rowOff>0</xdr:rowOff>
    </xdr:from>
    <xdr:to>
      <xdr:col>95</xdr:col>
      <xdr:colOff>1</xdr:colOff>
      <xdr:row>132</xdr:row>
      <xdr:rowOff>168089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001E5F4-1B9E-487D-83F1-747CF5EB542B}"/>
            </a:ext>
          </a:extLst>
        </xdr:cNvPr>
        <xdr:cNvCxnSpPr/>
      </xdr:nvCxnSpPr>
      <xdr:spPr>
        <a:xfrm flipH="1">
          <a:off x="58920529" y="0"/>
          <a:ext cx="1" cy="2404782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69</xdr:row>
      <xdr:rowOff>190499</xdr:rowOff>
    </xdr:from>
    <xdr:to>
      <xdr:col>23</xdr:col>
      <xdr:colOff>0</xdr:colOff>
      <xdr:row>100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2CD92D-8EF4-4572-94B5-6164D39572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178</xdr:row>
      <xdr:rowOff>0</xdr:rowOff>
    </xdr:from>
    <xdr:to>
      <xdr:col>23</xdr:col>
      <xdr:colOff>0</xdr:colOff>
      <xdr:row>206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1860B7-2944-492B-8E4C-F0D96D28C3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243</xdr:row>
      <xdr:rowOff>0</xdr:rowOff>
    </xdr:from>
    <xdr:to>
      <xdr:col>23</xdr:col>
      <xdr:colOff>0</xdr:colOff>
      <xdr:row>271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74BBAA-4B76-40FC-A8E5-A62056E8DD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211</xdr:row>
      <xdr:rowOff>0</xdr:rowOff>
    </xdr:from>
    <xdr:to>
      <xdr:col>23</xdr:col>
      <xdr:colOff>0</xdr:colOff>
      <xdr:row>239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7CCC47-4E69-431D-A35B-BB93EEC58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7794</xdr:colOff>
      <xdr:row>36</xdr:row>
      <xdr:rowOff>7793</xdr:rowOff>
    </xdr:from>
    <xdr:to>
      <xdr:col>18</xdr:col>
      <xdr:colOff>7795</xdr:colOff>
      <xdr:row>65</xdr:row>
      <xdr:rowOff>35008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1BB48E0-6035-B26C-846B-2D8DB8027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7344" y="6541943"/>
          <a:ext cx="6096001" cy="5267326"/>
        </a:xfrm>
        <a:prstGeom prst="rect">
          <a:avLst/>
        </a:prstGeom>
      </xdr:spPr>
    </xdr:pic>
    <xdr:clientData/>
  </xdr:twoCellAnchor>
  <xdr:twoCellAnchor editAs="oneCell">
    <xdr:from>
      <xdr:col>8</xdr:col>
      <xdr:colOff>17317</xdr:colOff>
      <xdr:row>2</xdr:row>
      <xdr:rowOff>17318</xdr:rowOff>
    </xdr:from>
    <xdr:to>
      <xdr:col>18</xdr:col>
      <xdr:colOff>9524</xdr:colOff>
      <xdr:row>31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B27F3EE-C0EB-77FC-F29C-580A14869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94067" y="388793"/>
          <a:ext cx="6088207" cy="5230957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</xdr:colOff>
      <xdr:row>2</xdr:row>
      <xdr:rowOff>9525</xdr:rowOff>
    </xdr:from>
    <xdr:to>
      <xdr:col>29</xdr:col>
      <xdr:colOff>0</xdr:colOff>
      <xdr:row>30</xdr:row>
      <xdr:rowOff>171450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6FA6DFD-2724-821D-9567-287B796AD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582275" y="381000"/>
          <a:ext cx="6696075" cy="5229225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106</xdr:row>
      <xdr:rowOff>0</xdr:rowOff>
    </xdr:from>
    <xdr:to>
      <xdr:col>23</xdr:col>
      <xdr:colOff>0</xdr:colOff>
      <xdr:row>137</xdr:row>
      <xdr:rowOff>7041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160F696-60C7-4BBF-AB84-CFE927A3CD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0</xdr:colOff>
      <xdr:row>142</xdr:row>
      <xdr:rowOff>0</xdr:rowOff>
    </xdr:from>
    <xdr:to>
      <xdr:col>23</xdr:col>
      <xdr:colOff>0</xdr:colOff>
      <xdr:row>172</xdr:row>
      <xdr:rowOff>170326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CBDD011-CB4F-40AB-B4F4-A0701A9610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30</xdr:col>
      <xdr:colOff>5324</xdr:colOff>
      <xdr:row>70</xdr:row>
      <xdr:rowOff>5324</xdr:rowOff>
    </xdr:from>
    <xdr:to>
      <xdr:col>40</xdr:col>
      <xdr:colOff>5324</xdr:colOff>
      <xdr:row>96</xdr:row>
      <xdr:rowOff>7396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8CB7194-9016-E1FA-9F78-2D6995E23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274063" y="12793672"/>
          <a:ext cx="6129131" cy="4748007"/>
        </a:xfrm>
        <a:prstGeom prst="rect">
          <a:avLst/>
        </a:prstGeom>
      </xdr:spPr>
    </xdr:pic>
    <xdr:clientData/>
  </xdr:twoCellAnchor>
  <xdr:twoCellAnchor editAs="oneCell">
    <xdr:from>
      <xdr:col>30</xdr:col>
      <xdr:colOff>-1</xdr:colOff>
      <xdr:row>106</xdr:row>
      <xdr:rowOff>0</xdr:rowOff>
    </xdr:from>
    <xdr:to>
      <xdr:col>40</xdr:col>
      <xdr:colOff>7421</xdr:colOff>
      <xdr:row>132</xdr:row>
      <xdr:rowOff>17318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FB3F409-8DC2-3E7A-850D-15C557353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127181" y="18461182"/>
          <a:ext cx="6061363" cy="4520045"/>
        </a:xfrm>
        <a:prstGeom prst="rect">
          <a:avLst/>
        </a:prstGeom>
      </xdr:spPr>
    </xdr:pic>
    <xdr:clientData/>
  </xdr:twoCellAnchor>
  <xdr:twoCellAnchor editAs="oneCell">
    <xdr:from>
      <xdr:col>39</xdr:col>
      <xdr:colOff>606135</xdr:colOff>
      <xdr:row>106</xdr:row>
      <xdr:rowOff>0</xdr:rowOff>
    </xdr:from>
    <xdr:to>
      <xdr:col>50</xdr:col>
      <xdr:colOff>0</xdr:colOff>
      <xdr:row>132</xdr:row>
      <xdr:rowOff>17318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F32CB17-005F-6516-EFA7-2E2E3125F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188544" y="18461182"/>
          <a:ext cx="6061365" cy="4520045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178</xdr:row>
      <xdr:rowOff>0</xdr:rowOff>
    </xdr:from>
    <xdr:to>
      <xdr:col>41</xdr:col>
      <xdr:colOff>17318</xdr:colOff>
      <xdr:row>206</xdr:row>
      <xdr:rowOff>17318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6DD4C28-2C96-3914-67DD-C90711429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127182" y="30982227"/>
          <a:ext cx="6684818" cy="486640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19049</xdr:rowOff>
    </xdr:from>
    <xdr:to>
      <xdr:col>11</xdr:col>
      <xdr:colOff>1</xdr:colOff>
      <xdr:row>29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A145DB-2650-4E97-A72F-8AD7C0876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200024"/>
          <a:ext cx="6086476" cy="50482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11206</xdr:colOff>
      <xdr:row>2</xdr:row>
      <xdr:rowOff>11206</xdr:rowOff>
    </xdr:from>
    <xdr:to>
      <xdr:col>26</xdr:col>
      <xdr:colOff>605117</xdr:colOff>
      <xdr:row>17</xdr:row>
      <xdr:rowOff>0</xdr:rowOff>
    </xdr:to>
    <xdr:pic>
      <xdr:nvPicPr>
        <xdr:cNvPr id="2" name="dimg_eiwxaYL7GNyCp84Pq4KRoQo_19" descr="for peripheral thrombectomy system ...">
          <a:extLst>
            <a:ext uri="{FF2B5EF4-FFF2-40B4-BE49-F238E27FC236}">
              <a16:creationId xmlns:a16="http://schemas.microsoft.com/office/drawing/2014/main" id="{1AAF2734-8ABB-60A9-575F-277067007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5030" y="381000"/>
          <a:ext cx="4224617" cy="26894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33617</xdr:colOff>
      <xdr:row>7</xdr:row>
      <xdr:rowOff>168089</xdr:rowOff>
    </xdr:from>
    <xdr:to>
      <xdr:col>22</xdr:col>
      <xdr:colOff>246529</xdr:colOff>
      <xdr:row>10</xdr:row>
      <xdr:rowOff>145676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E5B3E77C-37C8-9F9C-FFAE-F835385C1DB6}"/>
            </a:ext>
          </a:extLst>
        </xdr:cNvPr>
        <xdr:cNvCxnSpPr/>
      </xdr:nvCxnSpPr>
      <xdr:spPr>
        <a:xfrm flipV="1">
          <a:off x="12337676" y="1445560"/>
          <a:ext cx="212912" cy="51546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313765</xdr:colOff>
      <xdr:row>10</xdr:row>
      <xdr:rowOff>123266</xdr:rowOff>
    </xdr:from>
    <xdr:to>
      <xdr:col>22</xdr:col>
      <xdr:colOff>549088</xdr:colOff>
      <xdr:row>12</xdr:row>
      <xdr:rowOff>2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C3A0528-8455-54D3-B2A7-DC1B9B3EC668}"/>
            </a:ext>
          </a:extLst>
        </xdr:cNvPr>
        <xdr:cNvSpPr txBox="1"/>
      </xdr:nvSpPr>
      <xdr:spPr>
        <a:xfrm>
          <a:off x="12012706" y="1938619"/>
          <a:ext cx="840441" cy="2353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Saline</a:t>
          </a:r>
          <a:r>
            <a:rPr lang="en-US" sz="1100" baseline="0"/>
            <a:t> jet</a:t>
          </a:r>
          <a:endParaRPr lang="en-US" sz="1100"/>
        </a:p>
      </xdr:txBody>
    </xdr:sp>
    <xdr:clientData/>
  </xdr:twoCellAnchor>
  <xdr:twoCellAnchor editAs="oneCell">
    <xdr:from>
      <xdr:col>27</xdr:col>
      <xdr:colOff>0</xdr:colOff>
      <xdr:row>2</xdr:row>
      <xdr:rowOff>0</xdr:rowOff>
    </xdr:from>
    <xdr:to>
      <xdr:col>33</xdr:col>
      <xdr:colOff>11206</xdr:colOff>
      <xdr:row>17</xdr:row>
      <xdr:rowOff>0</xdr:rowOff>
    </xdr:to>
    <xdr:pic>
      <xdr:nvPicPr>
        <xdr:cNvPr id="10" name="dimg_eiwxaYL7GNyCp84Pq4KRoQo_17" descr="JETi Hydrodynamic Thrombectomy System ...">
          <a:extLst>
            <a:ext uri="{FF2B5EF4-FFF2-40B4-BE49-F238E27FC236}">
              <a16:creationId xmlns:a16="http://schemas.microsoft.com/office/drawing/2014/main" id="{B2C52892-2C54-C77C-C0A4-EEFB41374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29647" y="369794"/>
          <a:ext cx="3641912" cy="27006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11205</xdr:colOff>
      <xdr:row>18</xdr:row>
      <xdr:rowOff>11207</xdr:rowOff>
    </xdr:from>
    <xdr:to>
      <xdr:col>27</xdr:col>
      <xdr:colOff>5796</xdr:colOff>
      <xdr:row>32</xdr:row>
      <xdr:rowOff>0</xdr:rowOff>
    </xdr:to>
    <xdr:pic>
      <xdr:nvPicPr>
        <xdr:cNvPr id="12" name="Picture 11" descr="FDA Clears Reader for Abbott's FreeStyle Libre® 3 System ...">
          <a:extLst>
            <a:ext uri="{FF2B5EF4-FFF2-40B4-BE49-F238E27FC236}">
              <a16:creationId xmlns:a16="http://schemas.microsoft.com/office/drawing/2014/main" id="{B81279D6-4928-4BDA-8E73-EC41B99C8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499" y="12270442"/>
          <a:ext cx="1809944" cy="25661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18</xdr:row>
      <xdr:rowOff>6567</xdr:rowOff>
    </xdr:from>
    <xdr:to>
      <xdr:col>33</xdr:col>
      <xdr:colOff>0</xdr:colOff>
      <xdr:row>32</xdr:row>
      <xdr:rowOff>11205</xdr:rowOff>
    </xdr:to>
    <xdr:pic>
      <xdr:nvPicPr>
        <xdr:cNvPr id="13" name="dimg_JzYxabX4BLiIwbkPgueDkA4_75" descr="Recall: FreeStyle Libre 3 &amp; Libre 3 ...">
          <a:extLst>
            <a:ext uri="{FF2B5EF4-FFF2-40B4-BE49-F238E27FC236}">
              <a16:creationId xmlns:a16="http://schemas.microsoft.com/office/drawing/2014/main" id="{1BD7FF4E-9AB7-60AA-74B8-5631BF6B54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23" r="4142"/>
        <a:stretch>
          <a:fillRect/>
        </a:stretch>
      </xdr:blipFill>
      <xdr:spPr bwMode="auto">
        <a:xfrm>
          <a:off x="15329647" y="12265802"/>
          <a:ext cx="3630706" cy="25819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464465</xdr:colOff>
      <xdr:row>28</xdr:row>
      <xdr:rowOff>7343</xdr:rowOff>
    </xdr:from>
    <xdr:to>
      <xdr:col>26</xdr:col>
      <xdr:colOff>280147</xdr:colOff>
      <xdr:row>30</xdr:row>
      <xdr:rowOff>134470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D6268867-4F73-4A0E-906B-264AD31E9AC6}"/>
            </a:ext>
          </a:extLst>
        </xdr:cNvPr>
        <xdr:cNvCxnSpPr/>
      </xdr:nvCxnSpPr>
      <xdr:spPr>
        <a:xfrm flipH="1" flipV="1">
          <a:off x="13978759" y="14070725"/>
          <a:ext cx="420800" cy="485716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246530</xdr:colOff>
      <xdr:row>28</xdr:row>
      <xdr:rowOff>137331</xdr:rowOff>
    </xdr:from>
    <xdr:to>
      <xdr:col>24</xdr:col>
      <xdr:colOff>325512</xdr:colOff>
      <xdr:row>30</xdr:row>
      <xdr:rowOff>112058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399F9C03-6BC0-48C6-B503-56A84189BCF6}"/>
            </a:ext>
          </a:extLst>
        </xdr:cNvPr>
        <xdr:cNvCxnSpPr/>
      </xdr:nvCxnSpPr>
      <xdr:spPr>
        <a:xfrm flipV="1">
          <a:off x="13155706" y="14200713"/>
          <a:ext cx="78982" cy="333316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5023</xdr:colOff>
      <xdr:row>30</xdr:row>
      <xdr:rowOff>96988</xdr:rowOff>
    </xdr:from>
    <xdr:to>
      <xdr:col>26</xdr:col>
      <xdr:colOff>89646</xdr:colOff>
      <xdr:row>32</xdr:row>
      <xdr:rowOff>22411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5E27EDBE-BF60-48EE-9E9A-51E3538161B5}"/>
            </a:ext>
          </a:extLst>
        </xdr:cNvPr>
        <xdr:cNvSpPr txBox="1"/>
      </xdr:nvSpPr>
      <xdr:spPr>
        <a:xfrm>
          <a:off x="12914199" y="14518959"/>
          <a:ext cx="1294859" cy="2840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Libre 3 Plus Sensor</a:t>
          </a:r>
        </a:p>
      </xdr:txBody>
    </xdr:sp>
    <xdr:clientData/>
  </xdr:twoCellAnchor>
  <xdr:twoCellAnchor>
    <xdr:from>
      <xdr:col>26</xdr:col>
      <xdr:colOff>22952</xdr:colOff>
      <xdr:row>30</xdr:row>
      <xdr:rowOff>103713</xdr:rowOff>
    </xdr:from>
    <xdr:to>
      <xdr:col>27</xdr:col>
      <xdr:colOff>258276</xdr:colOff>
      <xdr:row>31</xdr:row>
      <xdr:rowOff>159743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8ACF9ED-9419-4D70-AAE3-B1D955DA3964}"/>
            </a:ext>
          </a:extLst>
        </xdr:cNvPr>
        <xdr:cNvSpPr txBox="1"/>
      </xdr:nvSpPr>
      <xdr:spPr>
        <a:xfrm>
          <a:off x="14142364" y="14525684"/>
          <a:ext cx="840441" cy="2353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Reader</a:t>
          </a:r>
        </a:p>
        <a:p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quity%20Research\Models\Health%20Care\MedTech\BSX_Model.xlsx" TargetMode="External"/><Relationship Id="rId1" Type="http://schemas.openxmlformats.org/officeDocument/2006/relationships/externalLinkPath" Target="https://d.docs.live.net/Users/User/Desktop/Equity%20Research/Models/Health%20Care/MedTech/BSX_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 | Overview"/>
      <sheetName val="Model"/>
      <sheetName val="Notes | Quant Analysis"/>
      <sheetName val="M&amp;A Scope"/>
      <sheetName val="Markets | Product Lines"/>
      <sheetName val="Management"/>
      <sheetName val="Debt Schedule"/>
      <sheetName val="Clinical Trial Channel"/>
    </sheetNames>
    <sheetDataSet>
      <sheetData sheetId="0"/>
      <sheetData sheetId="1">
        <row r="3">
          <cell r="AW3" t="str">
            <v>Q1 2020</v>
          </cell>
          <cell r="AX3" t="str">
            <v>Q2 2020</v>
          </cell>
          <cell r="AY3" t="str">
            <v>Q3 2020</v>
          </cell>
          <cell r="AZ3" t="str">
            <v>Q4 2020</v>
          </cell>
          <cell r="BA3" t="str">
            <v>Q1 2021</v>
          </cell>
          <cell r="BB3" t="str">
            <v>Q2 2021</v>
          </cell>
          <cell r="BC3" t="str">
            <v>Q3 2021</v>
          </cell>
          <cell r="BD3" t="str">
            <v>Q4 2021</v>
          </cell>
          <cell r="BE3" t="str">
            <v>Q1 2022</v>
          </cell>
          <cell r="BF3" t="str">
            <v>Q2 2022</v>
          </cell>
          <cell r="BG3" t="str">
            <v>Q3 2022</v>
          </cell>
          <cell r="BH3" t="str">
            <v>Q4 2022</v>
          </cell>
          <cell r="BI3" t="str">
            <v>Q1 2023</v>
          </cell>
          <cell r="BJ3" t="str">
            <v>Q2 2023</v>
          </cell>
          <cell r="BK3" t="str">
            <v>Q3 2023</v>
          </cell>
          <cell r="BL3" t="str">
            <v>Q4 2023</v>
          </cell>
          <cell r="BM3" t="str">
            <v>Q1 2024</v>
          </cell>
          <cell r="BN3" t="str">
            <v>Q2 2024</v>
          </cell>
          <cell r="BO3" t="str">
            <v>Q3 2024</v>
          </cell>
          <cell r="BP3" t="str">
            <v>Q4 2024</v>
          </cell>
          <cell r="BQ3" t="str">
            <v>Q1 2025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www.abbott.com/" TargetMode="External"/><Relationship Id="rId7" Type="http://schemas.openxmlformats.org/officeDocument/2006/relationships/hyperlink" Target="https://www.sec.gov/edgar/browse/?CIK=1800&amp;owner=exclude" TargetMode="External"/><Relationship Id="rId2" Type="http://schemas.openxmlformats.org/officeDocument/2006/relationships/hyperlink" Target="000%20Med-Devices%20Master%20List%20000.xlsx" TargetMode="External"/><Relationship Id="rId1" Type="http://schemas.openxmlformats.org/officeDocument/2006/relationships/hyperlink" Target="https://app.godelterminal.com/" TargetMode="External"/><Relationship Id="rId6" Type="http://schemas.openxmlformats.org/officeDocument/2006/relationships/hyperlink" Target="https://www.abbott.com/investors.html" TargetMode="External"/><Relationship Id="rId5" Type="http://schemas.openxmlformats.org/officeDocument/2006/relationships/hyperlink" Target="https://www.cardiovascular.abbott/us/en/hcp/products.html" TargetMode="External"/><Relationship Id="rId4" Type="http://schemas.openxmlformats.org/officeDocument/2006/relationships/hyperlink" Target="mailto:investor.relations@abbott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6"/>
  <sheetViews>
    <sheetView zoomScale="85" zoomScaleNormal="85" workbookViewId="0">
      <selection activeCell="Q13" sqref="Q13"/>
    </sheetView>
  </sheetViews>
  <sheetFormatPr defaultColWidth="9.140625" defaultRowHeight="14.25"/>
  <cols>
    <col min="1" max="1" width="3.42578125" style="1" customWidth="1"/>
    <col min="2" max="2" width="9" style="1" customWidth="1"/>
    <col min="3" max="3" width="10.28515625" style="1" customWidth="1"/>
    <col min="4" max="4" width="9.140625" style="1" customWidth="1"/>
    <col min="5" max="16384" width="9.140625" style="1"/>
  </cols>
  <sheetData>
    <row r="1" spans="1:18">
      <c r="A1" s="44" t="s">
        <v>0</v>
      </c>
    </row>
    <row r="2" spans="1:18" ht="15">
      <c r="B2" s="2" t="s">
        <v>120</v>
      </c>
    </row>
    <row r="3" spans="1:18">
      <c r="B3" s="1" t="s">
        <v>1</v>
      </c>
      <c r="C3" s="111">
        <v>102.98</v>
      </c>
      <c r="D3" s="43" t="s">
        <v>2279</v>
      </c>
    </row>
    <row r="4" spans="1:18">
      <c r="B4" s="1" t="s">
        <v>2</v>
      </c>
      <c r="C4" s="112">
        <v>1730.383</v>
      </c>
      <c r="D4" s="1" t="s">
        <v>2278</v>
      </c>
    </row>
    <row r="5" spans="1:18">
      <c r="B5" s="1" t="s">
        <v>3</v>
      </c>
      <c r="C5" s="113">
        <f>C3*C4</f>
        <v>178194.84134000001</v>
      </c>
    </row>
    <row r="6" spans="1:18">
      <c r="B6" s="1" t="s">
        <v>4</v>
      </c>
      <c r="C6" s="113">
        <f>5104+499</f>
        <v>5603</v>
      </c>
      <c r="D6" s="1" t="s">
        <v>2278</v>
      </c>
    </row>
    <row r="7" spans="1:18">
      <c r="B7" s="1" t="s">
        <v>5</v>
      </c>
      <c r="C7" s="113">
        <v>10036</v>
      </c>
      <c r="D7" s="1" t="s">
        <v>2278</v>
      </c>
    </row>
    <row r="8" spans="1:18">
      <c r="B8" s="1" t="s">
        <v>6</v>
      </c>
      <c r="C8" s="113">
        <f>C5-C6+C7</f>
        <v>182627.84134000001</v>
      </c>
    </row>
    <row r="10" spans="1:18" ht="15">
      <c r="B10" s="2" t="s">
        <v>123</v>
      </c>
    </row>
    <row r="12" spans="1:18" ht="15">
      <c r="B12" s="1" t="s">
        <v>97</v>
      </c>
      <c r="C12" s="1" t="s">
        <v>132</v>
      </c>
      <c r="F12" s="1" t="s">
        <v>1399</v>
      </c>
      <c r="N12" s="1" t="s">
        <v>102</v>
      </c>
      <c r="Q12" s="2"/>
    </row>
    <row r="13" spans="1:18">
      <c r="B13" s="1" t="s">
        <v>133</v>
      </c>
      <c r="F13" s="1" t="s">
        <v>96</v>
      </c>
      <c r="G13" s="1" t="s">
        <v>124</v>
      </c>
      <c r="N13" s="1" t="s">
        <v>8</v>
      </c>
      <c r="Q13" s="44" t="s">
        <v>2276</v>
      </c>
    </row>
    <row r="14" spans="1:18">
      <c r="B14" s="1" t="s">
        <v>134</v>
      </c>
      <c r="F14" s="1" t="s">
        <v>7</v>
      </c>
      <c r="N14" s="1" t="s">
        <v>121</v>
      </c>
      <c r="Q14" s="44" t="s">
        <v>125</v>
      </c>
    </row>
    <row r="15" spans="1:18">
      <c r="B15" s="1" t="s">
        <v>135</v>
      </c>
      <c r="F15" s="1" t="s">
        <v>98</v>
      </c>
      <c r="O15" s="1" t="s">
        <v>122</v>
      </c>
      <c r="R15" s="44" t="s">
        <v>126</v>
      </c>
    </row>
    <row r="16" spans="1:18">
      <c r="B16" s="1" t="s">
        <v>136</v>
      </c>
      <c r="F16" s="1" t="s">
        <v>90</v>
      </c>
      <c r="G16" s="1" t="s">
        <v>130</v>
      </c>
      <c r="I16" s="1" t="s">
        <v>91</v>
      </c>
      <c r="J16" s="44" t="s">
        <v>131</v>
      </c>
      <c r="O16" s="1" t="s">
        <v>2246</v>
      </c>
      <c r="P16" s="44"/>
      <c r="R16" s="44" t="s">
        <v>2245</v>
      </c>
    </row>
    <row r="17" spans="1:17">
      <c r="B17" s="1" t="s">
        <v>140</v>
      </c>
      <c r="N17" s="1" t="s">
        <v>93</v>
      </c>
      <c r="Q17" s="44" t="s">
        <v>1487</v>
      </c>
    </row>
    <row r="18" spans="1:17">
      <c r="B18" s="1" t="s">
        <v>137</v>
      </c>
      <c r="N18" s="1" t="s">
        <v>94</v>
      </c>
      <c r="Q18" s="44" t="s">
        <v>127</v>
      </c>
    </row>
    <row r="19" spans="1:17">
      <c r="B19" s="1" t="s">
        <v>138</v>
      </c>
      <c r="N19" s="1" t="s">
        <v>106</v>
      </c>
      <c r="Q19" s="44" t="s">
        <v>128</v>
      </c>
    </row>
    <row r="20" spans="1:17">
      <c r="B20" s="1" t="s">
        <v>139</v>
      </c>
      <c r="N20" s="1" t="s">
        <v>107</v>
      </c>
      <c r="Q20" s="44" t="s">
        <v>129</v>
      </c>
    </row>
    <row r="21" spans="1:17">
      <c r="N21" s="1" t="s">
        <v>9</v>
      </c>
      <c r="Q21" s="44" t="s">
        <v>95</v>
      </c>
    </row>
    <row r="22" spans="1:17" ht="15">
      <c r="A22" s="2" t="s">
        <v>10</v>
      </c>
    </row>
    <row r="23" spans="1:17">
      <c r="B23" s="1" t="s">
        <v>1400</v>
      </c>
    </row>
    <row r="24" spans="1:17">
      <c r="C24" s="1" t="s">
        <v>1401</v>
      </c>
    </row>
    <row r="25" spans="1:17">
      <c r="B25" s="1" t="s">
        <v>1402</v>
      </c>
    </row>
    <row r="26" spans="1:17">
      <c r="B26" s="1" t="s">
        <v>1413</v>
      </c>
    </row>
    <row r="27" spans="1:17">
      <c r="C27" s="1" t="s">
        <v>1414</v>
      </c>
    </row>
    <row r="28" spans="1:17">
      <c r="C28" s="1" t="s">
        <v>1415</v>
      </c>
    </row>
    <row r="29" spans="1:17">
      <c r="B29" s="1" t="s">
        <v>1411</v>
      </c>
    </row>
    <row r="30" spans="1:17">
      <c r="C30" s="1" t="s">
        <v>1412</v>
      </c>
    </row>
    <row r="31" spans="1:17">
      <c r="B31" s="1" t="s">
        <v>1403</v>
      </c>
    </row>
    <row r="32" spans="1:17">
      <c r="C32" s="1" t="s">
        <v>1404</v>
      </c>
    </row>
    <row r="33" spans="1:4">
      <c r="D33" s="1" t="s">
        <v>1405</v>
      </c>
    </row>
    <row r="34" spans="1:4">
      <c r="C34" s="1" t="s">
        <v>1406</v>
      </c>
    </row>
    <row r="35" spans="1:4">
      <c r="B35" s="1" t="s">
        <v>1407</v>
      </c>
    </row>
    <row r="36" spans="1:4">
      <c r="C36" s="1" t="s">
        <v>1408</v>
      </c>
    </row>
    <row r="37" spans="1:4">
      <c r="D37" s="1" t="s">
        <v>1409</v>
      </c>
    </row>
    <row r="38" spans="1:4">
      <c r="C38" s="1" t="s">
        <v>1410</v>
      </c>
    </row>
    <row r="39" spans="1:4">
      <c r="B39" s="1" t="s">
        <v>1416</v>
      </c>
    </row>
    <row r="40" spans="1:4">
      <c r="B40" s="1" t="s">
        <v>1417</v>
      </c>
    </row>
    <row r="41" spans="1:4">
      <c r="C41" s="1" t="s">
        <v>1418</v>
      </c>
    </row>
    <row r="42" spans="1:4">
      <c r="C42" s="1" t="s">
        <v>1419</v>
      </c>
    </row>
    <row r="43" spans="1:4">
      <c r="B43" s="1" t="s">
        <v>1420</v>
      </c>
    </row>
    <row r="45" spans="1:4" ht="15">
      <c r="A45" s="2" t="s">
        <v>99</v>
      </c>
    </row>
    <row r="46" spans="1:4">
      <c r="B46" s="1" t="s">
        <v>100</v>
      </c>
    </row>
  </sheetData>
  <hyperlinks>
    <hyperlink ref="Q21" r:id="rId1" xr:uid="{14375537-5C3D-4253-9650-337AB6789785}"/>
    <hyperlink ref="A1" r:id="rId2" xr:uid="{C0C23F33-620F-4877-B614-9516E0F9C0D1}"/>
    <hyperlink ref="Q14" r:id="rId3" xr:uid="{9945980D-6A69-4F9A-A461-F6C0A9FA7628}"/>
    <hyperlink ref="J16" r:id="rId4" xr:uid="{5971A300-E526-4B08-A80F-D61C7B6160D0}"/>
    <hyperlink ref="R16" r:id="rId5" xr:uid="{C21DF830-42B6-4E82-8EEB-4036ABCCE761}"/>
    <hyperlink ref="R15" r:id="rId6" xr:uid="{3F0ADC75-56B2-45CF-8C65-81369DB880F8}"/>
    <hyperlink ref="Q13" r:id="rId7" xr:uid="{FF135353-799F-426F-BDDE-D7113ABCD24E}"/>
  </hyperlinks>
  <pageMargins left="0.7" right="0.7" top="0.75" bottom="0.75" header="0.3" footer="0.3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7957-A42B-4AB7-A411-12A70E029F5D}">
  <dimension ref="B1:FA124"/>
  <sheetViews>
    <sheetView zoomScale="85" zoomScaleNormal="85" workbookViewId="0">
      <pane xSplit="2" ySplit="3" topLeftCell="CH88" activePane="bottomRight" state="frozen"/>
      <selection pane="topRight" activeCell="C1" sqref="C1"/>
      <selection pane="bottomLeft" activeCell="A4" sqref="A4"/>
      <selection pane="bottomRight" activeCell="CQ110" sqref="CQ110:CQ117"/>
    </sheetView>
  </sheetViews>
  <sheetFormatPr defaultColWidth="9.140625" defaultRowHeight="14.25"/>
  <cols>
    <col min="1" max="1" width="3.140625" style="1" customWidth="1"/>
    <col min="2" max="2" width="36.42578125" style="1" customWidth="1"/>
    <col min="3" max="65" width="9.140625" style="1"/>
    <col min="66" max="67" width="9" style="1" customWidth="1"/>
    <col min="68" max="72" width="9.140625" style="1"/>
    <col min="73" max="74" width="9.140625" style="35"/>
    <col min="75" max="94" width="9.140625" style="1"/>
    <col min="95" max="95" width="9" style="1" customWidth="1"/>
    <col min="96" max="104" width="9" style="35" customWidth="1"/>
    <col min="105" max="156" width="9.140625" style="35" customWidth="1"/>
    <col min="157" max="157" width="9.140625" style="1" customWidth="1"/>
    <col min="158" max="16384" width="9.140625" style="1"/>
  </cols>
  <sheetData>
    <row r="1" spans="2:157" ht="15">
      <c r="B1" s="1" t="s">
        <v>50</v>
      </c>
      <c r="AU1" s="33" t="s">
        <v>44</v>
      </c>
      <c r="AY1" s="33" t="s">
        <v>45</v>
      </c>
      <c r="BC1" s="33" t="s">
        <v>46</v>
      </c>
      <c r="BG1" s="33" t="s">
        <v>47</v>
      </c>
      <c r="BK1" s="33" t="s">
        <v>48</v>
      </c>
      <c r="BO1" s="33" t="s">
        <v>49</v>
      </c>
      <c r="BS1" s="33" t="s">
        <v>2277</v>
      </c>
      <c r="CR1" s="1"/>
      <c r="CS1" s="1"/>
      <c r="CT1" s="1"/>
    </row>
    <row r="2" spans="2:157">
      <c r="B2" s="1" t="s">
        <v>51</v>
      </c>
    </row>
    <row r="3" spans="2:157" ht="15">
      <c r="B3" s="2" t="s">
        <v>52</v>
      </c>
      <c r="C3" s="2" t="str" cm="1">
        <f t="array" ref="C3:BV3">"Q"&amp;MOD(_xlfn.SEQUENCE(1,72)-1,4)+1&amp;" "&amp;(2009+INT((_xlfn.SEQUENCE(1,72)-1)/4))</f>
        <v>Q1 2009</v>
      </c>
      <c r="D3" s="2" t="str">
        <v>Q2 2009</v>
      </c>
      <c r="E3" s="2" t="str">
        <v>Q3 2009</v>
      </c>
      <c r="F3" s="2" t="str">
        <v>Q4 2009</v>
      </c>
      <c r="G3" s="2" t="str">
        <v>Q1 2010</v>
      </c>
      <c r="H3" s="2" t="str">
        <v>Q2 2010</v>
      </c>
      <c r="I3" s="2" t="str">
        <v>Q3 2010</v>
      </c>
      <c r="J3" s="2" t="str">
        <v>Q4 2010</v>
      </c>
      <c r="K3" s="2" t="str">
        <v>Q1 2011</v>
      </c>
      <c r="L3" s="2" t="str">
        <v>Q2 2011</v>
      </c>
      <c r="M3" s="2" t="str">
        <v>Q3 2011</v>
      </c>
      <c r="N3" s="2" t="str">
        <v>Q4 2011</v>
      </c>
      <c r="O3" s="2" t="str">
        <v>Q1 2012</v>
      </c>
      <c r="P3" s="2" t="str">
        <v>Q2 2012</v>
      </c>
      <c r="Q3" s="2" t="str">
        <v>Q3 2012</v>
      </c>
      <c r="R3" s="2" t="str">
        <v>Q4 2012</v>
      </c>
      <c r="S3" s="2" t="str">
        <v>Q1 2013</v>
      </c>
      <c r="T3" s="2" t="str">
        <v>Q2 2013</v>
      </c>
      <c r="U3" s="2" t="str">
        <v>Q3 2013</v>
      </c>
      <c r="V3" s="2" t="str">
        <v>Q4 2013</v>
      </c>
      <c r="W3" s="2" t="str">
        <v>Q1 2014</v>
      </c>
      <c r="X3" s="2" t="str">
        <v>Q2 2014</v>
      </c>
      <c r="Y3" s="2" t="str">
        <v>Q3 2014</v>
      </c>
      <c r="Z3" s="2" t="str">
        <v>Q4 2014</v>
      </c>
      <c r="AA3" s="2" t="str">
        <v>Q1 2015</v>
      </c>
      <c r="AB3" s="2" t="str">
        <v>Q2 2015</v>
      </c>
      <c r="AC3" s="2" t="str">
        <v>Q3 2015</v>
      </c>
      <c r="AD3" s="2" t="str">
        <v>Q4 2015</v>
      </c>
      <c r="AE3" s="2" t="str">
        <v>Q1 2016</v>
      </c>
      <c r="AF3" s="2" t="str">
        <v>Q2 2016</v>
      </c>
      <c r="AG3" s="2" t="str">
        <v>Q3 2016</v>
      </c>
      <c r="AH3" s="2" t="str">
        <v>Q4 2016</v>
      </c>
      <c r="AI3" s="2" t="str">
        <v>Q1 2017</v>
      </c>
      <c r="AJ3" s="2" t="str">
        <v>Q2 2017</v>
      </c>
      <c r="AK3" s="2" t="str">
        <v>Q3 2017</v>
      </c>
      <c r="AL3" s="2" t="str">
        <v>Q4 2017</v>
      </c>
      <c r="AM3" s="2" t="str">
        <v>Q1 2018</v>
      </c>
      <c r="AN3" s="2" t="str">
        <v>Q2 2018</v>
      </c>
      <c r="AO3" s="2" t="str">
        <v>Q3 2018</v>
      </c>
      <c r="AP3" s="2" t="str">
        <v>Q4 2018</v>
      </c>
      <c r="AQ3" s="2" t="str">
        <v>Q1 2019</v>
      </c>
      <c r="AR3" s="2" t="str">
        <v>Q2 2019</v>
      </c>
      <c r="AS3" s="2" t="str">
        <v>Q3 2019</v>
      </c>
      <c r="AT3" s="2" t="str">
        <v>Q4 2019</v>
      </c>
      <c r="AU3" s="2" t="str">
        <v>Q1 2020</v>
      </c>
      <c r="AV3" s="2" t="str">
        <v>Q2 2020</v>
      </c>
      <c r="AW3" s="2" t="str">
        <v>Q3 2020</v>
      </c>
      <c r="AX3" s="2" t="str">
        <v>Q4 2020</v>
      </c>
      <c r="AY3" s="2" t="str">
        <v>Q1 2021</v>
      </c>
      <c r="AZ3" s="2" t="str">
        <v>Q2 2021</v>
      </c>
      <c r="BA3" s="2" t="str">
        <v>Q3 2021</v>
      </c>
      <c r="BB3" s="2" t="str">
        <v>Q4 2021</v>
      </c>
      <c r="BC3" s="2" t="str">
        <v>Q1 2022</v>
      </c>
      <c r="BD3" s="2" t="str">
        <v>Q2 2022</v>
      </c>
      <c r="BE3" s="2" t="str">
        <v>Q3 2022</v>
      </c>
      <c r="BF3" s="2" t="str">
        <v>Q4 2022</v>
      </c>
      <c r="BG3" s="2" t="str">
        <v>Q1 2023</v>
      </c>
      <c r="BH3" s="2" t="str">
        <v>Q2 2023</v>
      </c>
      <c r="BI3" s="2" t="str">
        <v>Q3 2023</v>
      </c>
      <c r="BJ3" s="2" t="str">
        <v>Q4 2023</v>
      </c>
      <c r="BK3" s="2" t="str">
        <v>Q1 2024</v>
      </c>
      <c r="BL3" s="2" t="str">
        <v>Q2 2024</v>
      </c>
      <c r="BM3" s="2" t="str">
        <v>Q3 2024</v>
      </c>
      <c r="BN3" s="2" t="str">
        <v>Q4 2024</v>
      </c>
      <c r="BO3" s="2" t="str">
        <v>Q1 2025</v>
      </c>
      <c r="BP3" s="2" t="str">
        <v>Q2 2025</v>
      </c>
      <c r="BQ3" s="2" t="str">
        <v>Q3 2025</v>
      </c>
      <c r="BR3" s="2" t="str">
        <v>Q4 2025</v>
      </c>
      <c r="BS3" s="2" t="str">
        <v>Q1 2026</v>
      </c>
      <c r="BT3" s="2" t="str">
        <v>Q2 2026</v>
      </c>
      <c r="BU3" s="34" t="str">
        <v>Q3 2026</v>
      </c>
      <c r="BV3" s="34" t="str">
        <v>Q4 2026</v>
      </c>
      <c r="CA3" s="2">
        <v>2009</v>
      </c>
      <c r="CB3" s="2">
        <f t="shared" ref="CB3:EM3" si="0">CA3+1</f>
        <v>2010</v>
      </c>
      <c r="CC3" s="2">
        <f t="shared" si="0"/>
        <v>2011</v>
      </c>
      <c r="CD3" s="2">
        <f t="shared" si="0"/>
        <v>2012</v>
      </c>
      <c r="CE3" s="2">
        <f t="shared" si="0"/>
        <v>2013</v>
      </c>
      <c r="CF3" s="2">
        <f t="shared" si="0"/>
        <v>2014</v>
      </c>
      <c r="CG3" s="2">
        <f t="shared" si="0"/>
        <v>2015</v>
      </c>
      <c r="CH3" s="2">
        <f t="shared" si="0"/>
        <v>2016</v>
      </c>
      <c r="CI3" s="2">
        <f t="shared" si="0"/>
        <v>2017</v>
      </c>
      <c r="CJ3" s="2">
        <f t="shared" si="0"/>
        <v>2018</v>
      </c>
      <c r="CK3" s="2">
        <f t="shared" si="0"/>
        <v>2019</v>
      </c>
      <c r="CL3" s="2">
        <f t="shared" si="0"/>
        <v>2020</v>
      </c>
      <c r="CM3" s="2">
        <f t="shared" si="0"/>
        <v>2021</v>
      </c>
      <c r="CN3" s="2">
        <f t="shared" si="0"/>
        <v>2022</v>
      </c>
      <c r="CO3" s="2">
        <f t="shared" si="0"/>
        <v>2023</v>
      </c>
      <c r="CP3" s="2">
        <f t="shared" si="0"/>
        <v>2024</v>
      </c>
      <c r="CQ3" s="2">
        <f t="shared" si="0"/>
        <v>2025</v>
      </c>
      <c r="CR3" s="34">
        <f t="shared" si="0"/>
        <v>2026</v>
      </c>
      <c r="CS3" s="34">
        <f t="shared" si="0"/>
        <v>2027</v>
      </c>
      <c r="CT3" s="34">
        <f t="shared" si="0"/>
        <v>2028</v>
      </c>
      <c r="CU3" s="34">
        <f t="shared" si="0"/>
        <v>2029</v>
      </c>
      <c r="CV3" s="34">
        <f t="shared" si="0"/>
        <v>2030</v>
      </c>
      <c r="CW3" s="34">
        <f t="shared" si="0"/>
        <v>2031</v>
      </c>
      <c r="CX3" s="34">
        <f t="shared" si="0"/>
        <v>2032</v>
      </c>
      <c r="CY3" s="34">
        <f t="shared" si="0"/>
        <v>2033</v>
      </c>
      <c r="CZ3" s="34">
        <f t="shared" si="0"/>
        <v>2034</v>
      </c>
      <c r="DA3" s="34">
        <f t="shared" si="0"/>
        <v>2035</v>
      </c>
      <c r="DB3" s="34">
        <f t="shared" si="0"/>
        <v>2036</v>
      </c>
      <c r="DC3" s="34">
        <f t="shared" si="0"/>
        <v>2037</v>
      </c>
      <c r="DD3" s="34">
        <f t="shared" si="0"/>
        <v>2038</v>
      </c>
      <c r="DE3" s="34">
        <f t="shared" si="0"/>
        <v>2039</v>
      </c>
      <c r="DF3" s="34">
        <f t="shared" si="0"/>
        <v>2040</v>
      </c>
      <c r="DG3" s="34">
        <f t="shared" si="0"/>
        <v>2041</v>
      </c>
      <c r="DH3" s="34">
        <f t="shared" si="0"/>
        <v>2042</v>
      </c>
      <c r="DI3" s="34">
        <f t="shared" si="0"/>
        <v>2043</v>
      </c>
      <c r="DJ3" s="34">
        <f t="shared" si="0"/>
        <v>2044</v>
      </c>
      <c r="DK3" s="34">
        <f t="shared" si="0"/>
        <v>2045</v>
      </c>
      <c r="DL3" s="34">
        <f t="shared" si="0"/>
        <v>2046</v>
      </c>
      <c r="DM3" s="34">
        <f t="shared" si="0"/>
        <v>2047</v>
      </c>
      <c r="DN3" s="34">
        <f t="shared" si="0"/>
        <v>2048</v>
      </c>
      <c r="DO3" s="34">
        <f t="shared" si="0"/>
        <v>2049</v>
      </c>
      <c r="DP3" s="34">
        <f t="shared" si="0"/>
        <v>2050</v>
      </c>
      <c r="DQ3" s="34">
        <f t="shared" si="0"/>
        <v>2051</v>
      </c>
      <c r="DR3" s="34">
        <f t="shared" si="0"/>
        <v>2052</v>
      </c>
      <c r="DS3" s="34">
        <f t="shared" si="0"/>
        <v>2053</v>
      </c>
      <c r="DT3" s="34">
        <f t="shared" si="0"/>
        <v>2054</v>
      </c>
      <c r="DU3" s="34">
        <f t="shared" si="0"/>
        <v>2055</v>
      </c>
      <c r="DV3" s="34">
        <f t="shared" si="0"/>
        <v>2056</v>
      </c>
      <c r="DW3" s="34">
        <f t="shared" si="0"/>
        <v>2057</v>
      </c>
      <c r="DX3" s="34">
        <f t="shared" si="0"/>
        <v>2058</v>
      </c>
      <c r="DY3" s="34">
        <f t="shared" si="0"/>
        <v>2059</v>
      </c>
      <c r="DZ3" s="34">
        <f t="shared" si="0"/>
        <v>2060</v>
      </c>
      <c r="EA3" s="34">
        <f t="shared" si="0"/>
        <v>2061</v>
      </c>
      <c r="EB3" s="34">
        <f t="shared" si="0"/>
        <v>2062</v>
      </c>
      <c r="EC3" s="34">
        <f t="shared" si="0"/>
        <v>2063</v>
      </c>
      <c r="ED3" s="34">
        <f t="shared" si="0"/>
        <v>2064</v>
      </c>
      <c r="EE3" s="34">
        <f t="shared" si="0"/>
        <v>2065</v>
      </c>
      <c r="EF3" s="34">
        <f t="shared" si="0"/>
        <v>2066</v>
      </c>
      <c r="EG3" s="34">
        <f t="shared" si="0"/>
        <v>2067</v>
      </c>
      <c r="EH3" s="34">
        <f t="shared" si="0"/>
        <v>2068</v>
      </c>
      <c r="EI3" s="34">
        <f t="shared" si="0"/>
        <v>2069</v>
      </c>
      <c r="EJ3" s="34">
        <f t="shared" si="0"/>
        <v>2070</v>
      </c>
      <c r="EK3" s="34">
        <f t="shared" si="0"/>
        <v>2071</v>
      </c>
      <c r="EL3" s="34">
        <f t="shared" si="0"/>
        <v>2072</v>
      </c>
      <c r="EM3" s="34">
        <f t="shared" si="0"/>
        <v>2073</v>
      </c>
      <c r="EN3" s="34">
        <f t="shared" ref="EN3:EX3" si="1">EM3+1</f>
        <v>2074</v>
      </c>
      <c r="EO3" s="34">
        <f t="shared" si="1"/>
        <v>2075</v>
      </c>
      <c r="EP3" s="34">
        <f t="shared" si="1"/>
        <v>2076</v>
      </c>
      <c r="EQ3" s="34">
        <f t="shared" si="1"/>
        <v>2077</v>
      </c>
      <c r="ER3" s="34">
        <f t="shared" si="1"/>
        <v>2078</v>
      </c>
      <c r="ES3" s="34">
        <f t="shared" si="1"/>
        <v>2079</v>
      </c>
      <c r="ET3" s="34">
        <f t="shared" si="1"/>
        <v>2080</v>
      </c>
      <c r="EU3" s="34">
        <f t="shared" si="1"/>
        <v>2081</v>
      </c>
      <c r="EV3" s="34">
        <f t="shared" si="1"/>
        <v>2082</v>
      </c>
      <c r="EW3" s="34">
        <f t="shared" si="1"/>
        <v>2083</v>
      </c>
      <c r="EX3" s="34">
        <f t="shared" si="1"/>
        <v>2084</v>
      </c>
      <c r="EY3" s="34"/>
      <c r="EZ3" s="34"/>
      <c r="FA3" s="2"/>
    </row>
    <row r="4" spans="2:157" s="2" customFormat="1" ht="15">
      <c r="B4" s="63" t="s">
        <v>1423</v>
      </c>
      <c r="AU4" s="2">
        <v>1044</v>
      </c>
      <c r="AV4" s="2">
        <v>1013</v>
      </c>
      <c r="AW4" s="2">
        <v>1099</v>
      </c>
      <c r="AX4" s="2">
        <f>4303-SUM(AU4:AW4)</f>
        <v>1147</v>
      </c>
      <c r="AY4" s="2">
        <v>1070</v>
      </c>
      <c r="AZ4" s="2">
        <v>1180</v>
      </c>
      <c r="BA4" s="2">
        <v>1265</v>
      </c>
      <c r="BB4" s="2">
        <f>4718-SUM(AY4:BA4)</f>
        <v>1203</v>
      </c>
      <c r="BC4" s="2">
        <v>1147</v>
      </c>
      <c r="BD4" s="2">
        <f>1223</f>
        <v>1223</v>
      </c>
      <c r="BE4" s="2">
        <v>1326</v>
      </c>
      <c r="BF4" s="2">
        <f>3766+1146-SUM(BC4:BE4)</f>
        <v>1216</v>
      </c>
      <c r="BG4" s="2">
        <v>1189</v>
      </c>
      <c r="BH4" s="2">
        <v>1287</v>
      </c>
      <c r="BI4" s="2">
        <v>1368</v>
      </c>
      <c r="BJ4" s="2">
        <f>3807+1259-SUM(BG4:BI4)</f>
        <v>1222</v>
      </c>
      <c r="BK4" s="2">
        <v>1226</v>
      </c>
      <c r="BL4" s="2">
        <v>1294</v>
      </c>
      <c r="BM4" s="2">
        <v>1406</v>
      </c>
      <c r="BN4" s="2">
        <f>3858+1336-SUM(BK4:BM4)</f>
        <v>1268</v>
      </c>
      <c r="BO4" s="2">
        <v>1260</v>
      </c>
      <c r="BP4" s="2">
        <v>1383</v>
      </c>
      <c r="BQ4" s="2">
        <v>1511</v>
      </c>
      <c r="BR4" s="2">
        <f>1046+336</f>
        <v>1382</v>
      </c>
      <c r="BS4" s="2">
        <v>1426</v>
      </c>
      <c r="BT4" s="2">
        <v>1426</v>
      </c>
      <c r="BU4" s="34"/>
      <c r="BV4" s="34"/>
      <c r="CL4" s="2">
        <f t="shared" ref="CL4:CL22" si="2">SUM(AU4:AX4)</f>
        <v>4303</v>
      </c>
      <c r="CM4" s="2">
        <f t="shared" ref="CM4:CM22" si="3">SUM(AY4:BB4)</f>
        <v>4718</v>
      </c>
      <c r="CN4" s="2">
        <f t="shared" ref="CN4:CN22" si="4">SUM(BC4:BF4)</f>
        <v>4912</v>
      </c>
      <c r="CO4" s="2">
        <f t="shared" ref="CO4:CO22" si="5">SUM(BG4:BJ4)</f>
        <v>5066</v>
      </c>
      <c r="CP4" s="2">
        <f t="shared" ref="CP4:CP22" si="6">SUM(BK4:BN4)</f>
        <v>5194</v>
      </c>
      <c r="CQ4" s="2">
        <f>SUM(BO4:BR4)</f>
        <v>5536</v>
      </c>
      <c r="CR4" s="68">
        <f t="shared" ref="CR4" si="7">CQ4*(1+CR24)</f>
        <v>6255.6799999999994</v>
      </c>
      <c r="CS4" s="68">
        <f t="shared" ref="CS4:CS6" si="8">CR4*(1+CS24)</f>
        <v>6943.8047999999999</v>
      </c>
      <c r="CT4" s="68">
        <f t="shared" ref="CT4:CT6" si="9">CS4*(1+CT24)</f>
        <v>7603.4662559999997</v>
      </c>
      <c r="CU4" s="68">
        <f t="shared" ref="CU4:CU6" si="10">CT4*(1+CU24)</f>
        <v>8211.7435564799998</v>
      </c>
      <c r="CV4" s="68">
        <f t="shared" ref="CV4:CV6" si="11">CU4*(1+CV24)</f>
        <v>8827.6243232159995</v>
      </c>
      <c r="CW4" s="68">
        <f t="shared" ref="CW4:CW6" si="12">CV4*(1+CW24)</f>
        <v>9445.5580258411192</v>
      </c>
      <c r="CX4" s="68">
        <f t="shared" ref="CX4:CX6" si="13">CW4*(1+CX24)</f>
        <v>10059.519297520792</v>
      </c>
      <c r="CY4" s="68">
        <f t="shared" ref="CY4:CY6" si="14">CX4*(1+CY24)</f>
        <v>10562.495262396831</v>
      </c>
      <c r="CZ4" s="68">
        <f t="shared" ref="CZ4:CZ6" si="15">CY4*(1+CZ24)</f>
        <v>11037.807549204688</v>
      </c>
      <c r="DA4" s="34"/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4"/>
      <c r="DQ4" s="34"/>
      <c r="DR4" s="34"/>
      <c r="DS4" s="34"/>
      <c r="DT4" s="34"/>
      <c r="DU4" s="34"/>
      <c r="DV4" s="34"/>
      <c r="DW4" s="34"/>
      <c r="DX4" s="34"/>
      <c r="DY4" s="34"/>
      <c r="DZ4" s="34"/>
      <c r="EA4" s="34"/>
      <c r="EB4" s="34"/>
      <c r="EC4" s="34"/>
      <c r="ED4" s="34"/>
      <c r="EE4" s="34"/>
      <c r="EF4" s="34"/>
      <c r="EG4" s="34"/>
      <c r="EH4" s="34"/>
      <c r="EI4" s="34"/>
      <c r="EJ4" s="34"/>
      <c r="EK4" s="34"/>
      <c r="EL4" s="34"/>
      <c r="EM4" s="34"/>
      <c r="EN4" s="34"/>
      <c r="EO4" s="34"/>
      <c r="EP4" s="34"/>
      <c r="EQ4" s="34"/>
      <c r="ER4" s="34"/>
      <c r="ES4" s="34"/>
      <c r="ET4" s="34"/>
      <c r="EU4" s="34"/>
      <c r="EV4" s="34"/>
      <c r="EW4" s="34"/>
      <c r="EX4" s="34"/>
      <c r="EY4" s="34"/>
      <c r="EZ4" s="34"/>
    </row>
    <row r="5" spans="2:157">
      <c r="B5" s="36" t="s">
        <v>1421</v>
      </c>
      <c r="AU5" s="1">
        <v>1089</v>
      </c>
      <c r="AV5" s="1">
        <v>1024</v>
      </c>
      <c r="AW5" s="1">
        <v>1006</v>
      </c>
      <c r="AX5" s="1">
        <f>4127-SUM(AU5:AW5)</f>
        <v>1008</v>
      </c>
      <c r="AY5" s="1">
        <v>1066</v>
      </c>
      <c r="AZ5" s="1">
        <v>1093</v>
      </c>
      <c r="BA5" s="1">
        <v>1100</v>
      </c>
      <c r="BB5" s="1">
        <f>4298-SUM(AY5:BA5)</f>
        <v>1039</v>
      </c>
      <c r="BC5" s="1">
        <v>847</v>
      </c>
      <c r="BD5" s="1">
        <v>925</v>
      </c>
      <c r="BE5" s="1">
        <v>827</v>
      </c>
      <c r="BF5" s="1">
        <f>1919+1562-SUM(BC5:BE5)</f>
        <v>882</v>
      </c>
      <c r="BG5" s="1">
        <v>924</v>
      </c>
      <c r="BH5" s="1">
        <v>1024</v>
      </c>
      <c r="BI5" s="1">
        <v>1001</v>
      </c>
      <c r="BJ5" s="1">
        <f>3934-SUM(BG5:BI5)</f>
        <v>985</v>
      </c>
      <c r="BK5" s="1">
        <v>1009</v>
      </c>
      <c r="BL5" s="1">
        <v>1059</v>
      </c>
      <c r="BM5" s="1">
        <v>955</v>
      </c>
      <c r="BN5" s="1">
        <f>1815+2208-SUM(BK5:BM5)</f>
        <v>1000</v>
      </c>
      <c r="BO5" s="1">
        <v>1041</v>
      </c>
      <c r="BP5" s="1">
        <v>1054</v>
      </c>
      <c r="BQ5" s="1">
        <v>977</v>
      </c>
      <c r="BR5" s="1">
        <f>3974-SUM(BO5:BQ5)</f>
        <v>902</v>
      </c>
      <c r="BS5" s="1">
        <v>953</v>
      </c>
      <c r="BT5" s="1">
        <v>953</v>
      </c>
      <c r="CL5" s="1">
        <f t="shared" si="2"/>
        <v>4127</v>
      </c>
      <c r="CM5" s="1">
        <f t="shared" si="3"/>
        <v>4298</v>
      </c>
      <c r="CN5" s="1">
        <f t="shared" si="4"/>
        <v>3481</v>
      </c>
      <c r="CO5" s="1">
        <f t="shared" si="5"/>
        <v>3934</v>
      </c>
      <c r="CP5" s="1">
        <f t="shared" si="6"/>
        <v>4023</v>
      </c>
      <c r="CQ5" s="1">
        <f>SUM(BO5:BR5)</f>
        <v>3974</v>
      </c>
      <c r="CR5" s="69">
        <f t="shared" ref="CR5" si="16">CQ5*(1+CR25)</f>
        <v>4343.5820000000003</v>
      </c>
      <c r="CS5" s="69">
        <f t="shared" si="8"/>
        <v>3822.3521600000004</v>
      </c>
      <c r="CT5" s="69">
        <f t="shared" si="9"/>
        <v>3593.0110304</v>
      </c>
      <c r="CU5" s="69">
        <f t="shared" si="10"/>
        <v>3413.3604788799998</v>
      </c>
      <c r="CV5" s="69">
        <f t="shared" si="11"/>
        <v>3457.7341651054394</v>
      </c>
      <c r="CW5" s="69">
        <f t="shared" si="12"/>
        <v>3502.6847092518096</v>
      </c>
      <c r="CX5" s="69">
        <f t="shared" si="13"/>
        <v>3548.2196104720829</v>
      </c>
      <c r="CY5" s="69">
        <f t="shared" si="14"/>
        <v>3590.7982457977478</v>
      </c>
      <c r="CZ5" s="69">
        <f t="shared" si="15"/>
        <v>3633.8878247473208</v>
      </c>
    </row>
    <row r="6" spans="2:157">
      <c r="B6" s="36" t="s">
        <v>1422</v>
      </c>
      <c r="AU6" s="1">
        <v>815</v>
      </c>
      <c r="AV6" s="1">
        <v>859</v>
      </c>
      <c r="AW6" s="1">
        <v>918</v>
      </c>
      <c r="AX6" s="1">
        <f>3520-SUM(AU6:AW6)</f>
        <v>928</v>
      </c>
      <c r="AY6" s="1">
        <v>970</v>
      </c>
      <c r="AZ6" s="1">
        <v>1015</v>
      </c>
      <c r="BA6" s="1">
        <v>1008</v>
      </c>
      <c r="BB6" s="1">
        <f>3996-SUM(AY6:BA6)</f>
        <v>1003</v>
      </c>
      <c r="BC6" s="1">
        <v>1047</v>
      </c>
      <c r="BD6" s="1">
        <v>1028</v>
      </c>
      <c r="BE6" s="1">
        <v>968</v>
      </c>
      <c r="BF6" s="1">
        <f>2621+1357-SUM(BC6:BE6)</f>
        <v>935</v>
      </c>
      <c r="BG6" s="1">
        <v>1043</v>
      </c>
      <c r="BH6" s="1">
        <v>1052</v>
      </c>
      <c r="BI6" s="1">
        <v>1072</v>
      </c>
      <c r="BJ6" s="1">
        <f>4220-SUM(BG6:BI6)</f>
        <v>1053</v>
      </c>
      <c r="BK6" s="1">
        <v>1059</v>
      </c>
      <c r="BL6" s="1">
        <v>1091</v>
      </c>
      <c r="BM6" s="1">
        <v>1111</v>
      </c>
      <c r="BN6" s="1">
        <f>2909+1481-SUM(BK6:BM6)</f>
        <v>1129</v>
      </c>
      <c r="BO6" s="1">
        <v>1105</v>
      </c>
      <c r="BP6" s="1">
        <v>1158</v>
      </c>
      <c r="BQ6" s="1">
        <v>1176</v>
      </c>
      <c r="BR6" s="1">
        <f>3029+1448-SUM(BO6:BQ6)</f>
        <v>1038</v>
      </c>
      <c r="BS6" s="1">
        <v>1064</v>
      </c>
      <c r="BT6" s="1">
        <v>1064</v>
      </c>
      <c r="CL6" s="1">
        <f t="shared" si="2"/>
        <v>3520</v>
      </c>
      <c r="CM6" s="1">
        <f t="shared" si="3"/>
        <v>3996</v>
      </c>
      <c r="CN6" s="1">
        <f t="shared" si="4"/>
        <v>3978</v>
      </c>
      <c r="CO6" s="1">
        <f t="shared" si="5"/>
        <v>4220</v>
      </c>
      <c r="CP6" s="1">
        <f t="shared" si="6"/>
        <v>4390</v>
      </c>
      <c r="CQ6" s="1">
        <f>SUM(BO6:BR6)</f>
        <v>4477</v>
      </c>
      <c r="CR6" s="69">
        <f t="shared" ref="CR6" si="17">CQ6*(1+CR26)</f>
        <v>4208.38</v>
      </c>
      <c r="CS6" s="69">
        <f t="shared" si="8"/>
        <v>3913.7934</v>
      </c>
      <c r="CT6" s="69">
        <f t="shared" si="9"/>
        <v>3718.1037299999998</v>
      </c>
      <c r="CU6" s="69">
        <f t="shared" si="10"/>
        <v>3643.7416553999997</v>
      </c>
      <c r="CV6" s="69">
        <f t="shared" si="11"/>
        <v>3680.1790719539995</v>
      </c>
      <c r="CW6" s="69">
        <f t="shared" si="12"/>
        <v>3753.7826533930797</v>
      </c>
      <c r="CX6" s="69">
        <f t="shared" si="13"/>
        <v>3922.7028727957681</v>
      </c>
      <c r="CY6" s="69">
        <f t="shared" si="14"/>
        <v>4079.6109877075992</v>
      </c>
      <c r="CZ6" s="69">
        <f t="shared" si="15"/>
        <v>4201.9993173388275</v>
      </c>
    </row>
    <row r="7" spans="2:157" s="2" customFormat="1" ht="15">
      <c r="B7" s="33" t="s">
        <v>1424</v>
      </c>
      <c r="AU7" s="2">
        <f t="shared" ref="AU7:BP7" si="18">SUM(AU5:AU6)</f>
        <v>1904</v>
      </c>
      <c r="AV7" s="2">
        <f t="shared" si="18"/>
        <v>1883</v>
      </c>
      <c r="AW7" s="2">
        <f t="shared" si="18"/>
        <v>1924</v>
      </c>
      <c r="AX7" s="2">
        <f t="shared" si="18"/>
        <v>1936</v>
      </c>
      <c r="AY7" s="2">
        <f t="shared" si="18"/>
        <v>2036</v>
      </c>
      <c r="AZ7" s="2">
        <f t="shared" si="18"/>
        <v>2108</v>
      </c>
      <c r="BA7" s="2">
        <f t="shared" si="18"/>
        <v>2108</v>
      </c>
      <c r="BB7" s="2">
        <f t="shared" si="18"/>
        <v>2042</v>
      </c>
      <c r="BC7" s="2">
        <f t="shared" si="18"/>
        <v>1894</v>
      </c>
      <c r="BD7" s="2">
        <f t="shared" si="18"/>
        <v>1953</v>
      </c>
      <c r="BE7" s="2">
        <f t="shared" si="18"/>
        <v>1795</v>
      </c>
      <c r="BF7" s="2">
        <f t="shared" si="18"/>
        <v>1817</v>
      </c>
      <c r="BG7" s="2">
        <f t="shared" si="18"/>
        <v>1967</v>
      </c>
      <c r="BH7" s="2">
        <f t="shared" si="18"/>
        <v>2076</v>
      </c>
      <c r="BI7" s="2">
        <f t="shared" si="18"/>
        <v>2073</v>
      </c>
      <c r="BJ7" s="2">
        <f t="shared" si="18"/>
        <v>2038</v>
      </c>
      <c r="BK7" s="2">
        <f t="shared" si="18"/>
        <v>2068</v>
      </c>
      <c r="BL7" s="2">
        <f t="shared" si="18"/>
        <v>2150</v>
      </c>
      <c r="BM7" s="2">
        <f t="shared" si="18"/>
        <v>2066</v>
      </c>
      <c r="BN7" s="2">
        <f t="shared" si="18"/>
        <v>2129</v>
      </c>
      <c r="BO7" s="2">
        <f t="shared" si="18"/>
        <v>2146</v>
      </c>
      <c r="BP7" s="2">
        <f t="shared" si="18"/>
        <v>2212</v>
      </c>
      <c r="BQ7" s="2">
        <f>SUM(BQ5:BQ6)</f>
        <v>2153</v>
      </c>
      <c r="BR7" s="2">
        <f t="shared" ref="BR7" si="19">SUM(BR5:BR6)</f>
        <v>1940</v>
      </c>
      <c r="BS7" s="2">
        <f>SUM(BS5:BS6)</f>
        <v>2017</v>
      </c>
      <c r="BT7" s="2">
        <f>SUM(BT5:BT6)</f>
        <v>2017</v>
      </c>
      <c r="BU7" s="34"/>
      <c r="BV7" s="34"/>
      <c r="CL7" s="2">
        <f t="shared" si="2"/>
        <v>7647</v>
      </c>
      <c r="CM7" s="2">
        <f t="shared" si="3"/>
        <v>8294</v>
      </c>
      <c r="CN7" s="2">
        <f t="shared" si="4"/>
        <v>7459</v>
      </c>
      <c r="CO7" s="2">
        <f t="shared" si="5"/>
        <v>8154</v>
      </c>
      <c r="CP7" s="2">
        <f t="shared" si="6"/>
        <v>8413</v>
      </c>
      <c r="CQ7" s="2">
        <f>SUM(BO7:BR7)</f>
        <v>8451</v>
      </c>
      <c r="CR7" s="68">
        <f>SUM(CR5:CR6)</f>
        <v>8551.9619999999995</v>
      </c>
      <c r="CS7" s="68">
        <f t="shared" ref="CS7:CZ7" si="20">SUM(CS5:CS6)</f>
        <v>7736.1455600000008</v>
      </c>
      <c r="CT7" s="68">
        <f t="shared" si="20"/>
        <v>7311.1147603999998</v>
      </c>
      <c r="CU7" s="68">
        <f t="shared" si="20"/>
        <v>7057.1021342799995</v>
      </c>
      <c r="CV7" s="68">
        <f t="shared" si="20"/>
        <v>7137.9132370594389</v>
      </c>
      <c r="CW7" s="68">
        <f t="shared" si="20"/>
        <v>7256.4673626448894</v>
      </c>
      <c r="CX7" s="68">
        <f t="shared" si="20"/>
        <v>7470.922483267851</v>
      </c>
      <c r="CY7" s="68">
        <f t="shared" si="20"/>
        <v>7670.4092335053465</v>
      </c>
      <c r="CZ7" s="68">
        <f t="shared" si="20"/>
        <v>7835.8871420861487</v>
      </c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</row>
    <row r="8" spans="2:157">
      <c r="B8" s="36" t="s">
        <v>1425</v>
      </c>
      <c r="AU8" s="1">
        <v>989</v>
      </c>
      <c r="AV8" s="1">
        <v>987</v>
      </c>
      <c r="AW8" s="1">
        <v>1176</v>
      </c>
      <c r="AX8" s="1">
        <f>4475-SUM(AU8:AW8)</f>
        <v>1323</v>
      </c>
      <c r="AY8" s="1">
        <v>1182</v>
      </c>
      <c r="AZ8" s="1">
        <v>1306</v>
      </c>
      <c r="BA8" s="1">
        <v>1292</v>
      </c>
      <c r="BB8" s="1">
        <f>5128-SUM(AY8:BA8)</f>
        <v>1348</v>
      </c>
      <c r="BC8" s="1">
        <v>1184</v>
      </c>
      <c r="BD8" s="1">
        <v>1221</v>
      </c>
      <c r="BE8" s="1">
        <v>1219</v>
      </c>
      <c r="BF8" s="1">
        <f>4888-SUM(BC8:BE8)</f>
        <v>1264</v>
      </c>
      <c r="BG8" s="1">
        <v>1182</v>
      </c>
      <c r="BH8" s="1">
        <v>1293</v>
      </c>
      <c r="BI8" s="1">
        <v>1314</v>
      </c>
      <c r="BJ8" s="1">
        <f>5159-SUM(BG8:BI8)</f>
        <v>1370</v>
      </c>
      <c r="BK8" s="1">
        <v>1205</v>
      </c>
      <c r="BL8" s="1">
        <v>1329</v>
      </c>
      <c r="BM8" s="1">
        <v>1314</v>
      </c>
      <c r="BN8" s="1">
        <f>5235-SUM(BK8:BM8)</f>
        <v>1387</v>
      </c>
      <c r="BO8" s="1">
        <v>1177</v>
      </c>
      <c r="BP8" s="1">
        <v>1358</v>
      </c>
      <c r="BQ8" s="1">
        <v>1364</v>
      </c>
      <c r="BR8" s="1">
        <v>1461</v>
      </c>
      <c r="BS8" s="1">
        <v>1272</v>
      </c>
      <c r="BT8" s="1">
        <v>1272</v>
      </c>
      <c r="CL8" s="1">
        <f t="shared" si="2"/>
        <v>4475</v>
      </c>
      <c r="CM8" s="1">
        <f t="shared" si="3"/>
        <v>5128</v>
      </c>
      <c r="CN8" s="1">
        <f t="shared" si="4"/>
        <v>4888</v>
      </c>
      <c r="CO8" s="1">
        <f t="shared" si="5"/>
        <v>5159</v>
      </c>
      <c r="CP8" s="1">
        <f t="shared" si="6"/>
        <v>5235</v>
      </c>
      <c r="CQ8" s="1">
        <f t="shared" ref="CQ8:CQ19" si="21">SUM(BO8:BR8)</f>
        <v>5360</v>
      </c>
      <c r="CR8" s="69">
        <f>CQ8*(1+CR28)</f>
        <v>5547.5999999999995</v>
      </c>
      <c r="CS8" s="69">
        <f t="shared" ref="CS8:CZ8" si="22">CR8*(1+CS28)</f>
        <v>5625.2663999999995</v>
      </c>
      <c r="CT8" s="69">
        <f t="shared" si="22"/>
        <v>5704.0201295999996</v>
      </c>
      <c r="CU8" s="69">
        <f t="shared" si="22"/>
        <v>5778.1723912847992</v>
      </c>
      <c r="CV8" s="69">
        <f t="shared" si="22"/>
        <v>5853.2886323715011</v>
      </c>
      <c r="CW8" s="69">
        <f t="shared" si="22"/>
        <v>5923.5280959599595</v>
      </c>
      <c r="CX8" s="69">
        <f t="shared" si="22"/>
        <v>5994.6104331114793</v>
      </c>
      <c r="CY8" s="69">
        <f t="shared" si="22"/>
        <v>6060.5511478757053</v>
      </c>
      <c r="CZ8" s="69">
        <f t="shared" si="22"/>
        <v>6127.2172105023374</v>
      </c>
    </row>
    <row r="9" spans="2:157">
      <c r="B9" s="36" t="s">
        <v>1426</v>
      </c>
      <c r="AU9" s="1">
        <v>139</v>
      </c>
      <c r="AV9" s="1">
        <v>359</v>
      </c>
      <c r="AW9" s="1">
        <v>458</v>
      </c>
      <c r="AX9" s="1">
        <f>1438-SUM(AU9:AW9)</f>
        <v>482</v>
      </c>
      <c r="AY9" s="1">
        <v>447</v>
      </c>
      <c r="AZ9" s="1">
        <v>290</v>
      </c>
      <c r="BA9" s="1">
        <v>345</v>
      </c>
      <c r="BB9" s="1">
        <f>1427-SUM(AY9:BA9)</f>
        <v>345</v>
      </c>
      <c r="BC9" s="1">
        <v>420</v>
      </c>
      <c r="BD9" s="1">
        <v>212</v>
      </c>
      <c r="BE9" s="1">
        <v>183</v>
      </c>
      <c r="BF9" s="1">
        <f>995-SUM(BC9:BE9)</f>
        <v>180</v>
      </c>
      <c r="BG9" s="1">
        <v>147</v>
      </c>
      <c r="BH9" s="1">
        <v>141</v>
      </c>
      <c r="BI9" s="1">
        <v>133</v>
      </c>
      <c r="BJ9" s="1">
        <f>574-SUM(BG9:BI9)</f>
        <v>153</v>
      </c>
      <c r="BK9" s="1">
        <v>129</v>
      </c>
      <c r="BL9" s="1">
        <v>127</v>
      </c>
      <c r="BM9" s="1">
        <v>128</v>
      </c>
      <c r="BN9" s="1">
        <f>521-SUM(BK9:BM9)</f>
        <v>137</v>
      </c>
      <c r="BO9" s="1">
        <v>122</v>
      </c>
      <c r="BP9" s="1">
        <v>123</v>
      </c>
      <c r="BQ9" s="1">
        <v>131</v>
      </c>
      <c r="BR9" s="1">
        <v>141</v>
      </c>
      <c r="BS9" s="1">
        <v>149</v>
      </c>
      <c r="BT9" s="1">
        <v>149</v>
      </c>
      <c r="CL9" s="1">
        <f t="shared" si="2"/>
        <v>1438</v>
      </c>
      <c r="CM9" s="1">
        <f t="shared" si="3"/>
        <v>1427</v>
      </c>
      <c r="CN9" s="1">
        <f t="shared" si="4"/>
        <v>995</v>
      </c>
      <c r="CO9" s="1">
        <f t="shared" si="5"/>
        <v>574</v>
      </c>
      <c r="CP9" s="1">
        <f t="shared" si="6"/>
        <v>521</v>
      </c>
      <c r="CQ9" s="1">
        <f t="shared" si="21"/>
        <v>517</v>
      </c>
      <c r="CR9" s="69">
        <f>CQ9*(1+CR29)</f>
        <v>625.56999999999994</v>
      </c>
      <c r="CS9" s="69">
        <f t="shared" ref="CS9:CZ9" si="23">CR9*(1+CS29)</f>
        <v>744.42829999999992</v>
      </c>
      <c r="CT9" s="69">
        <f t="shared" si="23"/>
        <v>863.5368279999999</v>
      </c>
      <c r="CU9" s="69">
        <f t="shared" si="23"/>
        <v>993.06735219999985</v>
      </c>
      <c r="CV9" s="69">
        <f t="shared" si="23"/>
        <v>1132.096781508</v>
      </c>
      <c r="CW9" s="69">
        <f t="shared" si="23"/>
        <v>1279.2693631040399</v>
      </c>
      <c r="CX9" s="69">
        <f t="shared" si="23"/>
        <v>1439.178033492045</v>
      </c>
      <c r="CY9" s="69">
        <f t="shared" si="23"/>
        <v>1611.8793975110905</v>
      </c>
      <c r="CZ9" s="69">
        <f t="shared" si="23"/>
        <v>1797.2455282248659</v>
      </c>
    </row>
    <row r="10" spans="2:157">
      <c r="B10" s="36" t="s">
        <v>1427</v>
      </c>
      <c r="AU10" s="1">
        <v>138</v>
      </c>
      <c r="AV10" s="1">
        <v>118</v>
      </c>
      <c r="AW10" s="1">
        <v>131</v>
      </c>
      <c r="AX10" s="1">
        <f>516-SUM(AU10:AW10)</f>
        <v>129</v>
      </c>
      <c r="AY10" s="1">
        <v>129</v>
      </c>
      <c r="AZ10" s="1">
        <v>137</v>
      </c>
      <c r="BA10" s="1">
        <v>135</v>
      </c>
      <c r="BB10" s="1">
        <f>536-SUM(AY10:BA10)</f>
        <v>135</v>
      </c>
      <c r="BC10" s="1">
        <v>128</v>
      </c>
      <c r="BD10" s="1">
        <v>139</v>
      </c>
      <c r="BE10" s="1">
        <v>127</v>
      </c>
      <c r="BF10" s="1">
        <f>525-SUM(BC10:BE10)</f>
        <v>131</v>
      </c>
      <c r="BG10" s="1">
        <v>134</v>
      </c>
      <c r="BH10" s="1">
        <v>142</v>
      </c>
      <c r="BI10" s="1">
        <v>140</v>
      </c>
      <c r="BJ10" s="1">
        <f>565-SUM(BG10:BI10)</f>
        <v>149</v>
      </c>
      <c r="BK10" s="1">
        <v>139</v>
      </c>
      <c r="BL10" s="1">
        <v>156</v>
      </c>
      <c r="BM10" s="1">
        <v>146</v>
      </c>
      <c r="BN10" s="1">
        <f>588-SUM(BK10:BM10)</f>
        <v>147</v>
      </c>
      <c r="BO10" s="1">
        <v>142</v>
      </c>
      <c r="BP10" s="1">
        <v>148</v>
      </c>
      <c r="BQ10" s="1">
        <v>158</v>
      </c>
      <c r="BR10" s="1">
        <v>158</v>
      </c>
      <c r="BS10" s="1">
        <v>96</v>
      </c>
      <c r="BT10" s="1">
        <v>96</v>
      </c>
      <c r="CL10" s="1">
        <f t="shared" si="2"/>
        <v>516</v>
      </c>
      <c r="CM10" s="1">
        <f t="shared" si="3"/>
        <v>536</v>
      </c>
      <c r="CN10" s="1">
        <f t="shared" si="4"/>
        <v>525</v>
      </c>
      <c r="CO10" s="1">
        <f t="shared" si="5"/>
        <v>565</v>
      </c>
      <c r="CP10" s="1">
        <f t="shared" si="6"/>
        <v>588</v>
      </c>
      <c r="CQ10" s="1">
        <f t="shared" si="21"/>
        <v>606</v>
      </c>
      <c r="CR10" s="69">
        <f>CQ10*(1+CR30)</f>
        <v>412.08</v>
      </c>
      <c r="CS10" s="69">
        <f t="shared" ref="CS10:CZ10" si="24">CR10*(1+CS30)</f>
        <v>296.69759999999997</v>
      </c>
      <c r="CT10" s="69">
        <f t="shared" si="24"/>
        <v>314.49945599999995</v>
      </c>
      <c r="CU10" s="69">
        <f t="shared" si="24"/>
        <v>331.79692607999993</v>
      </c>
      <c r="CV10" s="69">
        <f t="shared" si="24"/>
        <v>349.21626469919994</v>
      </c>
      <c r="CW10" s="69">
        <f t="shared" si="24"/>
        <v>366.67707793415997</v>
      </c>
      <c r="CX10" s="69">
        <f t="shared" si="24"/>
        <v>384.09423913603263</v>
      </c>
      <c r="CY10" s="69">
        <f t="shared" si="24"/>
        <v>401.37847989715408</v>
      </c>
      <c r="CZ10" s="69">
        <f t="shared" si="24"/>
        <v>418.43706529278313</v>
      </c>
    </row>
    <row r="11" spans="2:157">
      <c r="B11" s="36" t="s">
        <v>1428</v>
      </c>
      <c r="AU11" s="1">
        <v>560</v>
      </c>
      <c r="AV11" s="1">
        <v>530</v>
      </c>
      <c r="AW11" s="1">
        <v>875</v>
      </c>
      <c r="AX11" s="1">
        <f>4376-SUM(AU11:AW11)</f>
        <v>2411</v>
      </c>
      <c r="AY11" s="1">
        <v>2256</v>
      </c>
      <c r="AZ11" s="1">
        <v>1514</v>
      </c>
      <c r="BA11" s="1">
        <v>2140</v>
      </c>
      <c r="BB11" s="1">
        <f>8553-SUM(AY11:BA11)</f>
        <v>2643</v>
      </c>
      <c r="BC11" s="1">
        <v>3525</v>
      </c>
      <c r="BD11" s="1">
        <v>2722</v>
      </c>
      <c r="BE11" s="1">
        <v>2112</v>
      </c>
      <c r="BF11" s="1">
        <f>10061-SUM(BC11:BE11)</f>
        <v>1702</v>
      </c>
      <c r="BG11" s="1">
        <v>1225</v>
      </c>
      <c r="BH11" s="1">
        <v>741</v>
      </c>
      <c r="BI11" s="1">
        <v>862</v>
      </c>
      <c r="BJ11" s="1">
        <f>3690-SUM(BG11:BI11)</f>
        <v>862</v>
      </c>
      <c r="BK11" s="1">
        <v>741</v>
      </c>
      <c r="BL11" s="1">
        <v>583</v>
      </c>
      <c r="BM11" s="1">
        <v>824</v>
      </c>
      <c r="BN11" s="1">
        <f>2997-SUM(BK11:BM11)</f>
        <v>849</v>
      </c>
      <c r="BO11" s="1">
        <v>613</v>
      </c>
      <c r="BP11" s="1">
        <v>544</v>
      </c>
      <c r="BQ11" s="1">
        <v>600</v>
      </c>
      <c r="BR11" s="1">
        <v>697</v>
      </c>
      <c r="BS11" s="1">
        <v>663</v>
      </c>
      <c r="BT11" s="1">
        <v>663</v>
      </c>
      <c r="CL11" s="1">
        <f t="shared" si="2"/>
        <v>4376</v>
      </c>
      <c r="CM11" s="1">
        <f t="shared" si="3"/>
        <v>8553</v>
      </c>
      <c r="CN11" s="1">
        <f t="shared" si="4"/>
        <v>10061</v>
      </c>
      <c r="CO11" s="1">
        <f t="shared" si="5"/>
        <v>3690</v>
      </c>
      <c r="CP11" s="1">
        <f t="shared" si="6"/>
        <v>2997</v>
      </c>
      <c r="CQ11" s="1">
        <f t="shared" si="21"/>
        <v>2454</v>
      </c>
      <c r="CR11" s="69">
        <f>CQ11*(1+CR31)</f>
        <v>2871.18</v>
      </c>
      <c r="CS11" s="69">
        <f t="shared" ref="CS11:CZ11" si="25">CR11*(1+CS31)</f>
        <v>3474.1277999999998</v>
      </c>
      <c r="CT11" s="69">
        <f t="shared" si="25"/>
        <v>4238.4359159999995</v>
      </c>
      <c r="CU11" s="69">
        <f t="shared" si="25"/>
        <v>5001.3543808799986</v>
      </c>
      <c r="CV11" s="69">
        <f t="shared" si="25"/>
        <v>5801.5710818207981</v>
      </c>
      <c r="CW11" s="69">
        <f t="shared" si="25"/>
        <v>6671.8067440939176</v>
      </c>
      <c r="CX11" s="69">
        <f t="shared" si="25"/>
        <v>7605.8596882670672</v>
      </c>
      <c r="CY11" s="69">
        <f t="shared" si="25"/>
        <v>8594.6214477417852</v>
      </c>
      <c r="CZ11" s="69">
        <f t="shared" si="25"/>
        <v>9625.9760214708003</v>
      </c>
    </row>
    <row r="12" spans="2:157" s="2" customFormat="1" ht="15">
      <c r="B12" s="33" t="s">
        <v>1429</v>
      </c>
      <c r="AU12" s="2">
        <f t="shared" ref="AU12:BP12" si="26">SUM(AU8:AU11)</f>
        <v>1826</v>
      </c>
      <c r="AV12" s="2">
        <f t="shared" si="26"/>
        <v>1994</v>
      </c>
      <c r="AW12" s="2">
        <f t="shared" si="26"/>
        <v>2640</v>
      </c>
      <c r="AX12" s="2">
        <f t="shared" si="26"/>
        <v>4345</v>
      </c>
      <c r="AY12" s="2">
        <f t="shared" si="26"/>
        <v>4014</v>
      </c>
      <c r="AZ12" s="2">
        <f t="shared" si="26"/>
        <v>3247</v>
      </c>
      <c r="BA12" s="2">
        <f t="shared" si="26"/>
        <v>3912</v>
      </c>
      <c r="BB12" s="2">
        <f t="shared" si="26"/>
        <v>4471</v>
      </c>
      <c r="BC12" s="2">
        <f t="shared" si="26"/>
        <v>5257</v>
      </c>
      <c r="BD12" s="2">
        <f t="shared" si="26"/>
        <v>4294</v>
      </c>
      <c r="BE12" s="2">
        <f t="shared" si="26"/>
        <v>3641</v>
      </c>
      <c r="BF12" s="2">
        <f t="shared" si="26"/>
        <v>3277</v>
      </c>
      <c r="BG12" s="2">
        <f t="shared" si="26"/>
        <v>2688</v>
      </c>
      <c r="BH12" s="2">
        <f t="shared" si="26"/>
        <v>2317</v>
      </c>
      <c r="BI12" s="2">
        <f t="shared" si="26"/>
        <v>2449</v>
      </c>
      <c r="BJ12" s="2">
        <f t="shared" si="26"/>
        <v>2534</v>
      </c>
      <c r="BK12" s="2">
        <f t="shared" si="26"/>
        <v>2214</v>
      </c>
      <c r="BL12" s="2">
        <f t="shared" si="26"/>
        <v>2195</v>
      </c>
      <c r="BM12" s="2">
        <f t="shared" si="26"/>
        <v>2412</v>
      </c>
      <c r="BN12" s="2">
        <f t="shared" si="26"/>
        <v>2520</v>
      </c>
      <c r="BO12" s="2">
        <f t="shared" si="26"/>
        <v>2054</v>
      </c>
      <c r="BP12" s="2">
        <f t="shared" si="26"/>
        <v>2173</v>
      </c>
      <c r="BQ12" s="2">
        <f>SUM(BQ8:BQ11)</f>
        <v>2253</v>
      </c>
      <c r="BR12" s="2">
        <f t="shared" ref="BR12" si="27">SUM(BR8:BR11)</f>
        <v>2457</v>
      </c>
      <c r="BS12" s="2">
        <f>SUM(BS8:BS11)</f>
        <v>2180</v>
      </c>
      <c r="BT12" s="2">
        <f>SUM(BT8:BT11)</f>
        <v>2180</v>
      </c>
      <c r="BU12" s="34"/>
      <c r="BV12" s="34"/>
      <c r="CL12" s="2">
        <f t="shared" si="2"/>
        <v>10805</v>
      </c>
      <c r="CM12" s="2">
        <f t="shared" si="3"/>
        <v>15644</v>
      </c>
      <c r="CN12" s="2">
        <f t="shared" si="4"/>
        <v>16469</v>
      </c>
      <c r="CO12" s="2">
        <f t="shared" si="5"/>
        <v>9988</v>
      </c>
      <c r="CP12" s="2">
        <f t="shared" si="6"/>
        <v>9341</v>
      </c>
      <c r="CQ12" s="2">
        <f>SUM(BO12:BR12)</f>
        <v>8937</v>
      </c>
      <c r="CR12" s="68">
        <f t="shared" ref="CR12" si="28">SUM(CR8:CR11)</f>
        <v>9456.4299999999985</v>
      </c>
      <c r="CS12" s="68">
        <f t="shared" ref="CS12:CZ12" si="29">SUM(CS8:CS11)</f>
        <v>10140.5201</v>
      </c>
      <c r="CT12" s="68">
        <f t="shared" si="29"/>
        <v>11120.492329599998</v>
      </c>
      <c r="CU12" s="68">
        <f t="shared" si="29"/>
        <v>12104.391050444798</v>
      </c>
      <c r="CV12" s="68">
        <f t="shared" si="29"/>
        <v>13136.172760399499</v>
      </c>
      <c r="CW12" s="68">
        <f t="shared" si="29"/>
        <v>14241.281281092077</v>
      </c>
      <c r="CX12" s="68">
        <f t="shared" si="29"/>
        <v>15423.742394006624</v>
      </c>
      <c r="CY12" s="68">
        <f t="shared" si="29"/>
        <v>16668.430473025735</v>
      </c>
      <c r="CZ12" s="68">
        <f t="shared" si="29"/>
        <v>17968.875825490788</v>
      </c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  <c r="EY12" s="34"/>
      <c r="EZ12" s="34"/>
    </row>
    <row r="13" spans="2:157">
      <c r="B13" s="36" t="s">
        <v>1430</v>
      </c>
      <c r="AU13" s="1">
        <v>474</v>
      </c>
      <c r="AV13" s="1">
        <v>401</v>
      </c>
      <c r="AW13" s="1">
        <v>507</v>
      </c>
      <c r="AX13" s="1">
        <f>1914-SUM(AU13:AW13)</f>
        <v>532</v>
      </c>
      <c r="AY13" s="1">
        <v>519</v>
      </c>
      <c r="AZ13" s="1">
        <v>567</v>
      </c>
      <c r="BA13" s="1">
        <v>571</v>
      </c>
      <c r="BB13" s="1">
        <f>2198-SUM(AY13:BA13)</f>
        <v>541</v>
      </c>
      <c r="BC13" s="1">
        <v>524</v>
      </c>
      <c r="BD13" s="1">
        <v>548</v>
      </c>
      <c r="BE13" s="1">
        <v>533</v>
      </c>
      <c r="BF13" s="1">
        <f>2119-SUM(BC13:BE13)</f>
        <v>514</v>
      </c>
      <c r="BG13" s="1">
        <v>527</v>
      </c>
      <c r="BH13" s="1">
        <v>583</v>
      </c>
      <c r="BI13" s="1">
        <v>563</v>
      </c>
      <c r="BJ13" s="1">
        <f>2255-SUM(BG13:BI13)</f>
        <v>582</v>
      </c>
      <c r="BK13" s="1">
        <v>562</v>
      </c>
      <c r="BL13" s="1">
        <v>607</v>
      </c>
      <c r="BM13" s="1">
        <v>597</v>
      </c>
      <c r="BN13" s="1">
        <f>2390-SUM(BK13:BM13)</f>
        <v>624</v>
      </c>
      <c r="BO13" s="1">
        <v>585</v>
      </c>
      <c r="BP13" s="1">
        <v>673</v>
      </c>
      <c r="BQ13" s="1">
        <v>686</v>
      </c>
      <c r="BR13" s="1">
        <v>705</v>
      </c>
      <c r="BS13" s="1">
        <v>684</v>
      </c>
      <c r="BT13" s="1">
        <v>684</v>
      </c>
      <c r="CL13" s="1">
        <f t="shared" si="2"/>
        <v>1914</v>
      </c>
      <c r="CM13" s="1">
        <f t="shared" si="3"/>
        <v>2198</v>
      </c>
      <c r="CN13" s="1">
        <f t="shared" si="4"/>
        <v>2119</v>
      </c>
      <c r="CO13" s="1">
        <f t="shared" si="5"/>
        <v>2255</v>
      </c>
      <c r="CP13" s="1">
        <f t="shared" si="6"/>
        <v>2390</v>
      </c>
      <c r="CQ13" s="1">
        <f t="shared" si="21"/>
        <v>2649</v>
      </c>
      <c r="CR13" s="69">
        <f>CQ13*(1+CR33)</f>
        <v>2999.9925000000003</v>
      </c>
      <c r="CS13" s="69">
        <f t="shared" ref="CS13:CZ13" si="30">CR13*(1+CS33)</f>
        <v>3359.9916000000007</v>
      </c>
      <c r="CT13" s="69">
        <f t="shared" si="30"/>
        <v>3729.5906760000012</v>
      </c>
      <c r="CU13" s="69">
        <f t="shared" si="30"/>
        <v>4121.1976969800016</v>
      </c>
      <c r="CV13" s="69">
        <f t="shared" si="30"/>
        <v>4492.1054897082022</v>
      </c>
      <c r="CW13" s="69">
        <f t="shared" si="30"/>
        <v>4829.0134014363175</v>
      </c>
      <c r="CX13" s="69">
        <f t="shared" si="30"/>
        <v>5118.7542055224967</v>
      </c>
      <c r="CY13" s="69">
        <f t="shared" si="30"/>
        <v>5374.6919157986222</v>
      </c>
      <c r="CZ13" s="69">
        <f t="shared" si="30"/>
        <v>5589.679592430567</v>
      </c>
    </row>
    <row r="14" spans="2:157">
      <c r="B14" s="36" t="s">
        <v>1431</v>
      </c>
      <c r="AU14" s="1">
        <v>388</v>
      </c>
      <c r="AV14" s="1">
        <v>299</v>
      </c>
      <c r="AW14" s="1">
        <v>441</v>
      </c>
      <c r="AX14" s="1">
        <f>1578-SUM(AU14:AW14)</f>
        <v>450</v>
      </c>
      <c r="AY14" s="1">
        <v>431</v>
      </c>
      <c r="AZ14" s="1">
        <v>487</v>
      </c>
      <c r="BA14" s="1">
        <v>485</v>
      </c>
      <c r="BB14" s="1">
        <f>1907-SUM(AY14:BA14)</f>
        <v>504</v>
      </c>
      <c r="BC14" s="1">
        <v>485</v>
      </c>
      <c r="BD14" s="1">
        <v>486</v>
      </c>
      <c r="BE14" s="1">
        <v>469</v>
      </c>
      <c r="BF14" s="1">
        <f>1927-SUM(BC14:BE14)</f>
        <v>487</v>
      </c>
      <c r="BG14" s="1">
        <v>505</v>
      </c>
      <c r="BH14" s="1">
        <v>553</v>
      </c>
      <c r="BI14" s="1">
        <v>544</v>
      </c>
      <c r="BJ14" s="1">
        <f>2195-SUM(BG14:BI14)</f>
        <v>593</v>
      </c>
      <c r="BK14" s="1">
        <v>587</v>
      </c>
      <c r="BL14" s="1">
        <v>627</v>
      </c>
      <c r="BM14" s="1">
        <v>610</v>
      </c>
      <c r="BN14" s="1">
        <f>2467-SUM(BK14:BM14)</f>
        <v>643</v>
      </c>
      <c r="BO14" s="1">
        <v>629</v>
      </c>
      <c r="BP14" s="1">
        <v>700</v>
      </c>
      <c r="BQ14" s="1">
        <v>705</v>
      </c>
      <c r="BR14" s="1">
        <v>730</v>
      </c>
      <c r="BS14" s="1">
        <v>788</v>
      </c>
      <c r="BT14" s="1">
        <v>788</v>
      </c>
      <c r="CL14" s="1">
        <f t="shared" si="2"/>
        <v>1578</v>
      </c>
      <c r="CM14" s="1">
        <f t="shared" si="3"/>
        <v>1907</v>
      </c>
      <c r="CN14" s="1">
        <f t="shared" si="4"/>
        <v>1927</v>
      </c>
      <c r="CO14" s="1">
        <f t="shared" si="5"/>
        <v>2195</v>
      </c>
      <c r="CP14" s="1">
        <f t="shared" si="6"/>
        <v>2467</v>
      </c>
      <c r="CQ14" s="1">
        <f t="shared" si="21"/>
        <v>2764</v>
      </c>
      <c r="CR14" s="69">
        <f>CQ14*(1+CR34)</f>
        <v>3372.08</v>
      </c>
      <c r="CS14" s="69">
        <f t="shared" ref="CS14:CZ19" si="31">CR14*(1+CS34)</f>
        <v>3945.3335999999995</v>
      </c>
      <c r="CT14" s="69">
        <f t="shared" si="31"/>
        <v>4576.5869759999987</v>
      </c>
      <c r="CU14" s="69">
        <f t="shared" si="31"/>
        <v>5285.9579572799985</v>
      </c>
      <c r="CV14" s="69">
        <f t="shared" si="31"/>
        <v>6052.4218610855987</v>
      </c>
      <c r="CW14" s="69">
        <f t="shared" si="31"/>
        <v>6839.236703026726</v>
      </c>
      <c r="CX14" s="69">
        <f t="shared" si="31"/>
        <v>7591.5527403596661</v>
      </c>
      <c r="CY14" s="69">
        <f t="shared" si="31"/>
        <v>8236.8347232902379</v>
      </c>
      <c r="CZ14" s="69">
        <f t="shared" si="31"/>
        <v>8772.2289803041022</v>
      </c>
    </row>
    <row r="15" spans="2:157">
      <c r="B15" s="36" t="s">
        <v>1432</v>
      </c>
      <c r="AU15" s="1">
        <v>203</v>
      </c>
      <c r="AV15" s="1">
        <v>158</v>
      </c>
      <c r="AW15" s="1">
        <v>190</v>
      </c>
      <c r="AX15" s="1">
        <f>740-SUM(AU15:AW15)</f>
        <v>189</v>
      </c>
      <c r="AY15" s="1">
        <v>194</v>
      </c>
      <c r="AZ15" s="1">
        <v>227</v>
      </c>
      <c r="BA15" s="1">
        <v>229</v>
      </c>
      <c r="BB15" s="1">
        <f>889-SUM(AY15:BA15)</f>
        <v>239</v>
      </c>
      <c r="BC15" s="1">
        <v>250</v>
      </c>
      <c r="BD15" s="1">
        <v>269</v>
      </c>
      <c r="BE15" s="1">
        <v>258</v>
      </c>
      <c r="BF15" s="1">
        <f>1035-SUM(BC15:BE15)</f>
        <v>258</v>
      </c>
      <c r="BG15" s="1">
        <v>281</v>
      </c>
      <c r="BH15" s="1">
        <v>295</v>
      </c>
      <c r="BI15" s="1">
        <v>284</v>
      </c>
      <c r="BJ15" s="1">
        <f>1161-SUM(BG15:BI15)</f>
        <v>301</v>
      </c>
      <c r="BK15" s="1">
        <v>305</v>
      </c>
      <c r="BL15" s="1">
        <v>321</v>
      </c>
      <c r="BM15" s="1">
        <v>322</v>
      </c>
      <c r="BN15" s="1">
        <f>1279-SUM(BK15:BM15)</f>
        <v>331</v>
      </c>
      <c r="BO15" s="1">
        <v>339</v>
      </c>
      <c r="BP15" s="1">
        <v>368</v>
      </c>
      <c r="BQ15" s="1">
        <v>366</v>
      </c>
      <c r="BR15" s="1">
        <v>375</v>
      </c>
      <c r="BS15" s="1">
        <v>389</v>
      </c>
      <c r="BT15" s="1">
        <v>389</v>
      </c>
      <c r="CL15" s="1">
        <f t="shared" si="2"/>
        <v>740</v>
      </c>
      <c r="CM15" s="1">
        <f t="shared" si="3"/>
        <v>889</v>
      </c>
      <c r="CN15" s="1">
        <f t="shared" si="4"/>
        <v>1035</v>
      </c>
      <c r="CO15" s="1">
        <f t="shared" si="5"/>
        <v>1161</v>
      </c>
      <c r="CP15" s="1">
        <f t="shared" si="6"/>
        <v>1279</v>
      </c>
      <c r="CQ15" s="1">
        <f t="shared" si="21"/>
        <v>1448</v>
      </c>
      <c r="CR15" s="69">
        <f t="shared" ref="CR15:CR21" si="32">CQ15*(1+CR35)</f>
        <v>1629</v>
      </c>
      <c r="CS15" s="69">
        <f t="shared" si="31"/>
        <v>1791.9</v>
      </c>
      <c r="CT15" s="69">
        <f t="shared" si="31"/>
        <v>1935.2520000000002</v>
      </c>
      <c r="CU15" s="69">
        <f t="shared" si="31"/>
        <v>2051.3671200000003</v>
      </c>
      <c r="CV15" s="69">
        <f t="shared" si="31"/>
        <v>2153.9354760000006</v>
      </c>
      <c r="CW15" s="69">
        <f t="shared" si="31"/>
        <v>2240.0928950400007</v>
      </c>
      <c r="CX15" s="69">
        <f t="shared" si="31"/>
        <v>2307.2956818912007</v>
      </c>
      <c r="CY15" s="69">
        <f t="shared" si="31"/>
        <v>2353.4415955290247</v>
      </c>
      <c r="CZ15" s="69">
        <f t="shared" si="31"/>
        <v>2388.7432194619596</v>
      </c>
    </row>
    <row r="16" spans="2:157">
      <c r="B16" s="36" t="s">
        <v>1433</v>
      </c>
      <c r="AU16" s="1">
        <v>625</v>
      </c>
      <c r="AV16" s="1">
        <v>481</v>
      </c>
      <c r="AW16" s="1">
        <v>630</v>
      </c>
      <c r="AX16" s="1">
        <f>2339-SUM(AU16:AW16)</f>
        <v>603</v>
      </c>
      <c r="AY16" s="1">
        <v>635</v>
      </c>
      <c r="AZ16" s="1">
        <v>697</v>
      </c>
      <c r="BA16" s="1">
        <v>644</v>
      </c>
      <c r="BB16" s="1">
        <f>2654-SUM(AY16:BA16)</f>
        <v>678</v>
      </c>
      <c r="BC16" s="1">
        <v>619</v>
      </c>
      <c r="BD16" s="1">
        <v>653</v>
      </c>
      <c r="BE16" s="1">
        <v>606</v>
      </c>
      <c r="BF16" s="1">
        <f>2483-SUM(BC16:BE16)</f>
        <v>605</v>
      </c>
      <c r="BG16" s="1">
        <v>617</v>
      </c>
      <c r="BH16" s="1">
        <v>715</v>
      </c>
      <c r="BI16" s="1">
        <v>672</v>
      </c>
      <c r="BJ16" s="1">
        <f>2681-SUM(BG16:BI16)</f>
        <v>677</v>
      </c>
      <c r="BK16" s="1">
        <v>689</v>
      </c>
      <c r="BL16" s="1">
        <v>724</v>
      </c>
      <c r="BM16" s="1">
        <v>699</v>
      </c>
      <c r="BN16" s="1">
        <f>2837-SUM(BK16:BM16)</f>
        <v>725</v>
      </c>
      <c r="BO16" s="1">
        <v>710</v>
      </c>
      <c r="BP16" s="1">
        <v>757</v>
      </c>
      <c r="BQ16" s="1">
        <v>745</v>
      </c>
      <c r="BR16" s="1">
        <v>783</v>
      </c>
      <c r="BS16" s="1">
        <v>777</v>
      </c>
      <c r="BT16" s="1">
        <v>777</v>
      </c>
      <c r="CL16" s="1">
        <f t="shared" si="2"/>
        <v>2339</v>
      </c>
      <c r="CM16" s="1">
        <f t="shared" si="3"/>
        <v>2654</v>
      </c>
      <c r="CN16" s="1">
        <f t="shared" si="4"/>
        <v>2483</v>
      </c>
      <c r="CO16" s="1">
        <f t="shared" si="5"/>
        <v>2681</v>
      </c>
      <c r="CP16" s="1">
        <f t="shared" si="6"/>
        <v>2837</v>
      </c>
      <c r="CQ16" s="1">
        <f t="shared" si="21"/>
        <v>2995</v>
      </c>
      <c r="CR16" s="69">
        <f t="shared" si="32"/>
        <v>3264.55</v>
      </c>
      <c r="CS16" s="69">
        <f t="shared" si="31"/>
        <v>3525.7140000000004</v>
      </c>
      <c r="CT16" s="69">
        <f t="shared" si="31"/>
        <v>3772.5139800000006</v>
      </c>
      <c r="CU16" s="69">
        <f t="shared" si="31"/>
        <v>3998.8648188000006</v>
      </c>
      <c r="CV16" s="69">
        <f t="shared" si="31"/>
        <v>4198.8080597400012</v>
      </c>
      <c r="CW16" s="69">
        <f t="shared" si="31"/>
        <v>4366.7603821296016</v>
      </c>
      <c r="CX16" s="69">
        <f t="shared" si="31"/>
        <v>4497.7631935934896</v>
      </c>
      <c r="CY16" s="69">
        <f t="shared" si="31"/>
        <v>4587.7184574653593</v>
      </c>
      <c r="CZ16" s="69">
        <f t="shared" si="31"/>
        <v>4633.5956420400125</v>
      </c>
    </row>
    <row r="17" spans="2:156">
      <c r="B17" s="36" t="s">
        <v>1434</v>
      </c>
      <c r="AU17" s="1">
        <v>318</v>
      </c>
      <c r="AV17" s="1">
        <v>223</v>
      </c>
      <c r="AW17" s="1">
        <v>353</v>
      </c>
      <c r="AX17" s="1">
        <f>1247-SUM(AU17:AW17)</f>
        <v>353</v>
      </c>
      <c r="AY17" s="1">
        <v>377</v>
      </c>
      <c r="AZ17" s="1">
        <v>422</v>
      </c>
      <c r="BA17" s="1">
        <v>392</v>
      </c>
      <c r="BB17" s="1">
        <f>1610-SUM(AY17:BA17)</f>
        <v>419</v>
      </c>
      <c r="BC17" s="1">
        <v>411</v>
      </c>
      <c r="BD17" s="1">
        <v>440</v>
      </c>
      <c r="BE17" s="1">
        <v>420</v>
      </c>
      <c r="BF17" s="1">
        <f>1712-SUM(BC17:BE17)</f>
        <v>441</v>
      </c>
      <c r="BG17" s="1">
        <v>461</v>
      </c>
      <c r="BH17" s="1">
        <v>498</v>
      </c>
      <c r="BI17" s="1">
        <v>487</v>
      </c>
      <c r="BJ17" s="1">
        <f>1944-SUM(BG17:BI17)</f>
        <v>498</v>
      </c>
      <c r="BK17" s="1">
        <v>515</v>
      </c>
      <c r="BL17" s="1">
        <v>564</v>
      </c>
      <c r="BM17" s="1">
        <v>558</v>
      </c>
      <c r="BN17" s="1">
        <f>2246-SUM(BK17:BM17)</f>
        <v>609</v>
      </c>
      <c r="BO17" s="1">
        <v>577</v>
      </c>
      <c r="BP17" s="1">
        <v>636</v>
      </c>
      <c r="BQ17" s="1">
        <v>635</v>
      </c>
      <c r="BR17" s="1">
        <v>675</v>
      </c>
      <c r="BS17" s="1">
        <v>578</v>
      </c>
      <c r="BT17" s="1">
        <v>578</v>
      </c>
      <c r="CL17" s="1">
        <f t="shared" si="2"/>
        <v>1247</v>
      </c>
      <c r="CM17" s="1">
        <f t="shared" si="3"/>
        <v>1610</v>
      </c>
      <c r="CN17" s="1">
        <f t="shared" si="4"/>
        <v>1712</v>
      </c>
      <c r="CO17" s="1">
        <f t="shared" si="5"/>
        <v>1944</v>
      </c>
      <c r="CP17" s="1">
        <f t="shared" si="6"/>
        <v>2246</v>
      </c>
      <c r="CQ17" s="1">
        <f t="shared" si="21"/>
        <v>2523</v>
      </c>
      <c r="CR17" s="69">
        <f t="shared" si="32"/>
        <v>2422.08</v>
      </c>
      <c r="CS17" s="69">
        <f t="shared" si="31"/>
        <v>2397.8591999999999</v>
      </c>
      <c r="CT17" s="69">
        <f t="shared" si="31"/>
        <v>2565.7093439999999</v>
      </c>
      <c r="CU17" s="69">
        <f t="shared" si="31"/>
        <v>2796.6231849599999</v>
      </c>
      <c r="CV17" s="69">
        <f t="shared" si="31"/>
        <v>3090.2686193807999</v>
      </c>
      <c r="CW17" s="69">
        <f t="shared" si="31"/>
        <v>3368.3927951250721</v>
      </c>
      <c r="CX17" s="69">
        <f t="shared" si="31"/>
        <v>3621.0222547594522</v>
      </c>
      <c r="CY17" s="69">
        <f t="shared" si="31"/>
        <v>3838.2835900450195</v>
      </c>
      <c r="CZ17" s="69">
        <f t="shared" si="31"/>
        <v>4011.0063515970451</v>
      </c>
    </row>
    <row r="18" spans="2:156">
      <c r="B18" s="36" t="s">
        <v>1435</v>
      </c>
      <c r="AU18" s="1">
        <v>177</v>
      </c>
      <c r="AV18" s="1">
        <v>106</v>
      </c>
      <c r="AW18" s="1">
        <v>206</v>
      </c>
      <c r="AX18" s="1">
        <f>702-SUM(AU18:AW18)</f>
        <v>213</v>
      </c>
      <c r="AY18" s="1">
        <v>184</v>
      </c>
      <c r="AZ18" s="1">
        <v>210</v>
      </c>
      <c r="BA18" s="1">
        <v>190</v>
      </c>
      <c r="BB18" s="1">
        <f>781-SUM(AY18:BA18)</f>
        <v>197</v>
      </c>
      <c r="BC18" s="1">
        <v>179</v>
      </c>
      <c r="BD18" s="1">
        <v>197</v>
      </c>
      <c r="BE18" s="1">
        <v>192</v>
      </c>
      <c r="BF18" s="1">
        <f>770-SUM(BC18:BE18)</f>
        <v>202</v>
      </c>
      <c r="BG18" s="1">
        <v>196</v>
      </c>
      <c r="BH18" s="1">
        <v>227</v>
      </c>
      <c r="BI18" s="1">
        <v>227</v>
      </c>
      <c r="BJ18" s="1">
        <f>890-SUM(BG18:BI18)</f>
        <v>240</v>
      </c>
      <c r="BK18" s="1">
        <v>226</v>
      </c>
      <c r="BL18" s="1">
        <v>243</v>
      </c>
      <c r="BM18" s="1">
        <v>236</v>
      </c>
      <c r="BN18" s="1">
        <f>962-SUM(BK18:BM18)</f>
        <v>257</v>
      </c>
      <c r="BO18" s="1">
        <v>228</v>
      </c>
      <c r="BP18" s="1">
        <v>254</v>
      </c>
      <c r="BQ18" s="1">
        <v>254</v>
      </c>
      <c r="BR18" s="1">
        <v>274</v>
      </c>
      <c r="BS18" s="1">
        <v>243</v>
      </c>
      <c r="BT18" s="1">
        <v>243</v>
      </c>
      <c r="CL18" s="1">
        <f t="shared" si="2"/>
        <v>702</v>
      </c>
      <c r="CM18" s="1">
        <f t="shared" si="3"/>
        <v>781</v>
      </c>
      <c r="CN18" s="1">
        <f t="shared" si="4"/>
        <v>770</v>
      </c>
      <c r="CO18" s="1">
        <f t="shared" si="5"/>
        <v>890</v>
      </c>
      <c r="CP18" s="1">
        <f t="shared" si="6"/>
        <v>962</v>
      </c>
      <c r="CQ18" s="1">
        <f t="shared" si="21"/>
        <v>1010</v>
      </c>
      <c r="CR18" s="69">
        <f t="shared" si="32"/>
        <v>1040.3</v>
      </c>
      <c r="CS18" s="69">
        <f t="shared" si="31"/>
        <v>1087.1134999999999</v>
      </c>
      <c r="CT18" s="69">
        <f t="shared" si="31"/>
        <v>1152.34031</v>
      </c>
      <c r="CU18" s="69">
        <f t="shared" si="31"/>
        <v>1227.24243015</v>
      </c>
      <c r="CV18" s="69">
        <f t="shared" si="31"/>
        <v>1300.876975959</v>
      </c>
      <c r="CW18" s="69">
        <f t="shared" si="31"/>
        <v>1372.425209636745</v>
      </c>
      <c r="CX18" s="69">
        <f t="shared" si="31"/>
        <v>1434.1843440703983</v>
      </c>
      <c r="CY18" s="69">
        <f t="shared" si="31"/>
        <v>1484.3807961128621</v>
      </c>
      <c r="CZ18" s="69">
        <f t="shared" si="31"/>
        <v>1521.4903160156834</v>
      </c>
    </row>
    <row r="19" spans="2:156">
      <c r="B19" s="36" t="s">
        <v>1436</v>
      </c>
      <c r="AU19" s="1">
        <v>752</v>
      </c>
      <c r="AV19" s="1">
        <v>755</v>
      </c>
      <c r="AW19" s="1">
        <v>843</v>
      </c>
      <c r="AX19" s="1">
        <f>3267-SUM(AU19:AW19)</f>
        <v>917</v>
      </c>
      <c r="AY19" s="1">
        <v>980</v>
      </c>
      <c r="AZ19" s="1">
        <v>1056</v>
      </c>
      <c r="BA19" s="1">
        <v>1121</v>
      </c>
      <c r="BB19" s="1">
        <f>4328-SUM(AY19:BA19)</f>
        <v>1171</v>
      </c>
      <c r="BC19" s="1">
        <v>1126</v>
      </c>
      <c r="BD19" s="1">
        <v>1192</v>
      </c>
      <c r="BE19" s="1">
        <v>1167</v>
      </c>
      <c r="BF19" s="1">
        <f>4756-SUM(BC19:BE19)</f>
        <v>1271</v>
      </c>
      <c r="BG19" s="1">
        <v>1313</v>
      </c>
      <c r="BH19" s="1">
        <v>1424</v>
      </c>
      <c r="BI19" s="1">
        <v>1472</v>
      </c>
      <c r="BJ19" s="1">
        <f>5761-SUM(BG19:BI19)</f>
        <v>1552</v>
      </c>
      <c r="BK19" s="1">
        <v>1569</v>
      </c>
      <c r="BL19" s="1">
        <v>1648</v>
      </c>
      <c r="BM19" s="1">
        <v>1725</v>
      </c>
      <c r="BN19" s="1">
        <f>6805-SUM(BK19:BM19)</f>
        <v>1863</v>
      </c>
      <c r="BO19" s="1">
        <v>1827</v>
      </c>
      <c r="BP19" s="1">
        <v>1981</v>
      </c>
      <c r="BQ19" s="1">
        <v>2057</v>
      </c>
      <c r="BR19" s="1">
        <v>2133</v>
      </c>
      <c r="BS19" s="1">
        <v>2080</v>
      </c>
      <c r="BT19" s="1">
        <v>2080</v>
      </c>
      <c r="CL19" s="1">
        <f t="shared" si="2"/>
        <v>3267</v>
      </c>
      <c r="CM19" s="1">
        <f t="shared" si="3"/>
        <v>4328</v>
      </c>
      <c r="CN19" s="1">
        <f t="shared" si="4"/>
        <v>4756</v>
      </c>
      <c r="CO19" s="1">
        <f t="shared" si="5"/>
        <v>5761</v>
      </c>
      <c r="CP19" s="1">
        <f t="shared" si="6"/>
        <v>6805</v>
      </c>
      <c r="CQ19" s="1">
        <f t="shared" si="21"/>
        <v>7998</v>
      </c>
      <c r="CR19" s="69">
        <f t="shared" si="32"/>
        <v>9117.7200000000012</v>
      </c>
      <c r="CS19" s="69">
        <f t="shared" si="31"/>
        <v>10713.321000000002</v>
      </c>
      <c r="CT19" s="69">
        <f t="shared" si="31"/>
        <v>12641.718780000001</v>
      </c>
      <c r="CU19" s="69">
        <f t="shared" si="31"/>
        <v>14537.976597000001</v>
      </c>
      <c r="CV19" s="69">
        <f t="shared" si="31"/>
        <v>16427.913554610001</v>
      </c>
      <c r="CW19" s="69">
        <f t="shared" si="31"/>
        <v>18234.9840456171</v>
      </c>
      <c r="CX19" s="69">
        <f t="shared" si="31"/>
        <v>19876.132609722641</v>
      </c>
      <c r="CY19" s="69">
        <f t="shared" si="31"/>
        <v>21267.461892403226</v>
      </c>
      <c r="CZ19" s="69">
        <f t="shared" si="31"/>
        <v>22543.50960594742</v>
      </c>
    </row>
    <row r="20" spans="2:156" s="2" customFormat="1" ht="15">
      <c r="B20" s="33" t="s">
        <v>1437</v>
      </c>
      <c r="AU20" s="2">
        <f t="shared" ref="AU20:BP20" si="33">SUM(AU13:AU19)</f>
        <v>2937</v>
      </c>
      <c r="AV20" s="2">
        <f t="shared" si="33"/>
        <v>2423</v>
      </c>
      <c r="AW20" s="2">
        <f t="shared" si="33"/>
        <v>3170</v>
      </c>
      <c r="AX20" s="2">
        <f t="shared" si="33"/>
        <v>3257</v>
      </c>
      <c r="AY20" s="2">
        <f t="shared" si="33"/>
        <v>3320</v>
      </c>
      <c r="AZ20" s="2">
        <f t="shared" si="33"/>
        <v>3666</v>
      </c>
      <c r="BA20" s="2">
        <f t="shared" si="33"/>
        <v>3632</v>
      </c>
      <c r="BB20" s="2">
        <f t="shared" si="33"/>
        <v>3749</v>
      </c>
      <c r="BC20" s="2">
        <f t="shared" si="33"/>
        <v>3594</v>
      </c>
      <c r="BD20" s="2">
        <f t="shared" si="33"/>
        <v>3785</v>
      </c>
      <c r="BE20" s="2">
        <f t="shared" si="33"/>
        <v>3645</v>
      </c>
      <c r="BF20" s="2">
        <f t="shared" si="33"/>
        <v>3778</v>
      </c>
      <c r="BG20" s="2">
        <f t="shared" si="33"/>
        <v>3900</v>
      </c>
      <c r="BH20" s="2">
        <f t="shared" si="33"/>
        <v>4295</v>
      </c>
      <c r="BI20" s="2">
        <f t="shared" si="33"/>
        <v>4249</v>
      </c>
      <c r="BJ20" s="2">
        <f t="shared" si="33"/>
        <v>4443</v>
      </c>
      <c r="BK20" s="2">
        <f t="shared" si="33"/>
        <v>4453</v>
      </c>
      <c r="BL20" s="2">
        <f t="shared" si="33"/>
        <v>4734</v>
      </c>
      <c r="BM20" s="2">
        <f t="shared" si="33"/>
        <v>4747</v>
      </c>
      <c r="BN20" s="2">
        <f t="shared" si="33"/>
        <v>5052</v>
      </c>
      <c r="BO20" s="2">
        <f t="shared" si="33"/>
        <v>4895</v>
      </c>
      <c r="BP20" s="2">
        <f t="shared" si="33"/>
        <v>5369</v>
      </c>
      <c r="BQ20" s="2">
        <f>SUM(BQ13:BQ19)</f>
        <v>5448</v>
      </c>
      <c r="BR20" s="2">
        <f t="shared" ref="BR20" si="34">SUM(BR13:BR19)</f>
        <v>5675</v>
      </c>
      <c r="BS20" s="2">
        <f>SUM(BS13:BS19)</f>
        <v>5539</v>
      </c>
      <c r="BT20" s="2">
        <f>SUM(BT13:BT19)</f>
        <v>5539</v>
      </c>
      <c r="BU20" s="34"/>
      <c r="BV20" s="34"/>
      <c r="CL20" s="2">
        <f t="shared" si="2"/>
        <v>11787</v>
      </c>
      <c r="CM20" s="2">
        <f t="shared" si="3"/>
        <v>14367</v>
      </c>
      <c r="CN20" s="2">
        <f t="shared" si="4"/>
        <v>14802</v>
      </c>
      <c r="CO20" s="2">
        <f t="shared" si="5"/>
        <v>16887</v>
      </c>
      <c r="CP20" s="2">
        <f t="shared" si="6"/>
        <v>18986</v>
      </c>
      <c r="CQ20" s="2">
        <f>SUM(BO20:BR20)</f>
        <v>21387</v>
      </c>
      <c r="CR20" s="68">
        <f t="shared" ref="CR20" si="35">SUM(CR13:CR19)</f>
        <v>23845.722500000003</v>
      </c>
      <c r="CS20" s="68">
        <f t="shared" ref="CS20:CZ20" si="36">SUM(CS13:CS19)</f>
        <v>26821.232900000003</v>
      </c>
      <c r="CT20" s="68">
        <f t="shared" si="36"/>
        <v>30373.712066</v>
      </c>
      <c r="CU20" s="68">
        <f t="shared" si="36"/>
        <v>34019.229805170005</v>
      </c>
      <c r="CV20" s="68">
        <f t="shared" si="36"/>
        <v>37716.330036483603</v>
      </c>
      <c r="CW20" s="68">
        <f t="shared" si="36"/>
        <v>41250.905432011568</v>
      </c>
      <c r="CX20" s="68">
        <f t="shared" si="36"/>
        <v>44446.705029919351</v>
      </c>
      <c r="CY20" s="68">
        <f t="shared" si="36"/>
        <v>47142.812970644351</v>
      </c>
      <c r="CZ20" s="68">
        <f t="shared" si="36"/>
        <v>49460.253707796786</v>
      </c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  <c r="EY20" s="34"/>
      <c r="EZ20" s="34"/>
    </row>
    <row r="21" spans="2:156" s="2" customFormat="1" ht="15">
      <c r="B21" s="33" t="s">
        <v>1438</v>
      </c>
      <c r="AU21" s="2">
        <v>15</v>
      </c>
      <c r="AV21" s="2">
        <v>15</v>
      </c>
      <c r="AW21" s="2">
        <v>20</v>
      </c>
      <c r="AX21" s="2">
        <f>66-SUM(AU21:AW21)</f>
        <v>16</v>
      </c>
      <c r="AY21" s="2">
        <v>16</v>
      </c>
      <c r="AZ21" s="2">
        <v>22</v>
      </c>
      <c r="BA21" s="2">
        <v>11</v>
      </c>
      <c r="BB21" s="2">
        <f>52-SUM(AY21:BA21)</f>
        <v>3</v>
      </c>
      <c r="BC21" s="2">
        <v>3</v>
      </c>
      <c r="BD21" s="2">
        <v>2</v>
      </c>
      <c r="BE21" s="2">
        <v>3</v>
      </c>
      <c r="BF21" s="2">
        <f>11-SUM(BC21:BE21)</f>
        <v>3</v>
      </c>
      <c r="BG21" s="2">
        <v>3</v>
      </c>
      <c r="BH21" s="2">
        <v>3</v>
      </c>
      <c r="BI21" s="2">
        <v>4</v>
      </c>
      <c r="BJ21" s="2">
        <f>14-SUM(BG21:BI21)</f>
        <v>4</v>
      </c>
      <c r="BK21" s="2">
        <v>3</v>
      </c>
      <c r="BL21" s="2">
        <v>4</v>
      </c>
      <c r="BM21" s="2">
        <v>4</v>
      </c>
      <c r="BN21" s="2">
        <f>16-SUM(BK21:BM21)</f>
        <v>5</v>
      </c>
      <c r="BO21" s="2">
        <v>3</v>
      </c>
      <c r="BP21" s="2">
        <v>5</v>
      </c>
      <c r="BQ21" s="2">
        <v>4</v>
      </c>
      <c r="BR21" s="2">
        <f>17-SUM(BO21:BQ21)</f>
        <v>5</v>
      </c>
      <c r="BS21" s="2">
        <v>2</v>
      </c>
      <c r="BT21" s="2">
        <v>2</v>
      </c>
      <c r="BU21" s="34"/>
      <c r="BV21" s="34"/>
      <c r="CL21" s="2">
        <f t="shared" si="2"/>
        <v>66</v>
      </c>
      <c r="CM21" s="2">
        <f t="shared" si="3"/>
        <v>52</v>
      </c>
      <c r="CN21" s="2">
        <f t="shared" si="4"/>
        <v>11</v>
      </c>
      <c r="CO21" s="2">
        <f t="shared" si="5"/>
        <v>14</v>
      </c>
      <c r="CP21" s="2">
        <f t="shared" si="6"/>
        <v>16</v>
      </c>
      <c r="CQ21" s="2">
        <f>SUM(BO21:BR21)</f>
        <v>17</v>
      </c>
      <c r="CR21" s="68">
        <f t="shared" si="32"/>
        <v>8.5</v>
      </c>
      <c r="CS21" s="68">
        <f t="shared" ref="CS21" si="37">CR21*(1+CS41)</f>
        <v>9.3500000000000014</v>
      </c>
      <c r="CT21" s="68">
        <f t="shared" ref="CT21" si="38">CS21*(1+CT41)</f>
        <v>10.378500000000003</v>
      </c>
      <c r="CU21" s="68">
        <f t="shared" ref="CU21" si="39">CT21*(1+CU41)</f>
        <v>11.727705000000002</v>
      </c>
      <c r="CV21" s="68">
        <f t="shared" ref="CV21" si="40">CU21*(1+CV41)</f>
        <v>13.486860750000002</v>
      </c>
      <c r="CW21" s="68">
        <f t="shared" ref="CW21" si="41">CV21*(1+CW41)</f>
        <v>15.509889862500001</v>
      </c>
      <c r="CX21" s="68">
        <f t="shared" ref="CX21" si="42">CW21*(1+CX41)</f>
        <v>17.836373341874999</v>
      </c>
      <c r="CY21" s="68">
        <f t="shared" ref="CY21" si="43">CX21*(1+CY41)</f>
        <v>20.511829343156247</v>
      </c>
      <c r="CZ21" s="68">
        <f t="shared" ref="CZ21" si="44">CY21*(1+CZ41)</f>
        <v>23.588603744629683</v>
      </c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  <c r="EY21" s="34"/>
      <c r="EZ21" s="34"/>
    </row>
    <row r="22" spans="2:156" s="2" customFormat="1" ht="15">
      <c r="B22" s="33" t="s">
        <v>53</v>
      </c>
      <c r="AU22" s="2">
        <f t="shared" ref="AU22:BP22" si="45">AU21+AU20+AU12+AU7+AU4</f>
        <v>7726</v>
      </c>
      <c r="AV22" s="2">
        <f t="shared" si="45"/>
        <v>7328</v>
      </c>
      <c r="AW22" s="2">
        <f t="shared" si="45"/>
        <v>8853</v>
      </c>
      <c r="AX22" s="2">
        <f t="shared" si="45"/>
        <v>10701</v>
      </c>
      <c r="AY22" s="2">
        <f t="shared" si="45"/>
        <v>10456</v>
      </c>
      <c r="AZ22" s="2">
        <f t="shared" si="45"/>
        <v>10223</v>
      </c>
      <c r="BA22" s="2">
        <f t="shared" si="45"/>
        <v>10928</v>
      </c>
      <c r="BB22" s="2">
        <f t="shared" si="45"/>
        <v>11468</v>
      </c>
      <c r="BC22" s="2">
        <f t="shared" si="45"/>
        <v>11895</v>
      </c>
      <c r="BD22" s="2">
        <f t="shared" si="45"/>
        <v>11257</v>
      </c>
      <c r="BE22" s="2">
        <f t="shared" si="45"/>
        <v>10410</v>
      </c>
      <c r="BF22" s="2">
        <f t="shared" si="45"/>
        <v>10091</v>
      </c>
      <c r="BG22" s="2">
        <f t="shared" si="45"/>
        <v>9747</v>
      </c>
      <c r="BH22" s="2">
        <f t="shared" si="45"/>
        <v>9978</v>
      </c>
      <c r="BI22" s="2">
        <f t="shared" si="45"/>
        <v>10143</v>
      </c>
      <c r="BJ22" s="2">
        <f t="shared" si="45"/>
        <v>10241</v>
      </c>
      <c r="BK22" s="2">
        <f t="shared" si="45"/>
        <v>9964</v>
      </c>
      <c r="BL22" s="2">
        <f t="shared" si="45"/>
        <v>10377</v>
      </c>
      <c r="BM22" s="2">
        <f t="shared" si="45"/>
        <v>10635</v>
      </c>
      <c r="BN22" s="2">
        <f t="shared" si="45"/>
        <v>10974</v>
      </c>
      <c r="BO22" s="2">
        <f t="shared" si="45"/>
        <v>10358</v>
      </c>
      <c r="BP22" s="2">
        <f t="shared" si="45"/>
        <v>11142</v>
      </c>
      <c r="BQ22" s="2">
        <f>BQ21+BQ20+BQ12+BQ7+BQ4</f>
        <v>11369</v>
      </c>
      <c r="BR22" s="2">
        <f t="shared" ref="BR22" si="46">BR21+BR20+BR12+BR7+BR4</f>
        <v>11459</v>
      </c>
      <c r="BS22" s="2">
        <f>BS21+BS20+BS12+BS7+BS4</f>
        <v>11164</v>
      </c>
      <c r="BT22" s="2">
        <f>BT21+BT20+BT12+BT7+BT4</f>
        <v>11164</v>
      </c>
      <c r="BU22" s="34"/>
      <c r="BV22" s="34"/>
      <c r="CL22" s="2">
        <f t="shared" si="2"/>
        <v>34608</v>
      </c>
      <c r="CM22" s="2">
        <f t="shared" si="3"/>
        <v>43075</v>
      </c>
      <c r="CN22" s="2">
        <f t="shared" si="4"/>
        <v>43653</v>
      </c>
      <c r="CO22" s="2">
        <f t="shared" si="5"/>
        <v>40109</v>
      </c>
      <c r="CP22" s="2">
        <f t="shared" si="6"/>
        <v>41950</v>
      </c>
      <c r="CQ22" s="2">
        <f>SUM(BO22:BR22)</f>
        <v>44328</v>
      </c>
      <c r="CR22" s="68">
        <f t="shared" ref="CR22" si="47">CR21+CR20+CR12+CR7+CR4</f>
        <v>48118.294500000004</v>
      </c>
      <c r="CS22" s="68">
        <f t="shared" ref="CS22:CZ22" si="48">CS21+CS20+CS12+CS7+CS4</f>
        <v>51651.053360000005</v>
      </c>
      <c r="CT22" s="68">
        <f t="shared" si="48"/>
        <v>56419.163911999996</v>
      </c>
      <c r="CU22" s="68">
        <f t="shared" si="48"/>
        <v>61404.194251374807</v>
      </c>
      <c r="CV22" s="68">
        <f t="shared" si="48"/>
        <v>66831.527217908544</v>
      </c>
      <c r="CW22" s="68">
        <f t="shared" si="48"/>
        <v>72209.721991452156</v>
      </c>
      <c r="CX22" s="68">
        <f t="shared" si="48"/>
        <v>77418.725578056488</v>
      </c>
      <c r="CY22" s="68">
        <f t="shared" si="48"/>
        <v>82064.659768915415</v>
      </c>
      <c r="CZ22" s="68">
        <f t="shared" si="48"/>
        <v>86326.412828323053</v>
      </c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4"/>
      <c r="ER22" s="34"/>
      <c r="ES22" s="34"/>
      <c r="ET22" s="34"/>
      <c r="EU22" s="34"/>
      <c r="EV22" s="34"/>
      <c r="EW22" s="34"/>
      <c r="EX22" s="34"/>
      <c r="EY22" s="34"/>
      <c r="EZ22" s="34"/>
    </row>
    <row r="23" spans="2:156">
      <c r="B23" s="36"/>
    </row>
    <row r="24" spans="2:156" s="2" customFormat="1" ht="15">
      <c r="B24" s="63" t="s">
        <v>1439</v>
      </c>
      <c r="AU24" s="65"/>
      <c r="AV24" s="65"/>
      <c r="AW24" s="65"/>
      <c r="AX24" s="65"/>
      <c r="AY24" s="65">
        <f t="shared" ref="AY24:BR24" si="49">AY4/AU4-1</f>
        <v>2.4904214559386961E-2</v>
      </c>
      <c r="AZ24" s="65">
        <f t="shared" si="49"/>
        <v>0.1648568608094767</v>
      </c>
      <c r="BA24" s="65">
        <f t="shared" si="49"/>
        <v>0.15104640582347595</v>
      </c>
      <c r="BB24" s="65">
        <f t="shared" si="49"/>
        <v>4.8823016564952137E-2</v>
      </c>
      <c r="BC24" s="65">
        <f t="shared" si="49"/>
        <v>7.1962616822429881E-2</v>
      </c>
      <c r="BD24" s="65">
        <f t="shared" si="49"/>
        <v>3.6440677966101731E-2</v>
      </c>
      <c r="BE24" s="65">
        <f t="shared" si="49"/>
        <v>4.822134387351773E-2</v>
      </c>
      <c r="BF24" s="65">
        <f t="shared" si="49"/>
        <v>1.0806317539484578E-2</v>
      </c>
      <c r="BG24" s="65">
        <f t="shared" si="49"/>
        <v>3.6617262423713992E-2</v>
      </c>
      <c r="BH24" s="65">
        <f t="shared" si="49"/>
        <v>5.2330335241210113E-2</v>
      </c>
      <c r="BI24" s="65">
        <f t="shared" si="49"/>
        <v>3.167420814479649E-2</v>
      </c>
      <c r="BJ24" s="65">
        <f t="shared" si="49"/>
        <v>4.9342105263157077E-3</v>
      </c>
      <c r="BK24" s="65">
        <f t="shared" si="49"/>
        <v>3.111858704793935E-2</v>
      </c>
      <c r="BL24" s="65">
        <f t="shared" si="49"/>
        <v>5.4390054390054399E-3</v>
      </c>
      <c r="BM24" s="65">
        <f t="shared" si="49"/>
        <v>2.7777777777777679E-2</v>
      </c>
      <c r="BN24" s="65">
        <f t="shared" si="49"/>
        <v>3.7643207855973859E-2</v>
      </c>
      <c r="BO24" s="65">
        <f t="shared" si="49"/>
        <v>2.7732463295269127E-2</v>
      </c>
      <c r="BP24" s="65">
        <f t="shared" si="49"/>
        <v>6.8778979907264226E-2</v>
      </c>
      <c r="BQ24" s="65">
        <f>BQ4/BM4-1</f>
        <v>7.4679943100995683E-2</v>
      </c>
      <c r="BR24" s="65">
        <f t="shared" si="49"/>
        <v>8.9905362776025344E-2</v>
      </c>
      <c r="BS24" s="65">
        <f>BS4/BO4-1</f>
        <v>0.13174603174603172</v>
      </c>
      <c r="BT24" s="65">
        <f>BT4/BP4-1</f>
        <v>3.1091829356471479E-2</v>
      </c>
      <c r="BU24" s="34"/>
      <c r="BV24" s="34"/>
      <c r="CM24" s="65">
        <f t="shared" ref="CM24:CP24" si="50">CM4/CL4-1</f>
        <v>9.6444341157332136E-2</v>
      </c>
      <c r="CN24" s="65">
        <f t="shared" si="50"/>
        <v>4.1119118270453558E-2</v>
      </c>
      <c r="CO24" s="65">
        <f t="shared" si="50"/>
        <v>3.1351791530944695E-2</v>
      </c>
      <c r="CP24" s="65">
        <f t="shared" si="50"/>
        <v>2.5266482431898885E-2</v>
      </c>
      <c r="CQ24" s="94">
        <v>0.15</v>
      </c>
      <c r="CR24" s="70">
        <v>0.13</v>
      </c>
      <c r="CS24" s="70">
        <v>0.11</v>
      </c>
      <c r="CT24" s="70">
        <v>9.5000000000000001E-2</v>
      </c>
      <c r="CU24" s="70">
        <v>0.08</v>
      </c>
      <c r="CV24" s="70">
        <v>7.4999999999999997E-2</v>
      </c>
      <c r="CW24" s="70">
        <v>7.0000000000000007E-2</v>
      </c>
      <c r="CX24" s="70">
        <v>6.5000000000000002E-2</v>
      </c>
      <c r="CY24" s="70">
        <v>0.05</v>
      </c>
      <c r="CZ24" s="70">
        <v>4.4999999999999998E-2</v>
      </c>
      <c r="DA24" s="34"/>
      <c r="DB24" s="34"/>
      <c r="DC24" s="34"/>
      <c r="DD24" s="34"/>
      <c r="DE24" s="34"/>
      <c r="DF24" s="34"/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34"/>
      <c r="DR24" s="34"/>
      <c r="DS24" s="34"/>
      <c r="DT24" s="34"/>
      <c r="DU24" s="34"/>
      <c r="DV24" s="34"/>
      <c r="DW24" s="34"/>
      <c r="DX24" s="34"/>
      <c r="DY24" s="34"/>
      <c r="DZ24" s="34"/>
      <c r="EA24" s="34"/>
      <c r="EB24" s="34"/>
      <c r="EC24" s="34"/>
      <c r="ED24" s="34"/>
      <c r="EE24" s="34"/>
      <c r="EF24" s="34"/>
      <c r="EG24" s="34"/>
      <c r="EH24" s="34"/>
      <c r="EI24" s="34"/>
      <c r="EJ24" s="34"/>
      <c r="EK24" s="34"/>
      <c r="EL24" s="34"/>
      <c r="EM24" s="34"/>
      <c r="EN24" s="34"/>
      <c r="EO24" s="34"/>
      <c r="EP24" s="34"/>
      <c r="EQ24" s="34"/>
      <c r="ER24" s="34"/>
      <c r="ES24" s="34"/>
      <c r="ET24" s="34"/>
      <c r="EU24" s="34"/>
      <c r="EV24" s="34"/>
      <c r="EW24" s="34"/>
      <c r="EX24" s="34"/>
      <c r="EY24" s="34"/>
      <c r="EZ24" s="34"/>
    </row>
    <row r="25" spans="2:156">
      <c r="B25" s="36" t="s">
        <v>2249</v>
      </c>
      <c r="AU25" s="64"/>
      <c r="AV25" s="64"/>
      <c r="AW25" s="64"/>
      <c r="AX25" s="64"/>
      <c r="AY25" s="64">
        <f t="shared" ref="AY25:BT25" si="51">AY5/AU5-1</f>
        <v>-2.1120293847566529E-2</v>
      </c>
      <c r="AZ25" s="64">
        <f t="shared" si="51"/>
        <v>6.73828125E-2</v>
      </c>
      <c r="BA25" s="64">
        <f t="shared" si="51"/>
        <v>9.3439363817097387E-2</v>
      </c>
      <c r="BB25" s="64">
        <f t="shared" si="51"/>
        <v>3.0753968253968145E-2</v>
      </c>
      <c r="BC25" s="64">
        <f t="shared" si="51"/>
        <v>-0.2054409005628518</v>
      </c>
      <c r="BD25" s="64">
        <f t="shared" si="51"/>
        <v>-0.15370539798719118</v>
      </c>
      <c r="BE25" s="64">
        <f t="shared" si="51"/>
        <v>-0.24818181818181817</v>
      </c>
      <c r="BF25" s="64">
        <f t="shared" si="51"/>
        <v>-0.15110683349374399</v>
      </c>
      <c r="BG25" s="64">
        <f t="shared" si="51"/>
        <v>9.0909090909090828E-2</v>
      </c>
      <c r="BH25" s="64">
        <f t="shared" si="51"/>
        <v>0.10702702702702704</v>
      </c>
      <c r="BI25" s="64">
        <f t="shared" si="51"/>
        <v>0.21039903264812576</v>
      </c>
      <c r="BJ25" s="64">
        <f t="shared" si="51"/>
        <v>0.11678004535147402</v>
      </c>
      <c r="BK25" s="64">
        <f t="shared" si="51"/>
        <v>9.1991341991342068E-2</v>
      </c>
      <c r="BL25" s="64">
        <f t="shared" si="51"/>
        <v>3.41796875E-2</v>
      </c>
      <c r="BM25" s="64">
        <f t="shared" si="51"/>
        <v>-4.5954045954045952E-2</v>
      </c>
      <c r="BN25" s="64">
        <f t="shared" si="51"/>
        <v>1.5228426395939021E-2</v>
      </c>
      <c r="BO25" s="64">
        <f t="shared" si="51"/>
        <v>3.1714568880079286E-2</v>
      </c>
      <c r="BP25" s="64">
        <f t="shared" si="51"/>
        <v>-4.7214353163361755E-3</v>
      </c>
      <c r="BQ25" s="64">
        <f t="shared" si="51"/>
        <v>2.3036649214659644E-2</v>
      </c>
      <c r="BR25" s="64">
        <f t="shared" si="51"/>
        <v>-9.7999999999999976E-2</v>
      </c>
      <c r="BS25" s="64">
        <f t="shared" si="51"/>
        <v>-8.4534101825168073E-2</v>
      </c>
      <c r="BT25" s="64">
        <f t="shared" si="51"/>
        <v>-9.5825426944971537E-2</v>
      </c>
      <c r="CM25" s="64">
        <f t="shared" ref="CM25:CM42" si="52">CM5/CL5-1</f>
        <v>4.1434456021322896E-2</v>
      </c>
      <c r="CN25" s="64">
        <f t="shared" ref="CN25:CN42" si="53">CN5/CM5-1</f>
        <v>-0.190088413215449</v>
      </c>
      <c r="CO25" s="64">
        <f t="shared" ref="CO25:CO42" si="54">CO5/CN5-1</f>
        <v>0.1301350186727952</v>
      </c>
      <c r="CP25" s="64">
        <f t="shared" ref="CP25:CP42" si="55">CP5/CO5-1</f>
        <v>2.2623284189120518E-2</v>
      </c>
      <c r="CQ25" s="95">
        <v>1.6E-2</v>
      </c>
      <c r="CR25" s="71">
        <v>9.2999999999999999E-2</v>
      </c>
      <c r="CS25" s="71">
        <v>-0.12</v>
      </c>
      <c r="CT25" s="71">
        <v>-0.06</v>
      </c>
      <c r="CU25" s="71">
        <v>-0.05</v>
      </c>
      <c r="CV25" s="71">
        <v>1.2999999999999999E-2</v>
      </c>
      <c r="CW25" s="71">
        <v>1.2999999999999999E-2</v>
      </c>
      <c r="CX25" s="71">
        <v>1.2999999999999999E-2</v>
      </c>
      <c r="CY25" s="71">
        <v>1.2E-2</v>
      </c>
      <c r="CZ25" s="71">
        <v>1.2E-2</v>
      </c>
    </row>
    <row r="26" spans="2:156">
      <c r="B26" s="36" t="s">
        <v>2250</v>
      </c>
      <c r="AU26" s="64"/>
      <c r="AV26" s="64"/>
      <c r="AW26" s="64"/>
      <c r="AX26" s="64"/>
      <c r="AY26" s="64">
        <f t="shared" ref="AY26:BT26" si="56">AY6/AU6-1</f>
        <v>0.19018404907975461</v>
      </c>
      <c r="AZ26" s="64">
        <f t="shared" si="56"/>
        <v>0.18160651920838178</v>
      </c>
      <c r="BA26" s="64">
        <f t="shared" si="56"/>
        <v>9.8039215686274606E-2</v>
      </c>
      <c r="BB26" s="64">
        <f t="shared" si="56"/>
        <v>8.0818965517241326E-2</v>
      </c>
      <c r="BC26" s="64">
        <f t="shared" si="56"/>
        <v>7.9381443298969012E-2</v>
      </c>
      <c r="BD26" s="64">
        <f t="shared" si="56"/>
        <v>1.2807881773398977E-2</v>
      </c>
      <c r="BE26" s="64">
        <f t="shared" si="56"/>
        <v>-3.9682539682539653E-2</v>
      </c>
      <c r="BF26" s="64">
        <f t="shared" si="56"/>
        <v>-6.7796610169491567E-2</v>
      </c>
      <c r="BG26" s="64">
        <f t="shared" si="56"/>
        <v>-3.8204393505253398E-3</v>
      </c>
      <c r="BH26" s="64">
        <f t="shared" si="56"/>
        <v>2.3346303501945442E-2</v>
      </c>
      <c r="BI26" s="64">
        <f t="shared" si="56"/>
        <v>0.10743801652892571</v>
      </c>
      <c r="BJ26" s="64">
        <f t="shared" si="56"/>
        <v>0.12620320855614975</v>
      </c>
      <c r="BK26" s="64">
        <f t="shared" si="56"/>
        <v>1.5340364333652934E-2</v>
      </c>
      <c r="BL26" s="64">
        <f t="shared" si="56"/>
        <v>3.7072243346007561E-2</v>
      </c>
      <c r="BM26" s="64">
        <f t="shared" si="56"/>
        <v>3.6380597014925353E-2</v>
      </c>
      <c r="BN26" s="64">
        <f t="shared" si="56"/>
        <v>7.2174738841405572E-2</v>
      </c>
      <c r="BO26" s="64">
        <f t="shared" si="56"/>
        <v>4.3437204910292682E-2</v>
      </c>
      <c r="BP26" s="64">
        <f t="shared" si="56"/>
        <v>6.1411549037580171E-2</v>
      </c>
      <c r="BQ26" s="64">
        <f t="shared" si="56"/>
        <v>5.8505850585058417E-2</v>
      </c>
      <c r="BR26" s="64">
        <f t="shared" si="56"/>
        <v>-8.0602302922940683E-2</v>
      </c>
      <c r="BS26" s="64">
        <f t="shared" si="56"/>
        <v>-3.7104072398190024E-2</v>
      </c>
      <c r="BT26" s="64">
        <f t="shared" si="56"/>
        <v>-8.1174438687392048E-2</v>
      </c>
      <c r="CM26" s="64">
        <f t="shared" si="52"/>
        <v>0.13522727272727275</v>
      </c>
      <c r="CN26" s="64">
        <f t="shared" si="53"/>
        <v>-4.5045045045044585E-3</v>
      </c>
      <c r="CO26" s="64">
        <f t="shared" si="54"/>
        <v>6.0834590246354958E-2</v>
      </c>
      <c r="CP26" s="64">
        <f t="shared" si="55"/>
        <v>4.0284360189573487E-2</v>
      </c>
      <c r="CQ26" s="95">
        <v>4.4999999999999998E-2</v>
      </c>
      <c r="CR26" s="71">
        <v>-0.06</v>
      </c>
      <c r="CS26" s="71">
        <v>-7.0000000000000007E-2</v>
      </c>
      <c r="CT26" s="71">
        <v>-0.05</v>
      </c>
      <c r="CU26" s="71">
        <v>-0.02</v>
      </c>
      <c r="CV26" s="71">
        <v>0.01</v>
      </c>
      <c r="CW26" s="71">
        <v>0.02</v>
      </c>
      <c r="CX26" s="71">
        <v>4.4999999999999998E-2</v>
      </c>
      <c r="CY26" s="71">
        <v>0.04</v>
      </c>
      <c r="CZ26" s="71">
        <v>0.03</v>
      </c>
    </row>
    <row r="27" spans="2:156" s="2" customFormat="1" ht="15">
      <c r="B27" s="33" t="s">
        <v>2251</v>
      </c>
      <c r="AU27" s="65"/>
      <c r="AV27" s="65"/>
      <c r="AW27" s="65"/>
      <c r="AX27" s="65"/>
      <c r="AY27" s="65">
        <f t="shared" ref="AY27:BT27" si="57">AY7/AU7-1</f>
        <v>6.9327731092436951E-2</v>
      </c>
      <c r="AZ27" s="65">
        <f t="shared" si="57"/>
        <v>0.11949017525225702</v>
      </c>
      <c r="BA27" s="65">
        <f t="shared" si="57"/>
        <v>9.5634095634095528E-2</v>
      </c>
      <c r="BB27" s="65">
        <f t="shared" si="57"/>
        <v>5.475206611570238E-2</v>
      </c>
      <c r="BC27" s="65">
        <f t="shared" si="57"/>
        <v>-6.9744597249508877E-2</v>
      </c>
      <c r="BD27" s="65">
        <f t="shared" si="57"/>
        <v>-7.3529411764705843E-2</v>
      </c>
      <c r="BE27" s="65">
        <f t="shared" si="57"/>
        <v>-0.14848197343453506</v>
      </c>
      <c r="BF27" s="65">
        <f t="shared" si="57"/>
        <v>-0.11018609206660135</v>
      </c>
      <c r="BG27" s="65">
        <f t="shared" si="57"/>
        <v>3.8542766631467718E-2</v>
      </c>
      <c r="BH27" s="65">
        <f t="shared" si="57"/>
        <v>6.2980030721966118E-2</v>
      </c>
      <c r="BI27" s="65">
        <f t="shared" si="57"/>
        <v>0.15487465181058502</v>
      </c>
      <c r="BJ27" s="65">
        <f t="shared" si="57"/>
        <v>0.12162905888827735</v>
      </c>
      <c r="BK27" s="65">
        <f t="shared" si="57"/>
        <v>5.1347229283172258E-2</v>
      </c>
      <c r="BL27" s="65">
        <f t="shared" si="57"/>
        <v>3.5645472061657024E-2</v>
      </c>
      <c r="BM27" s="65">
        <f t="shared" si="57"/>
        <v>-3.3767486734201935E-3</v>
      </c>
      <c r="BN27" s="65">
        <f t="shared" si="57"/>
        <v>4.4651619234543638E-2</v>
      </c>
      <c r="BO27" s="65">
        <f t="shared" si="57"/>
        <v>3.771760154738879E-2</v>
      </c>
      <c r="BP27" s="65">
        <f t="shared" si="57"/>
        <v>2.8837209302325473E-2</v>
      </c>
      <c r="BQ27" s="65">
        <f t="shared" si="57"/>
        <v>4.2110358180058149E-2</v>
      </c>
      <c r="BR27" s="65">
        <f t="shared" si="57"/>
        <v>-8.8774072334429355E-2</v>
      </c>
      <c r="BS27" s="65">
        <f t="shared" si="57"/>
        <v>-6.0111835973904904E-2</v>
      </c>
      <c r="BT27" s="65">
        <f t="shared" si="57"/>
        <v>-8.8155515370705206E-2</v>
      </c>
      <c r="BU27" s="34"/>
      <c r="BV27" s="34"/>
      <c r="CM27" s="65">
        <f t="shared" si="52"/>
        <v>8.4608343141101106E-2</v>
      </c>
      <c r="CN27" s="65">
        <f t="shared" si="53"/>
        <v>-0.10067518688208343</v>
      </c>
      <c r="CO27" s="65">
        <f t="shared" si="54"/>
        <v>9.3176028958305457E-2</v>
      </c>
      <c r="CP27" s="65">
        <f t="shared" si="55"/>
        <v>3.1763551631101228E-2</v>
      </c>
      <c r="CQ27" s="94">
        <f>CQ7/CP7-1</f>
        <v>4.5168192083679948E-3</v>
      </c>
      <c r="CR27" s="70">
        <f t="shared" ref="CR27:CZ27" si="58">CR7/CQ7-1</f>
        <v>1.1946751863684657E-2</v>
      </c>
      <c r="CS27" s="70">
        <f t="shared" si="58"/>
        <v>-9.5395236788937909E-2</v>
      </c>
      <c r="CT27" s="70">
        <f t="shared" si="58"/>
        <v>-5.4940900000335691E-2</v>
      </c>
      <c r="CU27" s="70">
        <f t="shared" si="58"/>
        <v>-3.474335097239023E-2</v>
      </c>
      <c r="CV27" s="70">
        <f t="shared" si="58"/>
        <v>1.1451032058456212E-2</v>
      </c>
      <c r="CW27" s="70">
        <f t="shared" si="58"/>
        <v>1.6609073499230576E-2</v>
      </c>
      <c r="CX27" s="70">
        <f t="shared" si="58"/>
        <v>2.9553653300632421E-2</v>
      </c>
      <c r="CY27" s="70">
        <f t="shared" si="58"/>
        <v>2.6701756133097776E-2</v>
      </c>
      <c r="CZ27" s="70">
        <f t="shared" si="58"/>
        <v>2.1573543671955964E-2</v>
      </c>
      <c r="DA27" s="34"/>
      <c r="DB27" s="34"/>
      <c r="DC27" s="34"/>
      <c r="DD27" s="34"/>
      <c r="DE27" s="34"/>
      <c r="DF27" s="34"/>
      <c r="DG27" s="34"/>
      <c r="DH27" s="34"/>
      <c r="DI27" s="34"/>
      <c r="DJ27" s="34"/>
      <c r="DK27" s="34"/>
      <c r="DL27" s="34"/>
      <c r="DM27" s="34"/>
      <c r="DN27" s="34"/>
      <c r="DO27" s="34"/>
      <c r="DP27" s="34"/>
      <c r="DQ27" s="34"/>
      <c r="DR27" s="34"/>
      <c r="DS27" s="34"/>
      <c r="DT27" s="34"/>
      <c r="DU27" s="34"/>
      <c r="DV27" s="34"/>
      <c r="DW27" s="34"/>
      <c r="DX27" s="34"/>
      <c r="DY27" s="34"/>
      <c r="DZ27" s="34"/>
      <c r="EA27" s="34"/>
      <c r="EB27" s="34"/>
      <c r="EC27" s="34"/>
      <c r="ED27" s="34"/>
      <c r="EE27" s="34"/>
      <c r="EF27" s="34"/>
      <c r="EG27" s="34"/>
      <c r="EH27" s="34"/>
      <c r="EI27" s="34"/>
      <c r="EJ27" s="34"/>
      <c r="EK27" s="34"/>
      <c r="EL27" s="34"/>
      <c r="EM27" s="34"/>
      <c r="EN27" s="34"/>
      <c r="EO27" s="34"/>
      <c r="EP27" s="34"/>
      <c r="EQ27" s="34"/>
      <c r="ER27" s="34"/>
      <c r="ES27" s="34"/>
      <c r="ET27" s="34"/>
      <c r="EU27" s="34"/>
      <c r="EV27" s="34"/>
      <c r="EW27" s="34"/>
      <c r="EX27" s="34"/>
      <c r="EY27" s="34"/>
      <c r="EZ27" s="34"/>
    </row>
    <row r="28" spans="2:156">
      <c r="B28" s="36" t="s">
        <v>2252</v>
      </c>
      <c r="AU28" s="64"/>
      <c r="AV28" s="64"/>
      <c r="AW28" s="64"/>
      <c r="AX28" s="64"/>
      <c r="AY28" s="64">
        <f t="shared" ref="AY28:BT28" si="59">AY8/AU8-1</f>
        <v>0.19514661274014156</v>
      </c>
      <c r="AZ28" s="64">
        <f t="shared" si="59"/>
        <v>0.32320162107396144</v>
      </c>
      <c r="BA28" s="64">
        <f t="shared" si="59"/>
        <v>9.8639455782312924E-2</v>
      </c>
      <c r="BB28" s="64">
        <f t="shared" si="59"/>
        <v>1.889644746787611E-2</v>
      </c>
      <c r="BC28" s="64">
        <f t="shared" si="59"/>
        <v>1.6920473773265332E-3</v>
      </c>
      <c r="BD28" s="64">
        <f t="shared" si="59"/>
        <v>-6.5084226646248133E-2</v>
      </c>
      <c r="BE28" s="64">
        <f t="shared" si="59"/>
        <v>-5.6501547987616085E-2</v>
      </c>
      <c r="BF28" s="64">
        <f t="shared" si="59"/>
        <v>-6.2314540059347223E-2</v>
      </c>
      <c r="BG28" s="64">
        <f t="shared" si="59"/>
        <v>-1.6891891891891442E-3</v>
      </c>
      <c r="BH28" s="64">
        <f t="shared" si="59"/>
        <v>5.8968058968059012E-2</v>
      </c>
      <c r="BI28" s="64">
        <f t="shared" si="59"/>
        <v>7.793273174733395E-2</v>
      </c>
      <c r="BJ28" s="64">
        <f t="shared" si="59"/>
        <v>8.3860759493670889E-2</v>
      </c>
      <c r="BK28" s="64">
        <f t="shared" si="59"/>
        <v>1.9458544839255465E-2</v>
      </c>
      <c r="BL28" s="64">
        <f t="shared" si="59"/>
        <v>2.7842227378190199E-2</v>
      </c>
      <c r="BM28" s="64">
        <f t="shared" si="59"/>
        <v>0</v>
      </c>
      <c r="BN28" s="64">
        <f t="shared" si="59"/>
        <v>1.2408759124087565E-2</v>
      </c>
      <c r="BO28" s="64">
        <f t="shared" si="59"/>
        <v>-2.3236514522821605E-2</v>
      </c>
      <c r="BP28" s="64">
        <f t="shared" si="59"/>
        <v>2.1820917983446098E-2</v>
      </c>
      <c r="BQ28" s="64">
        <f t="shared" si="59"/>
        <v>3.8051750380517557E-2</v>
      </c>
      <c r="BR28" s="64">
        <f t="shared" si="59"/>
        <v>5.3352559480894124E-2</v>
      </c>
      <c r="BS28" s="64">
        <f t="shared" si="59"/>
        <v>8.0713678844519965E-2</v>
      </c>
      <c r="BT28" s="64">
        <f t="shared" si="59"/>
        <v>-6.3328424153166418E-2</v>
      </c>
      <c r="CM28" s="64">
        <f t="shared" si="52"/>
        <v>0.14592178770949715</v>
      </c>
      <c r="CN28" s="64">
        <f t="shared" si="53"/>
        <v>-4.6801872074882955E-2</v>
      </c>
      <c r="CO28" s="64">
        <f t="shared" si="54"/>
        <v>5.5441898527004874E-2</v>
      </c>
      <c r="CP28" s="64">
        <f t="shared" si="55"/>
        <v>1.4731537119596849E-2</v>
      </c>
      <c r="CQ28" s="95">
        <v>0.02</v>
      </c>
      <c r="CR28" s="71">
        <v>3.5000000000000003E-2</v>
      </c>
      <c r="CS28" s="71">
        <v>1.4E-2</v>
      </c>
      <c r="CT28" s="71">
        <v>1.4E-2</v>
      </c>
      <c r="CU28" s="71">
        <v>1.2999999999999999E-2</v>
      </c>
      <c r="CV28" s="71">
        <v>1.2999999999999999E-2</v>
      </c>
      <c r="CW28" s="71">
        <v>1.2E-2</v>
      </c>
      <c r="CX28" s="71">
        <v>1.2E-2</v>
      </c>
      <c r="CY28" s="71">
        <v>1.0999999999999999E-2</v>
      </c>
      <c r="CZ28" s="71">
        <v>1.0999999999999999E-2</v>
      </c>
    </row>
    <row r="29" spans="2:156">
      <c r="B29" s="36" t="s">
        <v>2253</v>
      </c>
      <c r="AU29" s="64"/>
      <c r="AV29" s="64"/>
      <c r="AW29" s="64"/>
      <c r="AX29" s="64"/>
      <c r="AY29" s="64">
        <f t="shared" ref="AY29:BT29" si="60">AY9/AU9-1</f>
        <v>2.2158273381294964</v>
      </c>
      <c r="AZ29" s="64">
        <f t="shared" si="60"/>
        <v>-0.19220055710306405</v>
      </c>
      <c r="BA29" s="64">
        <f t="shared" si="60"/>
        <v>-0.24672489082969429</v>
      </c>
      <c r="BB29" s="64">
        <f t="shared" si="60"/>
        <v>-0.28423236514522821</v>
      </c>
      <c r="BC29" s="64">
        <f t="shared" si="60"/>
        <v>-6.0402684563758413E-2</v>
      </c>
      <c r="BD29" s="64">
        <f t="shared" si="60"/>
        <v>-0.26896551724137929</v>
      </c>
      <c r="BE29" s="64">
        <f t="shared" si="60"/>
        <v>-0.4695652173913043</v>
      </c>
      <c r="BF29" s="64">
        <f t="shared" si="60"/>
        <v>-0.47826086956521741</v>
      </c>
      <c r="BG29" s="64">
        <f t="shared" si="60"/>
        <v>-0.65</v>
      </c>
      <c r="BH29" s="64">
        <f t="shared" si="60"/>
        <v>-0.33490566037735847</v>
      </c>
      <c r="BI29" s="64">
        <f t="shared" si="60"/>
        <v>-0.27322404371584696</v>
      </c>
      <c r="BJ29" s="64">
        <f t="shared" si="60"/>
        <v>-0.15000000000000002</v>
      </c>
      <c r="BK29" s="64">
        <f t="shared" si="60"/>
        <v>-0.12244897959183676</v>
      </c>
      <c r="BL29" s="64">
        <f t="shared" si="60"/>
        <v>-9.9290780141844004E-2</v>
      </c>
      <c r="BM29" s="64">
        <f t="shared" si="60"/>
        <v>-3.7593984962406068E-2</v>
      </c>
      <c r="BN29" s="64">
        <f t="shared" si="60"/>
        <v>-0.10457516339869277</v>
      </c>
      <c r="BO29" s="64">
        <f t="shared" si="60"/>
        <v>-5.4263565891472854E-2</v>
      </c>
      <c r="BP29" s="64">
        <f t="shared" si="60"/>
        <v>-3.1496062992126039E-2</v>
      </c>
      <c r="BQ29" s="64">
        <f t="shared" si="60"/>
        <v>2.34375E-2</v>
      </c>
      <c r="BR29" s="64">
        <f t="shared" si="60"/>
        <v>2.9197080291970767E-2</v>
      </c>
      <c r="BS29" s="64">
        <f t="shared" si="60"/>
        <v>0.22131147540983598</v>
      </c>
      <c r="BT29" s="64">
        <f t="shared" si="60"/>
        <v>0.21138211382113825</v>
      </c>
      <c r="CM29" s="64">
        <f t="shared" si="52"/>
        <v>-7.6495132127955001E-3</v>
      </c>
      <c r="CN29" s="64">
        <f t="shared" si="53"/>
        <v>-0.30273300630693767</v>
      </c>
      <c r="CO29" s="64">
        <f t="shared" si="54"/>
        <v>-0.4231155778894472</v>
      </c>
      <c r="CP29" s="64">
        <f t="shared" si="55"/>
        <v>-9.2334494773519182E-2</v>
      </c>
      <c r="CQ29" s="95">
        <v>0.01</v>
      </c>
      <c r="CR29" s="71">
        <v>0.21</v>
      </c>
      <c r="CS29" s="71">
        <v>0.19</v>
      </c>
      <c r="CT29" s="71">
        <v>0.16</v>
      </c>
      <c r="CU29" s="71">
        <v>0.15</v>
      </c>
      <c r="CV29" s="71">
        <v>0.14000000000000001</v>
      </c>
      <c r="CW29" s="71">
        <v>0.13</v>
      </c>
      <c r="CX29" s="71">
        <v>0.125</v>
      </c>
      <c r="CY29" s="71">
        <v>0.12</v>
      </c>
      <c r="CZ29" s="71">
        <v>0.115</v>
      </c>
    </row>
    <row r="30" spans="2:156">
      <c r="B30" s="36" t="s">
        <v>2254</v>
      </c>
      <c r="AU30" s="64"/>
      <c r="AV30" s="64"/>
      <c r="AW30" s="64"/>
      <c r="AX30" s="64"/>
      <c r="AY30" s="64">
        <f t="shared" ref="AY30:BT30" si="61">AY10/AU10-1</f>
        <v>-6.5217391304347783E-2</v>
      </c>
      <c r="AZ30" s="64">
        <f t="shared" si="61"/>
        <v>0.16101694915254239</v>
      </c>
      <c r="BA30" s="64">
        <f t="shared" si="61"/>
        <v>3.0534351145038219E-2</v>
      </c>
      <c r="BB30" s="64">
        <f t="shared" si="61"/>
        <v>4.6511627906976827E-2</v>
      </c>
      <c r="BC30" s="64">
        <f t="shared" si="61"/>
        <v>-7.7519379844961378E-3</v>
      </c>
      <c r="BD30" s="64">
        <f t="shared" si="61"/>
        <v>1.4598540145985384E-2</v>
      </c>
      <c r="BE30" s="64">
        <f t="shared" si="61"/>
        <v>-5.9259259259259234E-2</v>
      </c>
      <c r="BF30" s="64">
        <f t="shared" si="61"/>
        <v>-2.9629629629629672E-2</v>
      </c>
      <c r="BG30" s="64">
        <f t="shared" si="61"/>
        <v>4.6875E-2</v>
      </c>
      <c r="BH30" s="64">
        <f t="shared" si="61"/>
        <v>2.1582733812949728E-2</v>
      </c>
      <c r="BI30" s="64">
        <f t="shared" si="61"/>
        <v>0.10236220472440949</v>
      </c>
      <c r="BJ30" s="64">
        <f t="shared" si="61"/>
        <v>0.13740458015267176</v>
      </c>
      <c r="BK30" s="64">
        <f t="shared" si="61"/>
        <v>3.7313432835820892E-2</v>
      </c>
      <c r="BL30" s="64">
        <f t="shared" si="61"/>
        <v>9.8591549295774739E-2</v>
      </c>
      <c r="BM30" s="64">
        <f t="shared" si="61"/>
        <v>4.2857142857142927E-2</v>
      </c>
      <c r="BN30" s="64">
        <f t="shared" si="61"/>
        <v>-1.3422818791946289E-2</v>
      </c>
      <c r="BO30" s="64">
        <f t="shared" si="61"/>
        <v>2.1582733812949728E-2</v>
      </c>
      <c r="BP30" s="64">
        <f t="shared" si="61"/>
        <v>-5.1282051282051322E-2</v>
      </c>
      <c r="BQ30" s="64">
        <f t="shared" si="61"/>
        <v>8.2191780821917915E-2</v>
      </c>
      <c r="BR30" s="64">
        <f t="shared" si="61"/>
        <v>7.4829931972789199E-2</v>
      </c>
      <c r="BS30" s="64">
        <f t="shared" si="61"/>
        <v>-0.323943661971831</v>
      </c>
      <c r="BT30" s="64">
        <f t="shared" si="61"/>
        <v>-0.35135135135135132</v>
      </c>
      <c r="CM30" s="64">
        <f t="shared" si="52"/>
        <v>3.8759689922480689E-2</v>
      </c>
      <c r="CN30" s="64">
        <f t="shared" si="53"/>
        <v>-2.0522388059701524E-2</v>
      </c>
      <c r="CO30" s="64">
        <f t="shared" si="54"/>
        <v>7.6190476190476142E-2</v>
      </c>
      <c r="CP30" s="64">
        <f t="shared" si="55"/>
        <v>4.0707964601769842E-2</v>
      </c>
      <c r="CQ30" s="95">
        <v>0.04</v>
      </c>
      <c r="CR30" s="71">
        <v>-0.32</v>
      </c>
      <c r="CS30" s="71">
        <v>-0.28000000000000003</v>
      </c>
      <c r="CT30" s="71">
        <v>0.06</v>
      </c>
      <c r="CU30" s="71">
        <v>5.5E-2</v>
      </c>
      <c r="CV30" s="71">
        <v>5.2499999999999998E-2</v>
      </c>
      <c r="CW30" s="71">
        <v>0.05</v>
      </c>
      <c r="CX30" s="71">
        <v>4.7500000000000001E-2</v>
      </c>
      <c r="CY30" s="71">
        <v>4.4999999999999998E-2</v>
      </c>
      <c r="CZ30" s="71">
        <v>4.2500000000000003E-2</v>
      </c>
    </row>
    <row r="31" spans="2:156">
      <c r="B31" s="36" t="s">
        <v>2255</v>
      </c>
      <c r="AU31" s="64"/>
      <c r="AV31" s="64"/>
      <c r="AW31" s="64"/>
      <c r="AX31" s="64"/>
      <c r="AY31" s="64">
        <f t="shared" ref="AY31:BT31" si="62">AY11/AU11-1</f>
        <v>3.0285714285714285</v>
      </c>
      <c r="AZ31" s="64">
        <f t="shared" si="62"/>
        <v>1.8566037735849057</v>
      </c>
      <c r="BA31" s="64">
        <f t="shared" si="62"/>
        <v>1.4457142857142857</v>
      </c>
      <c r="BB31" s="64">
        <f t="shared" si="62"/>
        <v>9.6225632517627613E-2</v>
      </c>
      <c r="BC31" s="64">
        <f t="shared" si="62"/>
        <v>0.5625</v>
      </c>
      <c r="BD31" s="64">
        <f t="shared" si="62"/>
        <v>0.7978863936591809</v>
      </c>
      <c r="BE31" s="64">
        <f t="shared" si="62"/>
        <v>-1.3084112149532756E-2</v>
      </c>
      <c r="BF31" s="64">
        <f t="shared" si="62"/>
        <v>-0.3560348089292471</v>
      </c>
      <c r="BG31" s="64">
        <f t="shared" si="62"/>
        <v>-0.65248226950354615</v>
      </c>
      <c r="BH31" s="64">
        <f t="shared" si="62"/>
        <v>-0.72777369581190299</v>
      </c>
      <c r="BI31" s="64">
        <f t="shared" si="62"/>
        <v>-0.59185606060606055</v>
      </c>
      <c r="BJ31" s="64">
        <f t="shared" si="62"/>
        <v>-0.49353701527614569</v>
      </c>
      <c r="BK31" s="64">
        <f t="shared" si="62"/>
        <v>-0.39510204081632649</v>
      </c>
      <c r="BL31" s="64">
        <f t="shared" si="62"/>
        <v>-0.21322537112010798</v>
      </c>
      <c r="BM31" s="64">
        <f t="shared" si="62"/>
        <v>-4.4083526682134555E-2</v>
      </c>
      <c r="BN31" s="64">
        <f t="shared" si="62"/>
        <v>-1.5081206496519672E-2</v>
      </c>
      <c r="BO31" s="64">
        <f t="shared" si="62"/>
        <v>-0.17273954116059376</v>
      </c>
      <c r="BP31" s="64">
        <f t="shared" si="62"/>
        <v>-6.689536878216118E-2</v>
      </c>
      <c r="BQ31" s="64">
        <f t="shared" si="62"/>
        <v>-0.27184466019417475</v>
      </c>
      <c r="BR31" s="64">
        <f t="shared" si="62"/>
        <v>-0.17903415783274446</v>
      </c>
      <c r="BS31" s="64">
        <f t="shared" si="62"/>
        <v>8.1566068515497525E-2</v>
      </c>
      <c r="BT31" s="64">
        <f t="shared" si="62"/>
        <v>0.21875</v>
      </c>
      <c r="CM31" s="64">
        <f t="shared" si="52"/>
        <v>0.95452468007312619</v>
      </c>
      <c r="CN31" s="64">
        <f t="shared" si="53"/>
        <v>0.17631240500409207</v>
      </c>
      <c r="CO31" s="64">
        <f t="shared" si="54"/>
        <v>-0.63323725275817511</v>
      </c>
      <c r="CP31" s="64">
        <f t="shared" si="55"/>
        <v>-0.18780487804878043</v>
      </c>
      <c r="CQ31" s="95">
        <v>-0.11</v>
      </c>
      <c r="CR31" s="71">
        <v>0.17</v>
      </c>
      <c r="CS31" s="71">
        <v>0.21</v>
      </c>
      <c r="CT31" s="71">
        <v>0.22</v>
      </c>
      <c r="CU31" s="71">
        <v>0.18</v>
      </c>
      <c r="CV31" s="71">
        <v>0.16</v>
      </c>
      <c r="CW31" s="71">
        <v>0.15</v>
      </c>
      <c r="CX31" s="71">
        <v>0.14000000000000001</v>
      </c>
      <c r="CY31" s="71">
        <v>0.13</v>
      </c>
      <c r="CZ31" s="71">
        <v>0.12</v>
      </c>
    </row>
    <row r="32" spans="2:156" s="2" customFormat="1" ht="15">
      <c r="B32" s="33" t="s">
        <v>2256</v>
      </c>
      <c r="AU32" s="65"/>
      <c r="AV32" s="65"/>
      <c r="AW32" s="65"/>
      <c r="AX32" s="65"/>
      <c r="AY32" s="65">
        <f t="shared" ref="AY32:BT32" si="63">AY12/AU12-1</f>
        <v>1.1982475355969333</v>
      </c>
      <c r="AZ32" s="65">
        <f t="shared" si="63"/>
        <v>0.62838515546639928</v>
      </c>
      <c r="BA32" s="65">
        <f t="shared" si="63"/>
        <v>0.48181818181818192</v>
      </c>
      <c r="BB32" s="65">
        <f t="shared" si="63"/>
        <v>2.8998849252013903E-2</v>
      </c>
      <c r="BC32" s="65">
        <f t="shared" si="63"/>
        <v>0.30966616841056305</v>
      </c>
      <c r="BD32" s="65">
        <f t="shared" si="63"/>
        <v>0.32245149368647974</v>
      </c>
      <c r="BE32" s="65">
        <f t="shared" si="63"/>
        <v>-6.9274028629856876E-2</v>
      </c>
      <c r="BF32" s="65">
        <f t="shared" si="63"/>
        <v>-0.26705435025721314</v>
      </c>
      <c r="BG32" s="65">
        <f t="shared" si="63"/>
        <v>-0.48868175765645805</v>
      </c>
      <c r="BH32" s="65">
        <f t="shared" si="63"/>
        <v>-0.46040987424312996</v>
      </c>
      <c r="BI32" s="65">
        <f t="shared" si="63"/>
        <v>-0.3273825872013183</v>
      </c>
      <c r="BJ32" s="65">
        <f t="shared" si="63"/>
        <v>-0.2267317668599329</v>
      </c>
      <c r="BK32" s="65">
        <f t="shared" si="63"/>
        <v>-0.1763392857142857</v>
      </c>
      <c r="BL32" s="65">
        <f t="shared" si="63"/>
        <v>-5.265429434613722E-2</v>
      </c>
      <c r="BM32" s="65">
        <f t="shared" si="63"/>
        <v>-1.5108207431604792E-2</v>
      </c>
      <c r="BN32" s="65">
        <f t="shared" si="63"/>
        <v>-5.5248618784530246E-3</v>
      </c>
      <c r="BO32" s="65">
        <f t="shared" si="63"/>
        <v>-7.2267389340560095E-2</v>
      </c>
      <c r="BP32" s="65">
        <f t="shared" si="63"/>
        <v>-1.0022779043280194E-2</v>
      </c>
      <c r="BQ32" s="65">
        <f t="shared" si="63"/>
        <v>-6.5920398009950198E-2</v>
      </c>
      <c r="BR32" s="65">
        <f t="shared" si="63"/>
        <v>-2.5000000000000022E-2</v>
      </c>
      <c r="BS32" s="65">
        <f t="shared" si="63"/>
        <v>6.134371957156759E-2</v>
      </c>
      <c r="BT32" s="65">
        <f t="shared" si="63"/>
        <v>3.2213529682467712E-3</v>
      </c>
      <c r="BU32" s="34"/>
      <c r="BV32" s="34"/>
      <c r="CM32" s="65">
        <f t="shared" si="52"/>
        <v>0.4478482184173993</v>
      </c>
      <c r="CN32" s="65">
        <f t="shared" si="53"/>
        <v>5.2735873178215265E-2</v>
      </c>
      <c r="CO32" s="65">
        <f t="shared" si="54"/>
        <v>-0.39352723298318049</v>
      </c>
      <c r="CP32" s="65">
        <f t="shared" si="55"/>
        <v>-6.4777733279935967E-2</v>
      </c>
      <c r="CQ32" s="94">
        <f>CQ12/CP12-1</f>
        <v>-4.3250187346108526E-2</v>
      </c>
      <c r="CR32" s="70">
        <f>CR12/CQ12-1</f>
        <v>5.8121293498936799E-2</v>
      </c>
      <c r="CS32" s="70">
        <f t="shared" ref="CS32:CZ32" si="64">CS12/CR12-1</f>
        <v>7.234126409226338E-2</v>
      </c>
      <c r="CT32" s="70">
        <f t="shared" si="64"/>
        <v>9.6639247290678743E-2</v>
      </c>
      <c r="CU32" s="70">
        <f t="shared" si="64"/>
        <v>8.8476183579202283E-2</v>
      </c>
      <c r="CV32" s="70">
        <f t="shared" si="64"/>
        <v>8.5240282278949309E-2</v>
      </c>
      <c r="CW32" s="70">
        <f t="shared" si="64"/>
        <v>8.4127130546277185E-2</v>
      </c>
      <c r="CX32" s="70">
        <f t="shared" si="64"/>
        <v>8.3030528614337573E-2</v>
      </c>
      <c r="CY32" s="70">
        <f t="shared" si="64"/>
        <v>8.0699485716435149E-2</v>
      </c>
      <c r="CZ32" s="70">
        <f t="shared" si="64"/>
        <v>7.8018464580066116E-2</v>
      </c>
      <c r="DA32" s="34"/>
      <c r="DB32" s="34"/>
      <c r="DC32" s="34"/>
      <c r="DD32" s="34"/>
      <c r="DE32" s="34"/>
      <c r="DF32" s="34"/>
      <c r="DG32" s="34"/>
      <c r="DH32" s="34"/>
      <c r="DI32" s="34"/>
      <c r="DJ32" s="34"/>
      <c r="DK32" s="34"/>
      <c r="DL32" s="34"/>
      <c r="DM32" s="34"/>
      <c r="DN32" s="34"/>
      <c r="DO32" s="34"/>
      <c r="DP32" s="34"/>
      <c r="DQ32" s="34"/>
      <c r="DR32" s="34"/>
      <c r="DS32" s="34"/>
      <c r="DT32" s="34"/>
      <c r="DU32" s="34"/>
      <c r="DV32" s="34"/>
      <c r="DW32" s="34"/>
      <c r="DX32" s="34"/>
      <c r="DY32" s="34"/>
      <c r="DZ32" s="34"/>
      <c r="EA32" s="34"/>
      <c r="EB32" s="34"/>
      <c r="EC32" s="34"/>
      <c r="ED32" s="34"/>
      <c r="EE32" s="34"/>
      <c r="EF32" s="34"/>
      <c r="EG32" s="34"/>
      <c r="EH32" s="34"/>
      <c r="EI32" s="34"/>
      <c r="EJ32" s="34"/>
      <c r="EK32" s="34"/>
      <c r="EL32" s="34"/>
      <c r="EM32" s="34"/>
      <c r="EN32" s="34"/>
      <c r="EO32" s="34"/>
      <c r="EP32" s="34"/>
      <c r="EQ32" s="34"/>
      <c r="ER32" s="34"/>
      <c r="ES32" s="34"/>
      <c r="ET32" s="34"/>
      <c r="EU32" s="34"/>
      <c r="EV32" s="34"/>
      <c r="EW32" s="34"/>
      <c r="EX32" s="34"/>
      <c r="EY32" s="34"/>
      <c r="EZ32" s="34"/>
    </row>
    <row r="33" spans="2:156">
      <c r="B33" s="36" t="s">
        <v>2257</v>
      </c>
      <c r="AU33" s="64"/>
      <c r="AV33" s="64"/>
      <c r="AW33" s="64"/>
      <c r="AX33" s="64"/>
      <c r="AY33" s="64">
        <f t="shared" ref="AY33:BT33" si="65">AY13/AU13-1</f>
        <v>9.4936708860759556E-2</v>
      </c>
      <c r="AZ33" s="64">
        <f t="shared" si="65"/>
        <v>0.41396508728179549</v>
      </c>
      <c r="BA33" s="64">
        <f t="shared" si="65"/>
        <v>0.12623274161735698</v>
      </c>
      <c r="BB33" s="64">
        <f t="shared" si="65"/>
        <v>1.6917293233082775E-2</v>
      </c>
      <c r="BC33" s="64">
        <f t="shared" si="65"/>
        <v>9.633911368015502E-3</v>
      </c>
      <c r="BD33" s="64">
        <f t="shared" si="65"/>
        <v>-3.3509700176366897E-2</v>
      </c>
      <c r="BE33" s="64">
        <f t="shared" si="65"/>
        <v>-6.6549912434325731E-2</v>
      </c>
      <c r="BF33" s="64">
        <f t="shared" si="65"/>
        <v>-4.9907578558225474E-2</v>
      </c>
      <c r="BG33" s="64">
        <f t="shared" si="65"/>
        <v>5.7251908396946938E-3</v>
      </c>
      <c r="BH33" s="64">
        <f t="shared" si="65"/>
        <v>6.3868613138686081E-2</v>
      </c>
      <c r="BI33" s="64">
        <f t="shared" si="65"/>
        <v>5.6285178236397782E-2</v>
      </c>
      <c r="BJ33" s="64">
        <f t="shared" si="65"/>
        <v>0.13229571984435795</v>
      </c>
      <c r="BK33" s="64">
        <f t="shared" si="65"/>
        <v>6.6413662239089177E-2</v>
      </c>
      <c r="BL33" s="64">
        <f t="shared" si="65"/>
        <v>4.116638078902235E-2</v>
      </c>
      <c r="BM33" s="64">
        <f t="shared" si="65"/>
        <v>6.0390763765541644E-2</v>
      </c>
      <c r="BN33" s="64">
        <f t="shared" si="65"/>
        <v>7.2164948453608213E-2</v>
      </c>
      <c r="BO33" s="64">
        <f t="shared" si="65"/>
        <v>4.0925266903914626E-2</v>
      </c>
      <c r="BP33" s="64">
        <f t="shared" si="65"/>
        <v>0.10873146622734753</v>
      </c>
      <c r="BQ33" s="64">
        <f t="shared" si="65"/>
        <v>0.14907872696817415</v>
      </c>
      <c r="BR33" s="64">
        <f t="shared" si="65"/>
        <v>0.12980769230769229</v>
      </c>
      <c r="BS33" s="64">
        <f t="shared" si="65"/>
        <v>0.1692307692307693</v>
      </c>
      <c r="BT33" s="64">
        <f t="shared" si="65"/>
        <v>1.634472511144125E-2</v>
      </c>
      <c r="CM33" s="64">
        <f t="shared" si="52"/>
        <v>0.14838035527690696</v>
      </c>
      <c r="CN33" s="64">
        <f t="shared" si="53"/>
        <v>-3.5941765241128354E-2</v>
      </c>
      <c r="CO33" s="64">
        <f t="shared" si="54"/>
        <v>6.4181217555450587E-2</v>
      </c>
      <c r="CP33" s="64">
        <f t="shared" si="55"/>
        <v>5.9866962305986648E-2</v>
      </c>
      <c r="CQ33" s="95">
        <v>0.105</v>
      </c>
      <c r="CR33" s="71">
        <v>0.13250000000000001</v>
      </c>
      <c r="CS33" s="71">
        <v>0.12</v>
      </c>
      <c r="CT33" s="71">
        <v>0.11</v>
      </c>
      <c r="CU33" s="71">
        <v>0.105</v>
      </c>
      <c r="CV33" s="71">
        <v>0.09</v>
      </c>
      <c r="CW33" s="71">
        <v>7.4999999999999997E-2</v>
      </c>
      <c r="CX33" s="71">
        <v>0.06</v>
      </c>
      <c r="CY33" s="71">
        <v>0.05</v>
      </c>
      <c r="CZ33" s="71">
        <v>0.04</v>
      </c>
    </row>
    <row r="34" spans="2:156" s="2" customFormat="1" ht="15">
      <c r="B34" s="36" t="s">
        <v>2258</v>
      </c>
      <c r="AU34" s="64"/>
      <c r="AV34" s="64"/>
      <c r="AW34" s="64"/>
      <c r="AX34" s="64"/>
      <c r="AY34" s="64">
        <f t="shared" ref="AY34:BT34" si="66">AY14/AU14-1</f>
        <v>0.11082474226804129</v>
      </c>
      <c r="AZ34" s="64">
        <f t="shared" si="66"/>
        <v>0.62876254180602009</v>
      </c>
      <c r="BA34" s="64">
        <f t="shared" si="66"/>
        <v>9.977324263038545E-2</v>
      </c>
      <c r="BB34" s="64">
        <f t="shared" si="66"/>
        <v>0.12000000000000011</v>
      </c>
      <c r="BC34" s="64">
        <f t="shared" si="66"/>
        <v>0.12529002320185612</v>
      </c>
      <c r="BD34" s="64">
        <f t="shared" si="66"/>
        <v>-2.0533880903490509E-3</v>
      </c>
      <c r="BE34" s="64">
        <f t="shared" si="66"/>
        <v>-3.2989690721649478E-2</v>
      </c>
      <c r="BF34" s="64">
        <f t="shared" si="66"/>
        <v>-3.3730158730158721E-2</v>
      </c>
      <c r="BG34" s="64">
        <f t="shared" si="66"/>
        <v>4.1237113402061931E-2</v>
      </c>
      <c r="BH34" s="64">
        <f t="shared" si="66"/>
        <v>0.13786008230452684</v>
      </c>
      <c r="BI34" s="64">
        <f t="shared" si="66"/>
        <v>0.15991471215351805</v>
      </c>
      <c r="BJ34" s="64">
        <f t="shared" si="66"/>
        <v>0.21765913757700206</v>
      </c>
      <c r="BK34" s="64">
        <f t="shared" si="66"/>
        <v>0.1623762376237623</v>
      </c>
      <c r="BL34" s="64">
        <f t="shared" si="66"/>
        <v>0.13381555153707048</v>
      </c>
      <c r="BM34" s="64">
        <f t="shared" si="66"/>
        <v>0.12132352941176472</v>
      </c>
      <c r="BN34" s="64">
        <f t="shared" si="66"/>
        <v>8.4317032040472251E-2</v>
      </c>
      <c r="BO34" s="64">
        <f t="shared" si="66"/>
        <v>7.1550255536626972E-2</v>
      </c>
      <c r="BP34" s="64">
        <f t="shared" si="66"/>
        <v>0.11642743221690588</v>
      </c>
      <c r="BQ34" s="64">
        <f t="shared" si="66"/>
        <v>0.15573770491803285</v>
      </c>
      <c r="BR34" s="64">
        <f t="shared" si="66"/>
        <v>0.13530326594090192</v>
      </c>
      <c r="BS34" s="64">
        <f t="shared" si="66"/>
        <v>0.25278219395866453</v>
      </c>
      <c r="BT34" s="64">
        <f t="shared" si="66"/>
        <v>0.12571428571428567</v>
      </c>
      <c r="BU34" s="34"/>
      <c r="BV34" s="34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64">
        <f t="shared" si="52"/>
        <v>0.20849176172370099</v>
      </c>
      <c r="CN34" s="64">
        <f t="shared" si="53"/>
        <v>1.0487676979548999E-2</v>
      </c>
      <c r="CO34" s="64">
        <f t="shared" si="54"/>
        <v>0.13907628437986497</v>
      </c>
      <c r="CP34" s="64">
        <f t="shared" si="55"/>
        <v>0.12391799544419135</v>
      </c>
      <c r="CQ34" s="95">
        <v>0.12</v>
      </c>
      <c r="CR34" s="71">
        <v>0.22</v>
      </c>
      <c r="CS34" s="71">
        <v>0.17</v>
      </c>
      <c r="CT34" s="71">
        <v>0.16</v>
      </c>
      <c r="CU34" s="71">
        <v>0.155</v>
      </c>
      <c r="CV34" s="71">
        <v>0.14499999999999999</v>
      </c>
      <c r="CW34" s="71">
        <v>0.13</v>
      </c>
      <c r="CX34" s="71">
        <v>0.11</v>
      </c>
      <c r="CY34" s="71">
        <v>8.5000000000000006E-2</v>
      </c>
      <c r="CZ34" s="71">
        <v>6.5000000000000002E-2</v>
      </c>
      <c r="DA34" s="34"/>
      <c r="DB34" s="34"/>
      <c r="DC34" s="34"/>
      <c r="DD34" s="34"/>
      <c r="DE34" s="34"/>
      <c r="DF34" s="34"/>
      <c r="DG34" s="34"/>
      <c r="DH34" s="34"/>
      <c r="DI34" s="34"/>
      <c r="DJ34" s="34"/>
      <c r="DK34" s="34"/>
      <c r="DL34" s="34"/>
      <c r="DM34" s="34"/>
      <c r="DN34" s="34"/>
      <c r="DO34" s="34"/>
      <c r="DP34" s="34"/>
      <c r="DQ34" s="34"/>
      <c r="DR34" s="34"/>
      <c r="DS34" s="34"/>
      <c r="DT34" s="34"/>
      <c r="DU34" s="34"/>
      <c r="DV34" s="34"/>
      <c r="DW34" s="34"/>
      <c r="DX34" s="34"/>
      <c r="DY34" s="34"/>
      <c r="DZ34" s="34"/>
      <c r="EA34" s="34"/>
      <c r="EB34" s="34"/>
      <c r="EC34" s="34"/>
      <c r="ED34" s="34"/>
      <c r="EE34" s="34"/>
      <c r="EF34" s="34"/>
      <c r="EG34" s="34"/>
      <c r="EH34" s="34"/>
      <c r="EI34" s="34"/>
      <c r="EJ34" s="34"/>
      <c r="EK34" s="34"/>
      <c r="EL34" s="34"/>
      <c r="EM34" s="34"/>
      <c r="EN34" s="34"/>
      <c r="EO34" s="34"/>
      <c r="EP34" s="34"/>
      <c r="EQ34" s="34"/>
      <c r="ER34" s="34"/>
      <c r="ES34" s="34"/>
      <c r="ET34" s="34"/>
      <c r="EU34" s="34"/>
      <c r="EV34" s="34"/>
      <c r="EW34" s="34"/>
      <c r="EX34" s="34"/>
      <c r="EY34" s="34"/>
      <c r="EZ34" s="34"/>
    </row>
    <row r="35" spans="2:156" s="2" customFormat="1" ht="15">
      <c r="B35" s="36" t="s">
        <v>2259</v>
      </c>
      <c r="AU35" s="64"/>
      <c r="AV35" s="64"/>
      <c r="AW35" s="64"/>
      <c r="AX35" s="64"/>
      <c r="AY35" s="64">
        <f t="shared" ref="AY35:BT35" si="67">AY15/AU15-1</f>
        <v>-4.4334975369458074E-2</v>
      </c>
      <c r="AZ35" s="64">
        <f t="shared" si="67"/>
        <v>0.43670886075949378</v>
      </c>
      <c r="BA35" s="64">
        <f t="shared" si="67"/>
        <v>0.20526315789473681</v>
      </c>
      <c r="BB35" s="64">
        <f t="shared" si="67"/>
        <v>0.26455026455026465</v>
      </c>
      <c r="BC35" s="64">
        <f t="shared" si="67"/>
        <v>0.28865979381443307</v>
      </c>
      <c r="BD35" s="64">
        <f t="shared" si="67"/>
        <v>0.18502202643171817</v>
      </c>
      <c r="BE35" s="64">
        <f t="shared" si="67"/>
        <v>0.1266375545851528</v>
      </c>
      <c r="BF35" s="64">
        <f t="shared" si="67"/>
        <v>7.9497907949790836E-2</v>
      </c>
      <c r="BG35" s="64">
        <f t="shared" si="67"/>
        <v>0.12400000000000011</v>
      </c>
      <c r="BH35" s="64">
        <f t="shared" si="67"/>
        <v>9.6654275092936892E-2</v>
      </c>
      <c r="BI35" s="64">
        <f t="shared" si="67"/>
        <v>0.10077519379844957</v>
      </c>
      <c r="BJ35" s="64">
        <f t="shared" si="67"/>
        <v>0.16666666666666674</v>
      </c>
      <c r="BK35" s="64">
        <f t="shared" si="67"/>
        <v>8.5409252669039093E-2</v>
      </c>
      <c r="BL35" s="64">
        <f t="shared" si="67"/>
        <v>8.8135593220338926E-2</v>
      </c>
      <c r="BM35" s="64">
        <f t="shared" si="67"/>
        <v>0.13380281690140849</v>
      </c>
      <c r="BN35" s="64">
        <f t="shared" si="67"/>
        <v>9.9667774086378724E-2</v>
      </c>
      <c r="BO35" s="64">
        <f t="shared" si="67"/>
        <v>0.11147540983606552</v>
      </c>
      <c r="BP35" s="64">
        <f t="shared" si="67"/>
        <v>0.14641744548286595</v>
      </c>
      <c r="BQ35" s="64">
        <f t="shared" si="67"/>
        <v>0.13664596273291929</v>
      </c>
      <c r="BR35" s="64">
        <f t="shared" si="67"/>
        <v>0.13293051359516617</v>
      </c>
      <c r="BS35" s="64">
        <f t="shared" si="67"/>
        <v>0.14749262536873164</v>
      </c>
      <c r="BT35" s="64">
        <f t="shared" si="67"/>
        <v>5.7065217391304435E-2</v>
      </c>
      <c r="BU35" s="34"/>
      <c r="BV35" s="34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64">
        <f t="shared" si="52"/>
        <v>0.2013513513513514</v>
      </c>
      <c r="CN35" s="64">
        <f t="shared" si="53"/>
        <v>0.16422947131608545</v>
      </c>
      <c r="CO35" s="64">
        <f t="shared" si="54"/>
        <v>0.12173913043478257</v>
      </c>
      <c r="CP35" s="64">
        <f t="shared" si="55"/>
        <v>0.10163652024117131</v>
      </c>
      <c r="CQ35" s="95">
        <v>0.13200000000000001</v>
      </c>
      <c r="CR35" s="71">
        <v>0.125</v>
      </c>
      <c r="CS35" s="71">
        <v>0.1</v>
      </c>
      <c r="CT35" s="71">
        <v>0.08</v>
      </c>
      <c r="CU35" s="71">
        <v>0.06</v>
      </c>
      <c r="CV35" s="71">
        <v>0.05</v>
      </c>
      <c r="CW35" s="71">
        <v>0.04</v>
      </c>
      <c r="CX35" s="71">
        <v>0.03</v>
      </c>
      <c r="CY35" s="71">
        <v>0.02</v>
      </c>
      <c r="CZ35" s="71">
        <v>1.4999999999999999E-2</v>
      </c>
      <c r="DA35" s="34"/>
      <c r="DB35" s="34"/>
      <c r="DC35" s="34"/>
      <c r="DD35" s="34"/>
      <c r="DE35" s="34"/>
      <c r="DF35" s="34"/>
      <c r="DG35" s="34"/>
      <c r="DH35" s="34"/>
      <c r="DI35" s="34"/>
      <c r="DJ35" s="34"/>
      <c r="DK35" s="34"/>
      <c r="DL35" s="34"/>
      <c r="DM35" s="34"/>
      <c r="DN35" s="34"/>
      <c r="DO35" s="34"/>
      <c r="DP35" s="34"/>
      <c r="DQ35" s="34"/>
      <c r="DR35" s="34"/>
      <c r="DS35" s="34"/>
      <c r="DT35" s="34"/>
      <c r="DU35" s="34"/>
      <c r="DV35" s="34"/>
      <c r="DW35" s="34"/>
      <c r="DX35" s="34"/>
      <c r="DY35" s="34"/>
      <c r="DZ35" s="34"/>
      <c r="EA35" s="34"/>
      <c r="EB35" s="34"/>
      <c r="EC35" s="34"/>
      <c r="ED35" s="34"/>
      <c r="EE35" s="34"/>
      <c r="EF35" s="34"/>
      <c r="EG35" s="34"/>
      <c r="EH35" s="34"/>
      <c r="EI35" s="34"/>
      <c r="EJ35" s="34"/>
      <c r="EK35" s="34"/>
      <c r="EL35" s="34"/>
      <c r="EM35" s="34"/>
      <c r="EN35" s="34"/>
      <c r="EO35" s="34"/>
      <c r="EP35" s="34"/>
      <c r="EQ35" s="34"/>
      <c r="ER35" s="34"/>
      <c r="ES35" s="34"/>
      <c r="ET35" s="34"/>
      <c r="EU35" s="34"/>
      <c r="EV35" s="34"/>
      <c r="EW35" s="34"/>
      <c r="EX35" s="34"/>
      <c r="EY35" s="34"/>
      <c r="EZ35" s="34"/>
    </row>
    <row r="36" spans="2:156" s="2" customFormat="1" ht="15">
      <c r="B36" s="36" t="s">
        <v>2260</v>
      </c>
      <c r="AU36" s="64"/>
      <c r="AV36" s="64"/>
      <c r="AW36" s="64"/>
      <c r="AX36" s="64"/>
      <c r="AY36" s="64">
        <f t="shared" ref="AY36:BT36" si="68">AY16/AU16-1</f>
        <v>1.6000000000000014E-2</v>
      </c>
      <c r="AZ36" s="64">
        <f t="shared" si="68"/>
        <v>0.44906444906444909</v>
      </c>
      <c r="BA36" s="64">
        <f t="shared" si="68"/>
        <v>2.2222222222222143E-2</v>
      </c>
      <c r="BB36" s="64">
        <f t="shared" si="68"/>
        <v>0.12437810945273631</v>
      </c>
      <c r="BC36" s="64">
        <f t="shared" si="68"/>
        <v>-2.5196850393700787E-2</v>
      </c>
      <c r="BD36" s="64">
        <f t="shared" si="68"/>
        <v>-6.31276901004304E-2</v>
      </c>
      <c r="BE36" s="64">
        <f t="shared" si="68"/>
        <v>-5.9006211180124168E-2</v>
      </c>
      <c r="BF36" s="64">
        <f t="shared" si="68"/>
        <v>-0.10766961651917406</v>
      </c>
      <c r="BG36" s="64">
        <f t="shared" si="68"/>
        <v>-3.231017770597755E-3</v>
      </c>
      <c r="BH36" s="64">
        <f t="shared" si="68"/>
        <v>9.4946401225114885E-2</v>
      </c>
      <c r="BI36" s="64">
        <f t="shared" si="68"/>
        <v>0.10891089108910901</v>
      </c>
      <c r="BJ36" s="64">
        <f t="shared" si="68"/>
        <v>0.11900826446280988</v>
      </c>
      <c r="BK36" s="64">
        <f t="shared" si="68"/>
        <v>0.11669367909238249</v>
      </c>
      <c r="BL36" s="64">
        <f t="shared" si="68"/>
        <v>1.2587412587412583E-2</v>
      </c>
      <c r="BM36" s="64">
        <f t="shared" si="68"/>
        <v>4.0178571428571397E-2</v>
      </c>
      <c r="BN36" s="64">
        <f t="shared" si="68"/>
        <v>7.0901033973412186E-2</v>
      </c>
      <c r="BO36" s="64">
        <f t="shared" si="68"/>
        <v>3.0478955007256836E-2</v>
      </c>
      <c r="BP36" s="64">
        <f t="shared" si="68"/>
        <v>4.5580110497237536E-2</v>
      </c>
      <c r="BQ36" s="64">
        <f t="shared" si="68"/>
        <v>6.5808297567954144E-2</v>
      </c>
      <c r="BR36" s="64">
        <f t="shared" si="68"/>
        <v>8.0000000000000071E-2</v>
      </c>
      <c r="BS36" s="64">
        <f t="shared" si="68"/>
        <v>9.4366197183098688E-2</v>
      </c>
      <c r="BT36" s="64">
        <f t="shared" si="68"/>
        <v>2.6420079260237816E-2</v>
      </c>
      <c r="BU36" s="34"/>
      <c r="BV36" s="34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64">
        <f t="shared" si="52"/>
        <v>0.1346729371526294</v>
      </c>
      <c r="CN36" s="64">
        <f t="shared" si="53"/>
        <v>-6.4431047475508652E-2</v>
      </c>
      <c r="CO36" s="64">
        <f t="shared" si="54"/>
        <v>7.9742247281514356E-2</v>
      </c>
      <c r="CP36" s="64">
        <f t="shared" si="55"/>
        <v>5.8187243565833713E-2</v>
      </c>
      <c r="CQ36" s="95">
        <v>4.7500000000000001E-2</v>
      </c>
      <c r="CR36" s="71">
        <v>0.09</v>
      </c>
      <c r="CS36" s="71">
        <v>0.08</v>
      </c>
      <c r="CT36" s="71">
        <v>7.0000000000000007E-2</v>
      </c>
      <c r="CU36" s="71">
        <v>0.06</v>
      </c>
      <c r="CV36" s="71">
        <v>0.05</v>
      </c>
      <c r="CW36" s="71">
        <v>0.04</v>
      </c>
      <c r="CX36" s="71">
        <v>0.03</v>
      </c>
      <c r="CY36" s="71">
        <v>0.02</v>
      </c>
      <c r="CZ36" s="71">
        <v>0.01</v>
      </c>
      <c r="DA36" s="34"/>
      <c r="DB36" s="34"/>
      <c r="DC36" s="34"/>
      <c r="DD36" s="34"/>
      <c r="DE36" s="34"/>
      <c r="DF36" s="34"/>
      <c r="DG36" s="34"/>
      <c r="DH36" s="34"/>
      <c r="DI36" s="34"/>
      <c r="DJ36" s="34"/>
      <c r="DK36" s="34"/>
      <c r="DL36" s="34"/>
      <c r="DM36" s="34"/>
      <c r="DN36" s="34"/>
      <c r="DO36" s="34"/>
      <c r="DP36" s="34"/>
      <c r="DQ36" s="34"/>
      <c r="DR36" s="34"/>
      <c r="DS36" s="34"/>
      <c r="DT36" s="34"/>
      <c r="DU36" s="34"/>
      <c r="DV36" s="34"/>
      <c r="DW36" s="34"/>
      <c r="DX36" s="34"/>
      <c r="DY36" s="34"/>
      <c r="DZ36" s="34"/>
      <c r="EA36" s="34"/>
      <c r="EB36" s="34"/>
      <c r="EC36" s="34"/>
      <c r="ED36" s="34"/>
      <c r="EE36" s="34"/>
      <c r="EF36" s="34"/>
      <c r="EG36" s="34"/>
      <c r="EH36" s="34"/>
      <c r="EI36" s="34"/>
      <c r="EJ36" s="34"/>
      <c r="EK36" s="34"/>
      <c r="EL36" s="34"/>
      <c r="EM36" s="34"/>
      <c r="EN36" s="34"/>
      <c r="EO36" s="34"/>
      <c r="EP36" s="34"/>
      <c r="EQ36" s="34"/>
      <c r="ER36" s="34"/>
      <c r="ES36" s="34"/>
      <c r="ET36" s="34"/>
      <c r="EU36" s="34"/>
      <c r="EV36" s="34"/>
      <c r="EW36" s="34"/>
      <c r="EX36" s="34"/>
      <c r="EY36" s="34"/>
      <c r="EZ36" s="34"/>
    </row>
    <row r="37" spans="2:156" s="2" customFormat="1" ht="15">
      <c r="B37" s="36" t="s">
        <v>1440</v>
      </c>
      <c r="AU37" s="64"/>
      <c r="AV37" s="64"/>
      <c r="AW37" s="64"/>
      <c r="AX37" s="64"/>
      <c r="AY37" s="64">
        <f t="shared" ref="AY37:BT37" si="69">AY17/AU17-1</f>
        <v>0.18553459119496862</v>
      </c>
      <c r="AZ37" s="64">
        <f t="shared" si="69"/>
        <v>0.89237668161434969</v>
      </c>
      <c r="BA37" s="64">
        <f t="shared" si="69"/>
        <v>0.11048158640226635</v>
      </c>
      <c r="BB37" s="64">
        <f t="shared" si="69"/>
        <v>0.18696883852691215</v>
      </c>
      <c r="BC37" s="64">
        <f t="shared" si="69"/>
        <v>9.0185676392573022E-2</v>
      </c>
      <c r="BD37" s="64">
        <f t="shared" si="69"/>
        <v>4.2654028436019065E-2</v>
      </c>
      <c r="BE37" s="64">
        <f t="shared" si="69"/>
        <v>7.1428571428571397E-2</v>
      </c>
      <c r="BF37" s="64">
        <f t="shared" si="69"/>
        <v>5.2505966587112152E-2</v>
      </c>
      <c r="BG37" s="64">
        <f t="shared" si="69"/>
        <v>0.12165450121654509</v>
      </c>
      <c r="BH37" s="64">
        <f t="shared" si="69"/>
        <v>0.13181818181818183</v>
      </c>
      <c r="BI37" s="64">
        <f t="shared" si="69"/>
        <v>0.15952380952380962</v>
      </c>
      <c r="BJ37" s="64">
        <f t="shared" si="69"/>
        <v>0.12925170068027203</v>
      </c>
      <c r="BK37" s="64">
        <f t="shared" si="69"/>
        <v>0.11713665943600859</v>
      </c>
      <c r="BL37" s="64">
        <f t="shared" si="69"/>
        <v>0.1325301204819278</v>
      </c>
      <c r="BM37" s="64">
        <f t="shared" si="69"/>
        <v>0.14579055441478439</v>
      </c>
      <c r="BN37" s="64">
        <f t="shared" si="69"/>
        <v>0.22289156626506035</v>
      </c>
      <c r="BO37" s="64">
        <f t="shared" si="69"/>
        <v>0.12038834951456301</v>
      </c>
      <c r="BP37" s="64">
        <f t="shared" si="69"/>
        <v>0.12765957446808507</v>
      </c>
      <c r="BQ37" s="64">
        <f t="shared" si="69"/>
        <v>0.13799283154121866</v>
      </c>
      <c r="BR37" s="64">
        <f t="shared" si="69"/>
        <v>0.10837438423645329</v>
      </c>
      <c r="BS37" s="64">
        <f t="shared" si="69"/>
        <v>1.7331022530329143E-3</v>
      </c>
      <c r="BT37" s="64">
        <f t="shared" si="69"/>
        <v>-9.1194968553459099E-2</v>
      </c>
      <c r="BU37" s="34"/>
      <c r="BV37" s="34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64">
        <f t="shared" si="52"/>
        <v>0.29109863672814762</v>
      </c>
      <c r="CN37" s="64">
        <f t="shared" si="53"/>
        <v>6.3354037267080665E-2</v>
      </c>
      <c r="CO37" s="64">
        <f t="shared" si="54"/>
        <v>0.13551401869158886</v>
      </c>
      <c r="CP37" s="64">
        <f t="shared" si="55"/>
        <v>0.15534979423868323</v>
      </c>
      <c r="CQ37" s="95">
        <v>0.13</v>
      </c>
      <c r="CR37" s="71">
        <v>-0.04</v>
      </c>
      <c r="CS37" s="71">
        <v>-0.01</v>
      </c>
      <c r="CT37" s="71">
        <v>7.0000000000000007E-2</v>
      </c>
      <c r="CU37" s="71">
        <v>0.09</v>
      </c>
      <c r="CV37" s="71">
        <v>0.105</v>
      </c>
      <c r="CW37" s="71">
        <v>0.09</v>
      </c>
      <c r="CX37" s="71">
        <v>7.4999999999999997E-2</v>
      </c>
      <c r="CY37" s="71">
        <v>0.06</v>
      </c>
      <c r="CZ37" s="71">
        <v>4.4999999999999998E-2</v>
      </c>
      <c r="DA37" s="34"/>
      <c r="DB37" s="34"/>
      <c r="DC37" s="34"/>
      <c r="DD37" s="34"/>
      <c r="DE37" s="34"/>
      <c r="DF37" s="34"/>
      <c r="DG37" s="34"/>
      <c r="DH37" s="34"/>
      <c r="DI37" s="34"/>
      <c r="DJ37" s="34"/>
      <c r="DK37" s="34"/>
      <c r="DL37" s="34"/>
      <c r="DM37" s="34"/>
      <c r="DN37" s="34"/>
      <c r="DO37" s="34"/>
      <c r="DP37" s="34"/>
      <c r="DQ37" s="34"/>
      <c r="DR37" s="34"/>
      <c r="DS37" s="34"/>
      <c r="DT37" s="34"/>
      <c r="DU37" s="34"/>
      <c r="DV37" s="34"/>
      <c r="DW37" s="34"/>
      <c r="DX37" s="34"/>
      <c r="DY37" s="34"/>
      <c r="DZ37" s="34"/>
      <c r="EA37" s="34"/>
      <c r="EB37" s="34"/>
      <c r="EC37" s="34"/>
      <c r="ED37" s="34"/>
      <c r="EE37" s="34"/>
      <c r="EF37" s="34"/>
      <c r="EG37" s="34"/>
      <c r="EH37" s="34"/>
      <c r="EI37" s="34"/>
      <c r="EJ37" s="34"/>
      <c r="EK37" s="34"/>
      <c r="EL37" s="34"/>
      <c r="EM37" s="34"/>
      <c r="EN37" s="34"/>
      <c r="EO37" s="34"/>
      <c r="EP37" s="34"/>
      <c r="EQ37" s="34"/>
      <c r="ER37" s="34"/>
      <c r="ES37" s="34"/>
      <c r="ET37" s="34"/>
      <c r="EU37" s="34"/>
      <c r="EV37" s="34"/>
      <c r="EW37" s="34"/>
      <c r="EX37" s="34"/>
      <c r="EY37" s="34"/>
      <c r="EZ37" s="34"/>
    </row>
    <row r="38" spans="2:156" s="2" customFormat="1" ht="15">
      <c r="B38" s="36" t="s">
        <v>1441</v>
      </c>
      <c r="AU38" s="64"/>
      <c r="AV38" s="64"/>
      <c r="AW38" s="64"/>
      <c r="AX38" s="64"/>
      <c r="AY38" s="64">
        <f t="shared" ref="AY38:BT38" si="70">AY18/AU18-1</f>
        <v>3.9548022598870025E-2</v>
      </c>
      <c r="AZ38" s="64">
        <f t="shared" si="70"/>
        <v>0.98113207547169812</v>
      </c>
      <c r="BA38" s="64">
        <f t="shared" si="70"/>
        <v>-7.7669902912621325E-2</v>
      </c>
      <c r="BB38" s="64">
        <f t="shared" si="70"/>
        <v>-7.5117370892018753E-2</v>
      </c>
      <c r="BC38" s="64">
        <f t="shared" si="70"/>
        <v>-2.7173913043478271E-2</v>
      </c>
      <c r="BD38" s="64">
        <f t="shared" si="70"/>
        <v>-6.1904761904761907E-2</v>
      </c>
      <c r="BE38" s="64">
        <f t="shared" si="70"/>
        <v>1.0526315789473717E-2</v>
      </c>
      <c r="BF38" s="64">
        <f t="shared" si="70"/>
        <v>2.5380710659898442E-2</v>
      </c>
      <c r="BG38" s="64">
        <f t="shared" si="70"/>
        <v>9.4972067039106101E-2</v>
      </c>
      <c r="BH38" s="64">
        <f t="shared" si="70"/>
        <v>0.15228426395939088</v>
      </c>
      <c r="BI38" s="64">
        <f t="shared" si="70"/>
        <v>0.18229166666666674</v>
      </c>
      <c r="BJ38" s="64">
        <f t="shared" si="70"/>
        <v>0.18811881188118806</v>
      </c>
      <c r="BK38" s="64">
        <f t="shared" si="70"/>
        <v>0.15306122448979598</v>
      </c>
      <c r="BL38" s="64">
        <f t="shared" si="70"/>
        <v>7.0484581497797461E-2</v>
      </c>
      <c r="BM38" s="64">
        <f t="shared" si="70"/>
        <v>3.9647577092511099E-2</v>
      </c>
      <c r="BN38" s="64">
        <f t="shared" si="70"/>
        <v>7.0833333333333304E-2</v>
      </c>
      <c r="BO38" s="64">
        <f t="shared" si="70"/>
        <v>8.8495575221239076E-3</v>
      </c>
      <c r="BP38" s="64">
        <f t="shared" si="70"/>
        <v>4.5267489711934061E-2</v>
      </c>
      <c r="BQ38" s="64">
        <f t="shared" si="70"/>
        <v>7.6271186440677985E-2</v>
      </c>
      <c r="BR38" s="64">
        <f t="shared" si="70"/>
        <v>6.6147859922178975E-2</v>
      </c>
      <c r="BS38" s="64">
        <f t="shared" si="70"/>
        <v>6.578947368421062E-2</v>
      </c>
      <c r="BT38" s="64">
        <f t="shared" si="70"/>
        <v>-4.3307086614173262E-2</v>
      </c>
      <c r="BU38" s="34"/>
      <c r="BV38" s="34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64">
        <f t="shared" si="52"/>
        <v>0.11253561253561251</v>
      </c>
      <c r="CN38" s="64">
        <f t="shared" si="53"/>
        <v>-1.4084507042253502E-2</v>
      </c>
      <c r="CO38" s="64">
        <f t="shared" si="54"/>
        <v>0.1558441558441559</v>
      </c>
      <c r="CP38" s="64">
        <f t="shared" si="55"/>
        <v>8.0898876404494446E-2</v>
      </c>
      <c r="CQ38" s="95">
        <v>0.04</v>
      </c>
      <c r="CR38" s="71">
        <v>0.03</v>
      </c>
      <c r="CS38" s="71">
        <v>4.4999999999999998E-2</v>
      </c>
      <c r="CT38" s="71">
        <v>0.06</v>
      </c>
      <c r="CU38" s="71">
        <v>6.5000000000000002E-2</v>
      </c>
      <c r="CV38" s="71">
        <v>0.06</v>
      </c>
      <c r="CW38" s="71">
        <v>5.5E-2</v>
      </c>
      <c r="CX38" s="71">
        <v>4.4999999999999998E-2</v>
      </c>
      <c r="CY38" s="71">
        <v>3.5000000000000003E-2</v>
      </c>
      <c r="CZ38" s="71">
        <v>2.5000000000000001E-2</v>
      </c>
      <c r="DA38" s="34"/>
      <c r="DB38" s="34"/>
      <c r="DC38" s="34"/>
      <c r="DD38" s="34"/>
      <c r="DE38" s="34"/>
      <c r="DF38" s="34"/>
      <c r="DG38" s="34"/>
      <c r="DH38" s="34"/>
      <c r="DI38" s="34"/>
      <c r="DJ38" s="34"/>
      <c r="DK38" s="34"/>
      <c r="DL38" s="34"/>
      <c r="DM38" s="34"/>
      <c r="DN38" s="34"/>
      <c r="DO38" s="34"/>
      <c r="DP38" s="34"/>
      <c r="DQ38" s="34"/>
      <c r="DR38" s="34"/>
      <c r="DS38" s="34"/>
      <c r="DT38" s="34"/>
      <c r="DU38" s="34"/>
      <c r="DV38" s="34"/>
      <c r="DW38" s="34"/>
      <c r="DX38" s="34"/>
      <c r="DY38" s="34"/>
      <c r="DZ38" s="34"/>
      <c r="EA38" s="34"/>
      <c r="EB38" s="34"/>
      <c r="EC38" s="34"/>
      <c r="ED38" s="34"/>
      <c r="EE38" s="34"/>
      <c r="EF38" s="34"/>
      <c r="EG38" s="34"/>
      <c r="EH38" s="34"/>
      <c r="EI38" s="34"/>
      <c r="EJ38" s="34"/>
      <c r="EK38" s="34"/>
      <c r="EL38" s="34"/>
      <c r="EM38" s="34"/>
      <c r="EN38" s="34"/>
      <c r="EO38" s="34"/>
      <c r="EP38" s="34"/>
      <c r="EQ38" s="34"/>
      <c r="ER38" s="34"/>
      <c r="ES38" s="34"/>
      <c r="ET38" s="34"/>
      <c r="EU38" s="34"/>
      <c r="EV38" s="34"/>
      <c r="EW38" s="34"/>
      <c r="EX38" s="34"/>
      <c r="EY38" s="34"/>
      <c r="EZ38" s="34"/>
    </row>
    <row r="39" spans="2:156" s="2" customFormat="1" ht="15">
      <c r="B39" s="36" t="s">
        <v>1442</v>
      </c>
      <c r="AU39" s="64"/>
      <c r="AV39" s="64"/>
      <c r="AW39" s="64"/>
      <c r="AX39" s="64"/>
      <c r="AY39" s="64">
        <f t="shared" ref="AY39:BT39" si="71">AY19/AU19-1</f>
        <v>0.30319148936170204</v>
      </c>
      <c r="AZ39" s="64">
        <f t="shared" si="71"/>
        <v>0.3986754966887418</v>
      </c>
      <c r="BA39" s="64">
        <f t="shared" si="71"/>
        <v>0.32977461447212342</v>
      </c>
      <c r="BB39" s="64">
        <f t="shared" si="71"/>
        <v>0.27699018538713194</v>
      </c>
      <c r="BC39" s="64">
        <f t="shared" si="71"/>
        <v>0.1489795918367347</v>
      </c>
      <c r="BD39" s="64">
        <f t="shared" si="71"/>
        <v>0.1287878787878789</v>
      </c>
      <c r="BE39" s="64">
        <f t="shared" si="71"/>
        <v>4.1034790365744866E-2</v>
      </c>
      <c r="BF39" s="64">
        <f t="shared" si="71"/>
        <v>8.5397096498718961E-2</v>
      </c>
      <c r="BG39" s="64">
        <f t="shared" si="71"/>
        <v>0.1660746003552398</v>
      </c>
      <c r="BH39" s="64">
        <f t="shared" si="71"/>
        <v>0.19463087248322153</v>
      </c>
      <c r="BI39" s="64">
        <f t="shared" si="71"/>
        <v>0.26135389888603267</v>
      </c>
      <c r="BJ39" s="64">
        <f t="shared" si="71"/>
        <v>0.22108575924468932</v>
      </c>
      <c r="BK39" s="64">
        <f t="shared" si="71"/>
        <v>0.19497334348819506</v>
      </c>
      <c r="BL39" s="64">
        <f t="shared" si="71"/>
        <v>0.15730337078651679</v>
      </c>
      <c r="BM39" s="64">
        <f t="shared" si="71"/>
        <v>0.171875</v>
      </c>
      <c r="BN39" s="64">
        <f t="shared" si="71"/>
        <v>0.20038659793814428</v>
      </c>
      <c r="BO39" s="64">
        <f t="shared" si="71"/>
        <v>0.1644359464627152</v>
      </c>
      <c r="BP39" s="64">
        <f t="shared" si="71"/>
        <v>0.2020631067961165</v>
      </c>
      <c r="BQ39" s="64">
        <f t="shared" si="71"/>
        <v>0.19246376811594201</v>
      </c>
      <c r="BR39" s="64">
        <f t="shared" si="71"/>
        <v>0.14492753623188404</v>
      </c>
      <c r="BS39" s="64">
        <f t="shared" si="71"/>
        <v>0.13847837985769029</v>
      </c>
      <c r="BT39" s="64">
        <f t="shared" si="71"/>
        <v>4.9974760222110115E-2</v>
      </c>
      <c r="BU39" s="34"/>
      <c r="BV39" s="34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64">
        <f t="shared" si="52"/>
        <v>0.32476277930823394</v>
      </c>
      <c r="CN39" s="64">
        <f t="shared" si="53"/>
        <v>9.889094269870613E-2</v>
      </c>
      <c r="CO39" s="64">
        <f t="shared" si="54"/>
        <v>0.21131202691337259</v>
      </c>
      <c r="CP39" s="64">
        <f t="shared" si="55"/>
        <v>0.18121853844818614</v>
      </c>
      <c r="CQ39" s="95">
        <v>0.19500000000000001</v>
      </c>
      <c r="CR39" s="71">
        <v>0.14000000000000001</v>
      </c>
      <c r="CS39" s="71">
        <v>0.17499999999999999</v>
      </c>
      <c r="CT39" s="71">
        <v>0.18</v>
      </c>
      <c r="CU39" s="71">
        <v>0.15</v>
      </c>
      <c r="CV39" s="71">
        <v>0.13</v>
      </c>
      <c r="CW39" s="71">
        <v>0.11</v>
      </c>
      <c r="CX39" s="71">
        <v>0.09</v>
      </c>
      <c r="CY39" s="71">
        <v>7.0000000000000007E-2</v>
      </c>
      <c r="CZ39" s="71">
        <v>0.06</v>
      </c>
      <c r="DA39" s="34"/>
      <c r="DB39" s="34"/>
      <c r="DC39" s="34"/>
      <c r="DD39" s="34"/>
      <c r="DE39" s="34"/>
      <c r="DF39" s="34"/>
      <c r="DG39" s="34"/>
      <c r="DH39" s="34"/>
      <c r="DI39" s="34"/>
      <c r="DJ39" s="34"/>
      <c r="DK39" s="34"/>
      <c r="DL39" s="34"/>
      <c r="DM39" s="34"/>
      <c r="DN39" s="34"/>
      <c r="DO39" s="34"/>
      <c r="DP39" s="34"/>
      <c r="DQ39" s="34"/>
      <c r="DR39" s="34"/>
      <c r="DS39" s="34"/>
      <c r="DT39" s="34"/>
      <c r="DU39" s="34"/>
      <c r="DV39" s="34"/>
      <c r="DW39" s="34"/>
      <c r="DX39" s="34"/>
      <c r="DY39" s="34"/>
      <c r="DZ39" s="34"/>
      <c r="EA39" s="34"/>
      <c r="EB39" s="34"/>
      <c r="EC39" s="34"/>
      <c r="ED39" s="34"/>
      <c r="EE39" s="34"/>
      <c r="EF39" s="34"/>
      <c r="EG39" s="34"/>
      <c r="EH39" s="34"/>
      <c r="EI39" s="34"/>
      <c r="EJ39" s="34"/>
      <c r="EK39" s="34"/>
      <c r="EL39" s="34"/>
      <c r="EM39" s="34"/>
      <c r="EN39" s="34"/>
      <c r="EO39" s="34"/>
      <c r="EP39" s="34"/>
      <c r="EQ39" s="34"/>
      <c r="ER39" s="34"/>
      <c r="ES39" s="34"/>
      <c r="ET39" s="34"/>
      <c r="EU39" s="34"/>
      <c r="EV39" s="34"/>
      <c r="EW39" s="34"/>
      <c r="EX39" s="34"/>
      <c r="EY39" s="34"/>
      <c r="EZ39" s="34"/>
    </row>
    <row r="40" spans="2:156" s="2" customFormat="1" ht="15">
      <c r="B40" s="33" t="s">
        <v>1443</v>
      </c>
      <c r="AU40" s="65"/>
      <c r="AV40" s="65"/>
      <c r="AW40" s="65"/>
      <c r="AX40" s="65"/>
      <c r="AY40" s="65">
        <f t="shared" ref="AY40:BT40" si="72">AY20/AU20-1</f>
        <v>0.13040517534899565</v>
      </c>
      <c r="AZ40" s="65">
        <f t="shared" si="72"/>
        <v>0.51300041271151464</v>
      </c>
      <c r="BA40" s="65">
        <f t="shared" si="72"/>
        <v>0.14574132492113567</v>
      </c>
      <c r="BB40" s="65">
        <f t="shared" si="72"/>
        <v>0.15105925698495537</v>
      </c>
      <c r="BC40" s="65">
        <f t="shared" si="72"/>
        <v>8.253012048192776E-2</v>
      </c>
      <c r="BD40" s="65">
        <f t="shared" si="72"/>
        <v>3.2460447354064392E-2</v>
      </c>
      <c r="BE40" s="65">
        <f t="shared" si="72"/>
        <v>3.5792951541850915E-3</v>
      </c>
      <c r="BF40" s="65">
        <f t="shared" si="72"/>
        <v>7.7353961056281229E-3</v>
      </c>
      <c r="BG40" s="65">
        <f t="shared" si="72"/>
        <v>8.5141903171953359E-2</v>
      </c>
      <c r="BH40" s="65">
        <f t="shared" si="72"/>
        <v>0.13474240422721273</v>
      </c>
      <c r="BI40" s="65">
        <f t="shared" si="72"/>
        <v>0.1657064471879286</v>
      </c>
      <c r="BJ40" s="65">
        <f t="shared" si="72"/>
        <v>0.17601905770248805</v>
      </c>
      <c r="BK40" s="65">
        <f t="shared" si="72"/>
        <v>0.14179487179487182</v>
      </c>
      <c r="BL40" s="65">
        <f t="shared" si="72"/>
        <v>0.10221187427240985</v>
      </c>
      <c r="BM40" s="65">
        <f t="shared" si="72"/>
        <v>0.1172040480112968</v>
      </c>
      <c r="BN40" s="65">
        <f t="shared" si="72"/>
        <v>0.13706954760297108</v>
      </c>
      <c r="BO40" s="65">
        <f t="shared" si="72"/>
        <v>9.9258926566359706E-2</v>
      </c>
      <c r="BP40" s="65">
        <f t="shared" si="72"/>
        <v>0.13413603717786238</v>
      </c>
      <c r="BQ40" s="65">
        <f t="shared" si="72"/>
        <v>0.1476722140299136</v>
      </c>
      <c r="BR40" s="65">
        <f t="shared" si="72"/>
        <v>0.123317498020586</v>
      </c>
      <c r="BS40" s="65">
        <f t="shared" si="72"/>
        <v>0.13156281920326873</v>
      </c>
      <c r="BT40" s="65">
        <f t="shared" si="72"/>
        <v>3.1663252002235076E-2</v>
      </c>
      <c r="BU40" s="34"/>
      <c r="BV40" s="34"/>
      <c r="CM40" s="65">
        <f t="shared" si="52"/>
        <v>0.21888521252227022</v>
      </c>
      <c r="CN40" s="65">
        <f t="shared" si="53"/>
        <v>3.0277719774483236E-2</v>
      </c>
      <c r="CO40" s="65">
        <f t="shared" si="54"/>
        <v>0.14085934333198225</v>
      </c>
      <c r="CP40" s="65">
        <f t="shared" si="55"/>
        <v>0.12429679635222368</v>
      </c>
      <c r="CQ40" s="94">
        <f>CQ20/CP20-1</f>
        <v>0.12646160328663236</v>
      </c>
      <c r="CR40" s="70">
        <f t="shared" ref="CR40:CZ40" si="73">CR20/CQ20-1</f>
        <v>0.11496341235329899</v>
      </c>
      <c r="CS40" s="70">
        <f t="shared" si="73"/>
        <v>0.12478172552750277</v>
      </c>
      <c r="CT40" s="70">
        <f t="shared" si="73"/>
        <v>0.13245025608050986</v>
      </c>
      <c r="CU40" s="70">
        <f t="shared" si="73"/>
        <v>0.12002213398377326</v>
      </c>
      <c r="CV40" s="70">
        <f t="shared" si="73"/>
        <v>0.10867677641401907</v>
      </c>
      <c r="CW40" s="70">
        <f t="shared" si="73"/>
        <v>9.3714722299569342E-2</v>
      </c>
      <c r="CX40" s="70">
        <f t="shared" si="73"/>
        <v>7.7472229141127613E-2</v>
      </c>
      <c r="CY40" s="70">
        <f t="shared" si="73"/>
        <v>6.065934333962697E-2</v>
      </c>
      <c r="CZ40" s="70">
        <f t="shared" si="73"/>
        <v>4.9157879878646504E-2</v>
      </c>
      <c r="DA40" s="34"/>
      <c r="DB40" s="34"/>
      <c r="DC40" s="34"/>
      <c r="DD40" s="34"/>
      <c r="DE40" s="34"/>
      <c r="DF40" s="34"/>
      <c r="DG40" s="34"/>
      <c r="DH40" s="34"/>
      <c r="DI40" s="34"/>
      <c r="DJ40" s="34"/>
      <c r="DK40" s="34"/>
      <c r="DL40" s="34"/>
      <c r="DM40" s="34"/>
      <c r="DN40" s="34"/>
      <c r="DO40" s="34"/>
      <c r="DP40" s="34"/>
      <c r="DQ40" s="34"/>
      <c r="DR40" s="34"/>
      <c r="DS40" s="34"/>
      <c r="DT40" s="34"/>
      <c r="DU40" s="34"/>
      <c r="DV40" s="34"/>
      <c r="DW40" s="34"/>
      <c r="DX40" s="34"/>
      <c r="DY40" s="34"/>
      <c r="DZ40" s="34"/>
      <c r="EA40" s="34"/>
      <c r="EB40" s="34"/>
      <c r="EC40" s="34"/>
      <c r="ED40" s="34"/>
      <c r="EE40" s="34"/>
      <c r="EF40" s="34"/>
      <c r="EG40" s="34"/>
      <c r="EH40" s="34"/>
      <c r="EI40" s="34"/>
      <c r="EJ40" s="34"/>
      <c r="EK40" s="34"/>
      <c r="EL40" s="34"/>
      <c r="EM40" s="34"/>
      <c r="EN40" s="34"/>
      <c r="EO40" s="34"/>
      <c r="EP40" s="34"/>
      <c r="EQ40" s="34"/>
      <c r="ER40" s="34"/>
      <c r="ES40" s="34"/>
      <c r="ET40" s="34"/>
      <c r="EU40" s="34"/>
      <c r="EV40" s="34"/>
      <c r="EW40" s="34"/>
      <c r="EX40" s="34"/>
      <c r="EY40" s="34"/>
      <c r="EZ40" s="34"/>
    </row>
    <row r="41" spans="2:156" s="2" customFormat="1" ht="15">
      <c r="B41" s="33" t="s">
        <v>1444</v>
      </c>
      <c r="AU41" s="65"/>
      <c r="AV41" s="65"/>
      <c r="AW41" s="65"/>
      <c r="AX41" s="65"/>
      <c r="AY41" s="65">
        <f t="shared" ref="AY41:BT41" si="74">AY21/AU21-1</f>
        <v>6.6666666666666652E-2</v>
      </c>
      <c r="AZ41" s="65">
        <f t="shared" si="74"/>
        <v>0.46666666666666656</v>
      </c>
      <c r="BA41" s="65">
        <f t="shared" si="74"/>
        <v>-0.44999999999999996</v>
      </c>
      <c r="BB41" s="65">
        <f t="shared" si="74"/>
        <v>-0.8125</v>
      </c>
      <c r="BC41" s="65">
        <f t="shared" si="74"/>
        <v>-0.8125</v>
      </c>
      <c r="BD41" s="65">
        <f t="shared" si="74"/>
        <v>-0.90909090909090906</v>
      </c>
      <c r="BE41" s="65">
        <f t="shared" si="74"/>
        <v>-0.72727272727272729</v>
      </c>
      <c r="BF41" s="65">
        <f t="shared" si="74"/>
        <v>0</v>
      </c>
      <c r="BG41" s="65">
        <f t="shared" si="74"/>
        <v>0</v>
      </c>
      <c r="BH41" s="65">
        <f t="shared" si="74"/>
        <v>0.5</v>
      </c>
      <c r="BI41" s="65">
        <f t="shared" si="74"/>
        <v>0.33333333333333326</v>
      </c>
      <c r="BJ41" s="65">
        <f t="shared" si="74"/>
        <v>0.33333333333333326</v>
      </c>
      <c r="BK41" s="65">
        <f t="shared" si="74"/>
        <v>0</v>
      </c>
      <c r="BL41" s="65">
        <f t="shared" si="74"/>
        <v>0.33333333333333326</v>
      </c>
      <c r="BM41" s="65">
        <f t="shared" si="74"/>
        <v>0</v>
      </c>
      <c r="BN41" s="65">
        <f t="shared" si="74"/>
        <v>0.25</v>
      </c>
      <c r="BO41" s="65">
        <f t="shared" si="74"/>
        <v>0</v>
      </c>
      <c r="BP41" s="65">
        <f t="shared" si="74"/>
        <v>0.25</v>
      </c>
      <c r="BQ41" s="65">
        <f t="shared" si="74"/>
        <v>0</v>
      </c>
      <c r="BR41" s="65">
        <f t="shared" si="74"/>
        <v>0</v>
      </c>
      <c r="BS41" s="65">
        <f t="shared" si="74"/>
        <v>-0.33333333333333337</v>
      </c>
      <c r="BT41" s="65">
        <f t="shared" si="74"/>
        <v>-0.6</v>
      </c>
      <c r="BU41" s="34"/>
      <c r="BV41" s="34"/>
      <c r="CM41" s="65">
        <f t="shared" si="52"/>
        <v>-0.21212121212121215</v>
      </c>
      <c r="CN41" s="65">
        <f t="shared" si="53"/>
        <v>-0.78846153846153844</v>
      </c>
      <c r="CO41" s="65">
        <f t="shared" si="54"/>
        <v>0.27272727272727271</v>
      </c>
      <c r="CP41" s="65">
        <f t="shared" si="55"/>
        <v>0.14285714285714279</v>
      </c>
      <c r="CQ41" s="94">
        <v>0.15</v>
      </c>
      <c r="CR41" s="70">
        <v>-0.5</v>
      </c>
      <c r="CS41" s="70">
        <v>0.1</v>
      </c>
      <c r="CT41" s="70">
        <v>0.11</v>
      </c>
      <c r="CU41" s="70">
        <v>0.13</v>
      </c>
      <c r="CV41" s="70">
        <v>0.15</v>
      </c>
      <c r="CW41" s="70">
        <v>0.15</v>
      </c>
      <c r="CX41" s="70">
        <v>0.15</v>
      </c>
      <c r="CY41" s="70">
        <v>0.15</v>
      </c>
      <c r="CZ41" s="70">
        <v>0.15</v>
      </c>
      <c r="DA41" s="34"/>
      <c r="DB41" s="34"/>
      <c r="DC41" s="34"/>
      <c r="DD41" s="34"/>
      <c r="DE41" s="34"/>
      <c r="DF41" s="34"/>
      <c r="DG41" s="34"/>
      <c r="DH41" s="34"/>
      <c r="DI41" s="34"/>
      <c r="DJ41" s="34"/>
      <c r="DK41" s="34"/>
      <c r="DL41" s="34"/>
      <c r="DM41" s="34"/>
      <c r="DN41" s="34"/>
      <c r="DO41" s="34"/>
      <c r="DP41" s="34"/>
      <c r="DQ41" s="34"/>
      <c r="DR41" s="34"/>
      <c r="DS41" s="34"/>
      <c r="DT41" s="34"/>
      <c r="DU41" s="34"/>
      <c r="DV41" s="34"/>
      <c r="DW41" s="34"/>
      <c r="DX41" s="34"/>
      <c r="DY41" s="34"/>
      <c r="DZ41" s="34"/>
      <c r="EA41" s="34"/>
      <c r="EB41" s="34"/>
      <c r="EC41" s="34"/>
      <c r="ED41" s="34"/>
      <c r="EE41" s="34"/>
      <c r="EF41" s="34"/>
      <c r="EG41" s="34"/>
      <c r="EH41" s="34"/>
      <c r="EI41" s="34"/>
      <c r="EJ41" s="34"/>
      <c r="EK41" s="34"/>
      <c r="EL41" s="34"/>
      <c r="EM41" s="34"/>
      <c r="EN41" s="34"/>
      <c r="EO41" s="34"/>
      <c r="EP41" s="34"/>
      <c r="EQ41" s="34"/>
      <c r="ER41" s="34"/>
      <c r="ES41" s="34"/>
      <c r="ET41" s="34"/>
      <c r="EU41" s="34"/>
      <c r="EV41" s="34"/>
      <c r="EW41" s="34"/>
      <c r="EX41" s="34"/>
      <c r="EY41" s="34"/>
      <c r="EZ41" s="34"/>
    </row>
    <row r="42" spans="2:156" s="2" customFormat="1" ht="15">
      <c r="B42" s="33" t="s">
        <v>1445</v>
      </c>
      <c r="AU42" s="65"/>
      <c r="AV42" s="65"/>
      <c r="AW42" s="65"/>
      <c r="AX42" s="65"/>
      <c r="AY42" s="65">
        <f t="shared" ref="AY42:BT42" si="75">AY22/AU22-1</f>
        <v>0.35335231685218749</v>
      </c>
      <c r="AZ42" s="65">
        <f t="shared" si="75"/>
        <v>0.3950600436681222</v>
      </c>
      <c r="BA42" s="65">
        <f t="shared" si="75"/>
        <v>0.23438382469219476</v>
      </c>
      <c r="BB42" s="65">
        <f t="shared" si="75"/>
        <v>7.1675544341650355E-2</v>
      </c>
      <c r="BC42" s="65">
        <f t="shared" si="75"/>
        <v>0.13762433052792655</v>
      </c>
      <c r="BD42" s="65">
        <f t="shared" si="75"/>
        <v>0.10114447813753302</v>
      </c>
      <c r="BE42" s="65">
        <f t="shared" si="75"/>
        <v>-4.7401171303074641E-2</v>
      </c>
      <c r="BF42" s="65">
        <f t="shared" si="75"/>
        <v>-0.120073247296826</v>
      </c>
      <c r="BG42" s="65">
        <f t="shared" si="75"/>
        <v>-0.18058007566204293</v>
      </c>
      <c r="BH42" s="65">
        <f t="shared" si="75"/>
        <v>-0.11361819312427823</v>
      </c>
      <c r="BI42" s="65">
        <f t="shared" si="75"/>
        <v>-2.5648414985590784E-2</v>
      </c>
      <c r="BJ42" s="65">
        <f t="shared" si="75"/>
        <v>1.486473094836982E-2</v>
      </c>
      <c r="BK42" s="65">
        <f t="shared" si="75"/>
        <v>2.2263260490407388E-2</v>
      </c>
      <c r="BL42" s="65">
        <f t="shared" si="75"/>
        <v>3.9987973541791844E-2</v>
      </c>
      <c r="BM42" s="65">
        <f t="shared" si="75"/>
        <v>4.8506359065365379E-2</v>
      </c>
      <c r="BN42" s="65">
        <f t="shared" si="75"/>
        <v>7.1575041499853498E-2</v>
      </c>
      <c r="BO42" s="65">
        <f t="shared" si="75"/>
        <v>3.9542352468888042E-2</v>
      </c>
      <c r="BP42" s="65">
        <f t="shared" si="75"/>
        <v>7.3720728534258484E-2</v>
      </c>
      <c r="BQ42" s="65">
        <f t="shared" si="75"/>
        <v>6.9017395392571679E-2</v>
      </c>
      <c r="BR42" s="65">
        <f t="shared" si="75"/>
        <v>4.4195370876617401E-2</v>
      </c>
      <c r="BS42" s="65">
        <f t="shared" si="75"/>
        <v>7.781424985518437E-2</v>
      </c>
      <c r="BT42" s="65">
        <f t="shared" si="75"/>
        <v>1.9745108598097083E-3</v>
      </c>
      <c r="BU42" s="34"/>
      <c r="BV42" s="34"/>
      <c r="CM42" s="65">
        <f t="shared" si="52"/>
        <v>0.2446544151641239</v>
      </c>
      <c r="CN42" s="65">
        <f t="shared" si="53"/>
        <v>1.3418456181079508E-2</v>
      </c>
      <c r="CO42" s="65">
        <f t="shared" si="54"/>
        <v>-8.1185714612970417E-2</v>
      </c>
      <c r="CP42" s="65">
        <f t="shared" si="55"/>
        <v>4.5899922710613605E-2</v>
      </c>
      <c r="CQ42" s="94">
        <f>CQ22/CP22-1</f>
        <v>5.6686531585220523E-2</v>
      </c>
      <c r="CR42" s="70">
        <f t="shared" ref="CR42:CZ42" si="76">CR22/CQ22-1</f>
        <v>8.550565105576613E-2</v>
      </c>
      <c r="CS42" s="70">
        <f t="shared" si="76"/>
        <v>7.3418206042194623E-2</v>
      </c>
      <c r="CT42" s="70">
        <f t="shared" si="76"/>
        <v>9.2313907303438469E-2</v>
      </c>
      <c r="CU42" s="70">
        <f t="shared" si="76"/>
        <v>8.83570402984033E-2</v>
      </c>
      <c r="CV42" s="70">
        <f t="shared" si="76"/>
        <v>8.838700731607152E-2</v>
      </c>
      <c r="CW42" s="70">
        <f t="shared" si="76"/>
        <v>8.0473916988424543E-2</v>
      </c>
      <c r="CX42" s="70">
        <f t="shared" si="76"/>
        <v>7.2137150551845997E-2</v>
      </c>
      <c r="CY42" s="70">
        <f t="shared" si="76"/>
        <v>6.0010471060709003E-2</v>
      </c>
      <c r="CZ42" s="70">
        <f t="shared" si="76"/>
        <v>5.1931648427084642E-2</v>
      </c>
      <c r="DA42" s="34"/>
      <c r="DB42" s="34"/>
      <c r="DC42" s="34"/>
      <c r="DD42" s="34"/>
      <c r="DE42" s="34"/>
      <c r="DF42" s="34"/>
      <c r="DG42" s="34"/>
      <c r="DH42" s="34"/>
      <c r="DI42" s="34"/>
      <c r="DJ42" s="34"/>
      <c r="DK42" s="34"/>
      <c r="DL42" s="34"/>
      <c r="DM42" s="34"/>
      <c r="DN42" s="34"/>
      <c r="DO42" s="34"/>
      <c r="DP42" s="34"/>
      <c r="DQ42" s="34"/>
      <c r="DR42" s="34"/>
      <c r="DS42" s="34"/>
      <c r="DT42" s="34"/>
      <c r="DU42" s="34"/>
      <c r="DV42" s="34"/>
      <c r="DW42" s="34"/>
      <c r="DX42" s="34"/>
      <c r="DY42" s="34"/>
      <c r="DZ42" s="34"/>
      <c r="EA42" s="34"/>
      <c r="EB42" s="34"/>
      <c r="EC42" s="34"/>
      <c r="ED42" s="34"/>
      <c r="EE42" s="34"/>
      <c r="EF42" s="34"/>
      <c r="EG42" s="34"/>
      <c r="EH42" s="34"/>
      <c r="EI42" s="34"/>
      <c r="EJ42" s="34"/>
      <c r="EK42" s="34"/>
      <c r="EL42" s="34"/>
      <c r="EM42" s="34"/>
      <c r="EN42" s="34"/>
      <c r="EO42" s="34"/>
      <c r="EP42" s="34"/>
      <c r="EQ42" s="34"/>
      <c r="ER42" s="34"/>
      <c r="ES42" s="34"/>
      <c r="ET42" s="34"/>
      <c r="EU42" s="34"/>
      <c r="EV42" s="34"/>
      <c r="EW42" s="34"/>
      <c r="EX42" s="34"/>
      <c r="EY42" s="34"/>
      <c r="EZ42" s="34"/>
    </row>
    <row r="43" spans="2:156" ht="15">
      <c r="B43" s="33"/>
      <c r="CQ43" s="95"/>
      <c r="CR43" s="71"/>
      <c r="CS43" s="71"/>
      <c r="CT43" s="71"/>
      <c r="CU43" s="71"/>
      <c r="CV43" s="71"/>
      <c r="CW43" s="71"/>
      <c r="CX43" s="71"/>
      <c r="CY43" s="71"/>
      <c r="CZ43" s="71"/>
    </row>
    <row r="44" spans="2:156" s="2" customFormat="1" ht="15">
      <c r="B44" s="63" t="s">
        <v>1447</v>
      </c>
      <c r="AU44" s="65">
        <f t="shared" ref="AU44:BP44" si="77">AU4/AU22</f>
        <v>0.13512813875226509</v>
      </c>
      <c r="AV44" s="65">
        <f t="shared" si="77"/>
        <v>0.13823689956331878</v>
      </c>
      <c r="AW44" s="65">
        <f t="shared" si="77"/>
        <v>0.12413871004179375</v>
      </c>
      <c r="AX44" s="65">
        <f t="shared" si="77"/>
        <v>0.10718624427623587</v>
      </c>
      <c r="AY44" s="65">
        <f t="shared" si="77"/>
        <v>0.1023335883703137</v>
      </c>
      <c r="AZ44" s="65">
        <f t="shared" si="77"/>
        <v>0.11542600019563728</v>
      </c>
      <c r="BA44" s="65">
        <f t="shared" si="77"/>
        <v>0.11575768667642752</v>
      </c>
      <c r="BB44" s="65">
        <f t="shared" si="77"/>
        <v>0.10490059295430763</v>
      </c>
      <c r="BC44" s="65">
        <f t="shared" si="77"/>
        <v>9.6427070197561998E-2</v>
      </c>
      <c r="BD44" s="65">
        <f t="shared" si="77"/>
        <v>0.10864351070445057</v>
      </c>
      <c r="BE44" s="65">
        <f t="shared" si="77"/>
        <v>0.12737752161383284</v>
      </c>
      <c r="BF44" s="65">
        <f t="shared" si="77"/>
        <v>0.12050341888811812</v>
      </c>
      <c r="BG44" s="65">
        <f t="shared" si="77"/>
        <v>0.121986252180158</v>
      </c>
      <c r="BH44" s="65">
        <f t="shared" si="77"/>
        <v>0.12898376428141911</v>
      </c>
      <c r="BI44" s="65">
        <f t="shared" si="77"/>
        <v>0.13487133984028393</v>
      </c>
      <c r="BJ44" s="65">
        <f t="shared" si="77"/>
        <v>0.11932428473781857</v>
      </c>
      <c r="BK44" s="65">
        <f t="shared" si="77"/>
        <v>0.1230429546366921</v>
      </c>
      <c r="BL44" s="65">
        <f t="shared" si="77"/>
        <v>0.1246988532331117</v>
      </c>
      <c r="BM44" s="65">
        <f t="shared" si="77"/>
        <v>0.13220498354489893</v>
      </c>
      <c r="BN44" s="65">
        <f t="shared" si="77"/>
        <v>0.11554583561144523</v>
      </c>
      <c r="BO44" s="65">
        <f t="shared" si="77"/>
        <v>0.1216451052326704</v>
      </c>
      <c r="BP44" s="65">
        <f t="shared" si="77"/>
        <v>0.12412493268712978</v>
      </c>
      <c r="BQ44" s="65">
        <f>BQ4/BQ22</f>
        <v>0.13290526871316738</v>
      </c>
      <c r="BR44" s="65">
        <f t="shared" ref="BR44" si="78">BR4/BR22</f>
        <v>0.12060389213718474</v>
      </c>
      <c r="BS44" s="65">
        <f>BS4/BS22</f>
        <v>0.12773199570046578</v>
      </c>
      <c r="BT44" s="65">
        <f>BT4/BT22</f>
        <v>0.12773199570046578</v>
      </c>
      <c r="BU44" s="34"/>
      <c r="BV44" s="34"/>
      <c r="CL44" s="65">
        <f t="shared" ref="CL44:CO44" si="79">CL4/CL22</f>
        <v>0.12433541377716135</v>
      </c>
      <c r="CM44" s="65">
        <f t="shared" si="79"/>
        <v>0.10952988972721997</v>
      </c>
      <c r="CN44" s="65">
        <f t="shared" si="79"/>
        <v>0.11252376698050535</v>
      </c>
      <c r="CO44" s="65">
        <f t="shared" si="79"/>
        <v>0.12630581664962975</v>
      </c>
      <c r="CP44" s="65">
        <f>CP4/CP22</f>
        <v>0.12381406436233612</v>
      </c>
      <c r="CQ44" s="65">
        <f>CQ4/CQ22</f>
        <v>0.1248872044757264</v>
      </c>
      <c r="CR44" s="70"/>
      <c r="CS44" s="70"/>
      <c r="CT44" s="70"/>
      <c r="CU44" s="70"/>
      <c r="CV44" s="70"/>
      <c r="CW44" s="70"/>
      <c r="CX44" s="70"/>
      <c r="CY44" s="70"/>
      <c r="CZ44" s="70"/>
      <c r="DA44" s="34"/>
      <c r="DB44" s="34"/>
      <c r="DC44" s="34"/>
      <c r="DD44" s="34"/>
      <c r="DE44" s="34"/>
      <c r="DF44" s="34"/>
      <c r="DG44" s="34"/>
      <c r="DH44" s="34"/>
      <c r="DI44" s="34"/>
      <c r="DJ44" s="34"/>
      <c r="DK44" s="34"/>
      <c r="DL44" s="34"/>
      <c r="DM44" s="34"/>
      <c r="DN44" s="34"/>
      <c r="DO44" s="34"/>
      <c r="DP44" s="34"/>
      <c r="DQ44" s="34"/>
      <c r="DR44" s="34"/>
      <c r="DS44" s="34"/>
      <c r="DT44" s="34"/>
      <c r="DU44" s="34"/>
      <c r="DV44" s="34"/>
      <c r="DW44" s="34"/>
      <c r="DX44" s="34"/>
      <c r="DY44" s="34"/>
      <c r="DZ44" s="34"/>
      <c r="EA44" s="34"/>
      <c r="EB44" s="34"/>
      <c r="EC44" s="34"/>
      <c r="ED44" s="34"/>
      <c r="EE44" s="34"/>
      <c r="EF44" s="34"/>
      <c r="EG44" s="34"/>
      <c r="EH44" s="34"/>
      <c r="EI44" s="34"/>
      <c r="EJ44" s="34"/>
      <c r="EK44" s="34"/>
      <c r="EL44" s="34"/>
      <c r="EM44" s="34"/>
      <c r="EN44" s="34"/>
      <c r="EO44" s="34"/>
      <c r="EP44" s="34"/>
      <c r="EQ44" s="34"/>
      <c r="ER44" s="34"/>
      <c r="ES44" s="34"/>
      <c r="ET44" s="34"/>
      <c r="EU44" s="34"/>
      <c r="EV44" s="34"/>
      <c r="EW44" s="34"/>
      <c r="EX44" s="34"/>
      <c r="EY44" s="34"/>
      <c r="EZ44" s="34"/>
    </row>
    <row r="45" spans="2:156" s="2" customFormat="1" ht="15">
      <c r="B45" s="33" t="s">
        <v>1448</v>
      </c>
      <c r="AU45" s="65">
        <f t="shared" ref="AU45:BP45" si="80">AU7/AU22</f>
        <v>0.24644059021485892</v>
      </c>
      <c r="AV45" s="65">
        <f t="shared" si="80"/>
        <v>0.25695960698689957</v>
      </c>
      <c r="AW45" s="65">
        <f t="shared" si="80"/>
        <v>0.21732745961820851</v>
      </c>
      <c r="AX45" s="65">
        <f t="shared" si="80"/>
        <v>0.18091767124567798</v>
      </c>
      <c r="AY45" s="65">
        <f t="shared" si="80"/>
        <v>0.19472073450650346</v>
      </c>
      <c r="AZ45" s="65">
        <f t="shared" si="80"/>
        <v>0.20620170204440966</v>
      </c>
      <c r="BA45" s="65">
        <f t="shared" si="80"/>
        <v>0.19289897510980966</v>
      </c>
      <c r="BB45" s="65">
        <f t="shared" si="80"/>
        <v>0.17806069061737007</v>
      </c>
      <c r="BC45" s="65">
        <f t="shared" si="80"/>
        <v>0.15922656578394284</v>
      </c>
      <c r="BD45" s="65">
        <f t="shared" si="80"/>
        <v>0.17349204939148974</v>
      </c>
      <c r="BE45" s="65">
        <f t="shared" si="80"/>
        <v>0.17243035542747359</v>
      </c>
      <c r="BF45" s="65">
        <f t="shared" si="80"/>
        <v>0.18006144088791992</v>
      </c>
      <c r="BG45" s="65">
        <f t="shared" si="80"/>
        <v>0.20180568380014363</v>
      </c>
      <c r="BH45" s="65">
        <f t="shared" si="80"/>
        <v>0.20805772699939867</v>
      </c>
      <c r="BI45" s="65">
        <f t="shared" si="80"/>
        <v>0.20437740313516711</v>
      </c>
      <c r="BJ45" s="65">
        <f t="shared" si="80"/>
        <v>0.19900400351528172</v>
      </c>
      <c r="BK45" s="65">
        <f t="shared" si="80"/>
        <v>0.20754716981132076</v>
      </c>
      <c r="BL45" s="65">
        <f t="shared" si="80"/>
        <v>0.20718897561915775</v>
      </c>
      <c r="BM45" s="65">
        <f t="shared" si="80"/>
        <v>0.19426422190879172</v>
      </c>
      <c r="BN45" s="65">
        <f t="shared" si="80"/>
        <v>0.19400400947694552</v>
      </c>
      <c r="BO45" s="65">
        <f t="shared" si="80"/>
        <v>0.20718285383278626</v>
      </c>
      <c r="BP45" s="65">
        <f t="shared" si="80"/>
        <v>0.19852809190450549</v>
      </c>
      <c r="BQ45" s="65">
        <f>BQ7/BQ22</f>
        <v>0.18937461518163426</v>
      </c>
      <c r="BR45" s="65">
        <f t="shared" ref="BR45" si="81">BR7/BR22</f>
        <v>0.16929924077144604</v>
      </c>
      <c r="BS45" s="65">
        <f>BS7/BS22</f>
        <v>0.18067001074883554</v>
      </c>
      <c r="BT45" s="65">
        <f>BT7/BT22</f>
        <v>0.18067001074883554</v>
      </c>
      <c r="BU45" s="34"/>
      <c r="BV45" s="34"/>
      <c r="CL45" s="65">
        <f t="shared" ref="CL45:CO45" si="82">CL7/CL22</f>
        <v>0.2209604715672677</v>
      </c>
      <c r="CM45" s="65">
        <f t="shared" si="82"/>
        <v>0.19254788160185723</v>
      </c>
      <c r="CN45" s="65">
        <f t="shared" si="82"/>
        <v>0.17087027237532357</v>
      </c>
      <c r="CO45" s="65">
        <f t="shared" si="82"/>
        <v>0.20329601834999625</v>
      </c>
      <c r="CP45" s="65">
        <f>CP7/CP22</f>
        <v>0.20054827175208581</v>
      </c>
      <c r="CQ45" s="65">
        <f>CQ7/CQ22</f>
        <v>0.19064699512723335</v>
      </c>
      <c r="CR45" s="70"/>
      <c r="CS45" s="70"/>
      <c r="CT45" s="70"/>
      <c r="CU45" s="70"/>
      <c r="CV45" s="70"/>
      <c r="CW45" s="70"/>
      <c r="CX45" s="70"/>
      <c r="CY45" s="70"/>
      <c r="CZ45" s="70"/>
      <c r="DA45" s="34"/>
      <c r="DB45" s="34"/>
      <c r="DC45" s="34"/>
      <c r="DD45" s="34"/>
      <c r="DE45" s="34"/>
      <c r="DF45" s="34"/>
      <c r="DG45" s="34"/>
      <c r="DH45" s="34"/>
      <c r="DI45" s="34"/>
      <c r="DJ45" s="34"/>
      <c r="DK45" s="34"/>
      <c r="DL45" s="34"/>
      <c r="DM45" s="34"/>
      <c r="DN45" s="34"/>
      <c r="DO45" s="34"/>
      <c r="DP45" s="34"/>
      <c r="DQ45" s="34"/>
      <c r="DR45" s="34"/>
      <c r="DS45" s="34"/>
      <c r="DT45" s="34"/>
      <c r="DU45" s="34"/>
      <c r="DV45" s="34"/>
      <c r="DW45" s="34"/>
      <c r="DX45" s="34"/>
      <c r="DY45" s="34"/>
      <c r="DZ45" s="34"/>
      <c r="EA45" s="34"/>
      <c r="EB45" s="34"/>
      <c r="EC45" s="34"/>
      <c r="ED45" s="34"/>
      <c r="EE45" s="34"/>
      <c r="EF45" s="34"/>
      <c r="EG45" s="34"/>
      <c r="EH45" s="34"/>
      <c r="EI45" s="34"/>
      <c r="EJ45" s="34"/>
      <c r="EK45" s="34"/>
      <c r="EL45" s="34"/>
      <c r="EM45" s="34"/>
      <c r="EN45" s="34"/>
      <c r="EO45" s="34"/>
      <c r="EP45" s="34"/>
      <c r="EQ45" s="34"/>
      <c r="ER45" s="34"/>
      <c r="ES45" s="34"/>
      <c r="ET45" s="34"/>
      <c r="EU45" s="34"/>
      <c r="EV45" s="34"/>
      <c r="EW45" s="34"/>
      <c r="EX45" s="34"/>
      <c r="EY45" s="34"/>
      <c r="EZ45" s="34"/>
    </row>
    <row r="46" spans="2:156" s="2" customFormat="1" ht="15">
      <c r="B46" s="33" t="s">
        <v>1449</v>
      </c>
      <c r="AU46" s="65">
        <f t="shared" ref="AU46:BP46" si="83">AU12/AU22</f>
        <v>0.23634480973336786</v>
      </c>
      <c r="AV46" s="65">
        <f t="shared" si="83"/>
        <v>0.27210698689956331</v>
      </c>
      <c r="AW46" s="65">
        <f t="shared" si="83"/>
        <v>0.29820399864452729</v>
      </c>
      <c r="AX46" s="65">
        <f t="shared" si="83"/>
        <v>0.40603681898887956</v>
      </c>
      <c r="AY46" s="65">
        <f t="shared" si="83"/>
        <v>0.38389441469013008</v>
      </c>
      <c r="AZ46" s="65">
        <f t="shared" si="83"/>
        <v>0.31761713782646972</v>
      </c>
      <c r="BA46" s="65">
        <f t="shared" si="83"/>
        <v>0.35797950219619329</v>
      </c>
      <c r="BB46" s="65">
        <f t="shared" si="83"/>
        <v>0.38986745727241018</v>
      </c>
      <c r="BC46" s="65">
        <f t="shared" si="83"/>
        <v>0.44195039932744851</v>
      </c>
      <c r="BD46" s="65">
        <f t="shared" si="83"/>
        <v>0.38145154126321401</v>
      </c>
      <c r="BE46" s="65">
        <f t="shared" si="83"/>
        <v>0.34975984630163304</v>
      </c>
      <c r="BF46" s="65">
        <f t="shared" si="83"/>
        <v>0.32474482211871963</v>
      </c>
      <c r="BG46" s="65">
        <f t="shared" si="83"/>
        <v>0.27577716220375498</v>
      </c>
      <c r="BH46" s="65">
        <f t="shared" si="83"/>
        <v>0.23221086390058127</v>
      </c>
      <c r="BI46" s="65">
        <f t="shared" si="83"/>
        <v>0.24144730355910479</v>
      </c>
      <c r="BJ46" s="65">
        <f t="shared" si="83"/>
        <v>0.24743677375256323</v>
      </c>
      <c r="BK46" s="65">
        <f t="shared" si="83"/>
        <v>0.22219991971095945</v>
      </c>
      <c r="BL46" s="65">
        <f t="shared" si="83"/>
        <v>0.21152548906234941</v>
      </c>
      <c r="BM46" s="65">
        <f t="shared" si="83"/>
        <v>0.22679830747531735</v>
      </c>
      <c r="BN46" s="65">
        <f t="shared" si="83"/>
        <v>0.22963367960634226</v>
      </c>
      <c r="BO46" s="65">
        <f t="shared" si="83"/>
        <v>0.19830083027611509</v>
      </c>
      <c r="BP46" s="65">
        <f t="shared" si="83"/>
        <v>0.1950278226530246</v>
      </c>
      <c r="BQ46" s="65">
        <f>BQ12/BQ22</f>
        <v>0.19817046354120854</v>
      </c>
      <c r="BR46" s="65">
        <f t="shared" ref="BR46" si="84">BR12/BR22</f>
        <v>0.21441661576053758</v>
      </c>
      <c r="BS46" s="65">
        <f>BS12/BS22</f>
        <v>0.19527051236116089</v>
      </c>
      <c r="BT46" s="65">
        <f>BT12/BT22</f>
        <v>0.19527051236116089</v>
      </c>
      <c r="BU46" s="34"/>
      <c r="BV46" s="34"/>
      <c r="CL46" s="65">
        <f t="shared" ref="CL46:CO46" si="85">CL12/CL22</f>
        <v>0.312211049468331</v>
      </c>
      <c r="CM46" s="65">
        <f t="shared" si="85"/>
        <v>0.3631804991294254</v>
      </c>
      <c r="CN46" s="65">
        <f t="shared" si="85"/>
        <v>0.37727074886033035</v>
      </c>
      <c r="CO46" s="65">
        <f t="shared" si="85"/>
        <v>0.24902141663965693</v>
      </c>
      <c r="CP46" s="65">
        <f>CP12/CP22</f>
        <v>0.22266984505363527</v>
      </c>
      <c r="CQ46" s="65">
        <f>CQ12/CQ22</f>
        <v>0.20161072008662695</v>
      </c>
      <c r="CR46" s="70"/>
      <c r="CS46" s="70"/>
      <c r="CT46" s="70"/>
      <c r="CU46" s="70"/>
      <c r="CV46" s="70"/>
      <c r="CW46" s="70"/>
      <c r="CX46" s="70"/>
      <c r="CY46" s="70"/>
      <c r="CZ46" s="70"/>
      <c r="DA46" s="34"/>
      <c r="DB46" s="34"/>
      <c r="DC46" s="34"/>
      <c r="DD46" s="34"/>
      <c r="DE46" s="34"/>
      <c r="DF46" s="34"/>
      <c r="DG46" s="34"/>
      <c r="DH46" s="34"/>
      <c r="DI46" s="34"/>
      <c r="DJ46" s="34"/>
      <c r="DK46" s="34"/>
      <c r="DL46" s="34"/>
      <c r="DM46" s="34"/>
      <c r="DN46" s="34"/>
      <c r="DO46" s="34"/>
      <c r="DP46" s="34"/>
      <c r="DQ46" s="34"/>
      <c r="DR46" s="34"/>
      <c r="DS46" s="34"/>
      <c r="DT46" s="34"/>
      <c r="DU46" s="34"/>
      <c r="DV46" s="34"/>
      <c r="DW46" s="34"/>
      <c r="DX46" s="34"/>
      <c r="DY46" s="34"/>
      <c r="DZ46" s="34"/>
      <c r="EA46" s="34"/>
      <c r="EB46" s="34"/>
      <c r="EC46" s="34"/>
      <c r="ED46" s="34"/>
      <c r="EE46" s="34"/>
      <c r="EF46" s="34"/>
      <c r="EG46" s="34"/>
      <c r="EH46" s="34"/>
      <c r="EI46" s="34"/>
      <c r="EJ46" s="34"/>
      <c r="EK46" s="34"/>
      <c r="EL46" s="34"/>
      <c r="EM46" s="34"/>
      <c r="EN46" s="34"/>
      <c r="EO46" s="34"/>
      <c r="EP46" s="34"/>
      <c r="EQ46" s="34"/>
      <c r="ER46" s="34"/>
      <c r="ES46" s="34"/>
      <c r="ET46" s="34"/>
      <c r="EU46" s="34"/>
      <c r="EV46" s="34"/>
      <c r="EW46" s="34"/>
      <c r="EX46" s="34"/>
      <c r="EY46" s="34"/>
      <c r="EZ46" s="34"/>
    </row>
    <row r="47" spans="2:156" s="2" customFormat="1" ht="15">
      <c r="B47" s="33" t="s">
        <v>1450</v>
      </c>
      <c r="AU47" s="65">
        <f t="shared" ref="AU47:BP47" si="86">AU20/AU22</f>
        <v>0.38014496505306755</v>
      </c>
      <c r="AV47" s="65">
        <f t="shared" si="86"/>
        <v>0.33064956331877732</v>
      </c>
      <c r="AW47" s="65">
        <f t="shared" si="86"/>
        <v>0.35807071049361799</v>
      </c>
      <c r="AX47" s="65">
        <f t="shared" si="86"/>
        <v>0.30436407812353988</v>
      </c>
      <c r="AY47" s="65">
        <f t="shared" si="86"/>
        <v>0.31752104055087987</v>
      </c>
      <c r="AZ47" s="65">
        <f t="shared" si="86"/>
        <v>0.3586031497603443</v>
      </c>
      <c r="BA47" s="65">
        <f t="shared" si="86"/>
        <v>0.33235724743777451</v>
      </c>
      <c r="BB47" s="65">
        <f t="shared" si="86"/>
        <v>0.326909661667248</v>
      </c>
      <c r="BC47" s="65">
        <f t="shared" si="86"/>
        <v>0.3021437578814628</v>
      </c>
      <c r="BD47" s="65">
        <f t="shared" si="86"/>
        <v>0.33623523141156614</v>
      </c>
      <c r="BE47" s="65">
        <f t="shared" si="86"/>
        <v>0.35014409221902015</v>
      </c>
      <c r="BF47" s="65">
        <f t="shared" si="86"/>
        <v>0.3743930234862749</v>
      </c>
      <c r="BG47" s="65">
        <f t="shared" si="86"/>
        <v>0.40012311480455526</v>
      </c>
      <c r="BH47" s="65">
        <f t="shared" si="86"/>
        <v>0.43044698336339948</v>
      </c>
      <c r="BI47" s="65">
        <f t="shared" si="86"/>
        <v>0.41890959282263629</v>
      </c>
      <c r="BJ47" s="65">
        <f t="shared" si="86"/>
        <v>0.43384435113758424</v>
      </c>
      <c r="BK47" s="65">
        <f t="shared" si="86"/>
        <v>0.44690887193898032</v>
      </c>
      <c r="BL47" s="65">
        <f t="shared" si="86"/>
        <v>0.45620121422376408</v>
      </c>
      <c r="BM47" s="65">
        <f t="shared" si="86"/>
        <v>0.44635637047484722</v>
      </c>
      <c r="BN47" s="65">
        <f t="shared" si="86"/>
        <v>0.46036085292509565</v>
      </c>
      <c r="BO47" s="65">
        <f t="shared" si="86"/>
        <v>0.47258157945549334</v>
      </c>
      <c r="BP47" s="65">
        <f t="shared" si="86"/>
        <v>0.48187040028720157</v>
      </c>
      <c r="BQ47" s="65">
        <f>BQ20/BQ22</f>
        <v>0.47919781862960681</v>
      </c>
      <c r="BR47" s="65">
        <f t="shared" ref="BR47" si="87">BR20/BR22</f>
        <v>0.49524391308142074</v>
      </c>
      <c r="BS47" s="65">
        <f>BS20/BS22</f>
        <v>0.49614833393049085</v>
      </c>
      <c r="BT47" s="65">
        <f>BT20/BT22</f>
        <v>0.49614833393049085</v>
      </c>
      <c r="BU47" s="34"/>
      <c r="BV47" s="34"/>
      <c r="CL47" s="65">
        <f t="shared" ref="CL47:CO47" si="88">CL20/CL22</f>
        <v>0.34058599167822468</v>
      </c>
      <c r="CM47" s="65">
        <f t="shared" si="88"/>
        <v>0.33353453279164247</v>
      </c>
      <c r="CN47" s="65">
        <f t="shared" si="88"/>
        <v>0.33908322452065148</v>
      </c>
      <c r="CO47" s="65">
        <f t="shared" si="88"/>
        <v>0.42102769951881125</v>
      </c>
      <c r="CP47" s="65">
        <f>CP20/CP22</f>
        <v>0.45258641239570918</v>
      </c>
      <c r="CQ47" s="65">
        <f>CQ20/CQ22</f>
        <v>0.48247157552788306</v>
      </c>
      <c r="CR47" s="70"/>
      <c r="CS47" s="70"/>
      <c r="CT47" s="70"/>
      <c r="CU47" s="70"/>
      <c r="CV47" s="70"/>
      <c r="CW47" s="70"/>
      <c r="CX47" s="70"/>
      <c r="CY47" s="70"/>
      <c r="CZ47" s="70"/>
      <c r="DA47" s="34"/>
      <c r="DB47" s="34"/>
      <c r="DC47" s="34"/>
      <c r="DD47" s="34"/>
      <c r="DE47" s="34"/>
      <c r="DF47" s="34"/>
      <c r="DG47" s="34"/>
      <c r="DH47" s="34"/>
      <c r="DI47" s="34"/>
      <c r="DJ47" s="34"/>
      <c r="DK47" s="34"/>
      <c r="DL47" s="34"/>
      <c r="DM47" s="34"/>
      <c r="DN47" s="34"/>
      <c r="DO47" s="34"/>
      <c r="DP47" s="34"/>
      <c r="DQ47" s="34"/>
      <c r="DR47" s="34"/>
      <c r="DS47" s="34"/>
      <c r="DT47" s="34"/>
      <c r="DU47" s="34"/>
      <c r="DV47" s="34"/>
      <c r="DW47" s="34"/>
      <c r="DX47" s="34"/>
      <c r="DY47" s="34"/>
      <c r="DZ47" s="34"/>
      <c r="EA47" s="34"/>
      <c r="EB47" s="34"/>
      <c r="EC47" s="34"/>
      <c r="ED47" s="34"/>
      <c r="EE47" s="34"/>
      <c r="EF47" s="34"/>
      <c r="EG47" s="34"/>
      <c r="EH47" s="34"/>
      <c r="EI47" s="34"/>
      <c r="EJ47" s="34"/>
      <c r="EK47" s="34"/>
      <c r="EL47" s="34"/>
      <c r="EM47" s="34"/>
      <c r="EN47" s="34"/>
      <c r="EO47" s="34"/>
      <c r="EP47" s="34"/>
      <c r="EQ47" s="34"/>
      <c r="ER47" s="34"/>
      <c r="ES47" s="34"/>
      <c r="ET47" s="34"/>
      <c r="EU47" s="34"/>
      <c r="EV47" s="34"/>
      <c r="EW47" s="34"/>
      <c r="EX47" s="34"/>
      <c r="EY47" s="34"/>
      <c r="EZ47" s="34"/>
    </row>
    <row r="48" spans="2:156" s="2" customFormat="1" ht="15">
      <c r="B48" s="33" t="s">
        <v>1446</v>
      </c>
      <c r="AU48" s="65">
        <f t="shared" ref="AU48:BP48" si="89">AU21/AU22</f>
        <v>1.9414962464405902E-3</v>
      </c>
      <c r="AV48" s="65">
        <f t="shared" si="89"/>
        <v>2.046943231441048E-3</v>
      </c>
      <c r="AW48" s="65">
        <f t="shared" si="89"/>
        <v>2.2591212018524794E-3</v>
      </c>
      <c r="AX48" s="65">
        <f t="shared" si="89"/>
        <v>1.4951873656667601E-3</v>
      </c>
      <c r="AY48" s="65">
        <f t="shared" si="89"/>
        <v>1.530221882172915E-3</v>
      </c>
      <c r="AZ48" s="65">
        <f t="shared" si="89"/>
        <v>2.1520101731390003E-3</v>
      </c>
      <c r="BA48" s="65">
        <f t="shared" si="89"/>
        <v>1.006588579795022E-3</v>
      </c>
      <c r="BB48" s="65">
        <f t="shared" si="89"/>
        <v>2.6159748866410882E-4</v>
      </c>
      <c r="BC48" s="65">
        <f t="shared" si="89"/>
        <v>2.5220680958385876E-4</v>
      </c>
      <c r="BD48" s="65">
        <f t="shared" si="89"/>
        <v>1.7766722927955937E-4</v>
      </c>
      <c r="BE48" s="65">
        <f t="shared" si="89"/>
        <v>2.8818443804034583E-4</v>
      </c>
      <c r="BF48" s="65">
        <f t="shared" si="89"/>
        <v>2.9729461896739668E-4</v>
      </c>
      <c r="BG48" s="65">
        <f t="shared" si="89"/>
        <v>3.0778701138811941E-4</v>
      </c>
      <c r="BH48" s="65">
        <f t="shared" si="89"/>
        <v>3.0066145520144319E-4</v>
      </c>
      <c r="BI48" s="65">
        <f t="shared" si="89"/>
        <v>3.9436064280784776E-4</v>
      </c>
      <c r="BJ48" s="65">
        <f t="shared" si="89"/>
        <v>3.9058685675227026E-4</v>
      </c>
      <c r="BK48" s="65">
        <f t="shared" si="89"/>
        <v>3.0108390204737056E-4</v>
      </c>
      <c r="BL48" s="65">
        <f t="shared" si="89"/>
        <v>3.8546786161703766E-4</v>
      </c>
      <c r="BM48" s="65">
        <f t="shared" si="89"/>
        <v>3.7611659614480487E-4</v>
      </c>
      <c r="BN48" s="65">
        <f t="shared" si="89"/>
        <v>4.5562238017131401E-4</v>
      </c>
      <c r="BO48" s="65">
        <f t="shared" si="89"/>
        <v>2.8963120293492954E-4</v>
      </c>
      <c r="BP48" s="65">
        <f t="shared" si="89"/>
        <v>4.4875246813857474E-4</v>
      </c>
      <c r="BQ48" s="65">
        <f>BQ21/BQ22</f>
        <v>3.5183393438297124E-4</v>
      </c>
      <c r="BR48" s="65">
        <f t="shared" ref="BR48" si="90">BR21/BR22</f>
        <v>4.3633824941094338E-4</v>
      </c>
      <c r="BS48" s="65">
        <f>BS21/BS22</f>
        <v>1.7914725904693657E-4</v>
      </c>
      <c r="BT48" s="65">
        <f>BT21/BT22</f>
        <v>1.7914725904693657E-4</v>
      </c>
      <c r="BU48" s="34"/>
      <c r="BV48" s="34"/>
      <c r="CL48" s="65">
        <f t="shared" ref="CL48:CO48" si="91">CL21/CL22</f>
        <v>1.9070735090152566E-3</v>
      </c>
      <c r="CM48" s="65">
        <f t="shared" si="91"/>
        <v>1.2071967498549043E-3</v>
      </c>
      <c r="CN48" s="65">
        <f t="shared" si="91"/>
        <v>2.5198726318924244E-4</v>
      </c>
      <c r="CO48" s="65">
        <f t="shared" si="91"/>
        <v>3.490488419058067E-4</v>
      </c>
      <c r="CP48" s="65">
        <f>CP21/CP22</f>
        <v>3.8140643623361145E-4</v>
      </c>
      <c r="CQ48" s="65">
        <f>CQ21/CQ22</f>
        <v>3.8350478253022921E-4</v>
      </c>
      <c r="CR48" s="70"/>
      <c r="CS48" s="70"/>
      <c r="CT48" s="70"/>
      <c r="CU48" s="70"/>
      <c r="CV48" s="70"/>
      <c r="CW48" s="70"/>
      <c r="CX48" s="70"/>
      <c r="CY48" s="70"/>
      <c r="CZ48" s="70"/>
      <c r="DA48" s="34"/>
      <c r="DB48" s="34"/>
      <c r="DC48" s="34"/>
      <c r="DD48" s="34"/>
      <c r="DE48" s="34"/>
      <c r="DF48" s="34"/>
      <c r="DG48" s="34"/>
      <c r="DH48" s="34"/>
      <c r="DI48" s="34"/>
      <c r="DJ48" s="34"/>
      <c r="DK48" s="34"/>
      <c r="DL48" s="34"/>
      <c r="DM48" s="34"/>
      <c r="DN48" s="34"/>
      <c r="DO48" s="34"/>
      <c r="DP48" s="34"/>
      <c r="DQ48" s="34"/>
      <c r="DR48" s="34"/>
      <c r="DS48" s="34"/>
      <c r="DT48" s="34"/>
      <c r="DU48" s="34"/>
      <c r="DV48" s="34"/>
      <c r="DW48" s="34"/>
      <c r="DX48" s="34"/>
      <c r="DY48" s="34"/>
      <c r="DZ48" s="34"/>
      <c r="EA48" s="34"/>
      <c r="EB48" s="34"/>
      <c r="EC48" s="34"/>
      <c r="ED48" s="34"/>
      <c r="EE48" s="34"/>
      <c r="EF48" s="34"/>
      <c r="EG48" s="34"/>
      <c r="EH48" s="34"/>
      <c r="EI48" s="34"/>
      <c r="EJ48" s="34"/>
      <c r="EK48" s="34"/>
      <c r="EL48" s="34"/>
      <c r="EM48" s="34"/>
      <c r="EN48" s="34"/>
      <c r="EO48" s="34"/>
      <c r="EP48" s="34"/>
      <c r="EQ48" s="34"/>
      <c r="ER48" s="34"/>
      <c r="ES48" s="34"/>
      <c r="ET48" s="34"/>
      <c r="EU48" s="34"/>
      <c r="EV48" s="34"/>
      <c r="EW48" s="34"/>
      <c r="EX48" s="34"/>
      <c r="EY48" s="34"/>
      <c r="EZ48" s="34"/>
    </row>
    <row r="50" spans="2:156">
      <c r="B50" s="1" t="s">
        <v>54</v>
      </c>
      <c r="AU50" s="1">
        <v>2856</v>
      </c>
      <c r="AV50" s="1">
        <v>2638</v>
      </c>
      <c r="AW50" s="1">
        <v>3239</v>
      </c>
      <c r="AX50" s="1">
        <v>3912</v>
      </c>
      <c r="AY50" s="1">
        <v>3838</v>
      </c>
      <c r="AZ50" s="1">
        <v>3581</v>
      </c>
      <c r="BA50" s="1">
        <v>4368</v>
      </c>
      <c r="BB50" s="1">
        <v>4565</v>
      </c>
      <c r="BC50" s="1">
        <v>4637</v>
      </c>
      <c r="BD50" s="1">
        <v>4892</v>
      </c>
      <c r="BE50" s="1">
        <v>4094</v>
      </c>
      <c r="BF50" s="1">
        <v>4002</v>
      </c>
      <c r="BG50" s="1">
        <v>3928</v>
      </c>
      <c r="BH50" s="1">
        <v>3758</v>
      </c>
      <c r="BI50" s="1">
        <v>3817</v>
      </c>
      <c r="BJ50" s="1">
        <v>3835</v>
      </c>
      <c r="BK50" s="1">
        <v>3846</v>
      </c>
      <c r="BL50" s="1">
        <v>3944</v>
      </c>
      <c r="BM50" s="1">
        <v>4202</v>
      </c>
      <c r="BN50" s="1">
        <v>4175</v>
      </c>
      <c r="BO50" s="1">
        <v>4168</v>
      </c>
      <c r="BP50" s="1">
        <v>4276</v>
      </c>
      <c r="BQ50" s="1">
        <v>4299</v>
      </c>
      <c r="BR50" s="1">
        <v>4175</v>
      </c>
      <c r="BS50" s="1">
        <v>4274</v>
      </c>
      <c r="BT50" s="1">
        <v>4274</v>
      </c>
      <c r="CL50" s="1">
        <f>SUM(AU50:AX50)</f>
        <v>12645</v>
      </c>
      <c r="CM50" s="1">
        <f>SUM(AY50:BB50)</f>
        <v>16352</v>
      </c>
      <c r="CN50" s="1">
        <f>SUM(BC50:BF50)</f>
        <v>17625</v>
      </c>
      <c r="CO50" s="1">
        <f>SUM(BG50:BJ50)</f>
        <v>15338</v>
      </c>
      <c r="CP50" s="1">
        <f>SUM(BK50:BN50)</f>
        <v>16167</v>
      </c>
      <c r="CQ50" s="1">
        <f t="shared" ref="CQ50:CQ52" si="92">SUM(BO50:BR50)</f>
        <v>16918</v>
      </c>
    </row>
    <row r="51" spans="2:156">
      <c r="B51" s="1" t="s">
        <v>1451</v>
      </c>
      <c r="AU51" s="1">
        <v>4870</v>
      </c>
      <c r="AV51" s="1">
        <v>4690</v>
      </c>
      <c r="AW51" s="1">
        <v>5524</v>
      </c>
      <c r="AX51" s="1">
        <v>6789</v>
      </c>
      <c r="AY51" s="1">
        <v>6618</v>
      </c>
      <c r="AZ51" s="1">
        <v>6642</v>
      </c>
      <c r="BA51" s="1">
        <v>6560</v>
      </c>
      <c r="BB51" s="1">
        <v>6903</v>
      </c>
      <c r="BC51" s="1">
        <v>6958</v>
      </c>
      <c r="BD51" s="1">
        <v>6365</v>
      </c>
      <c r="BE51" s="1">
        <v>6316</v>
      </c>
      <c r="BF51" s="1">
        <v>6089</v>
      </c>
      <c r="BG51" s="1">
        <v>5819</v>
      </c>
      <c r="BH51" s="1">
        <v>6220</v>
      </c>
      <c r="BI51" s="1">
        <v>6326</v>
      </c>
      <c r="BJ51" s="1">
        <v>6406</v>
      </c>
      <c r="BK51" s="1">
        <v>6118</v>
      </c>
      <c r="BL51" s="1">
        <v>6433</v>
      </c>
      <c r="BM51" s="1">
        <v>6433</v>
      </c>
      <c r="BN51" s="1">
        <v>6799</v>
      </c>
      <c r="BO51" s="1">
        <v>6190</v>
      </c>
      <c r="BP51" s="1">
        <v>6866</v>
      </c>
      <c r="BQ51" s="1">
        <v>7070</v>
      </c>
      <c r="BR51" s="1">
        <v>6799</v>
      </c>
      <c r="BS51" s="1">
        <v>6890</v>
      </c>
      <c r="BT51" s="1">
        <v>6890</v>
      </c>
      <c r="CL51" s="1">
        <f>SUM(AU51:AX51)</f>
        <v>21873</v>
      </c>
      <c r="CM51" s="1">
        <f>SUM(AY51:BB51)</f>
        <v>26723</v>
      </c>
      <c r="CN51" s="1">
        <f>SUM(BC51:BF51)</f>
        <v>25728</v>
      </c>
      <c r="CO51" s="1">
        <f>SUM(BG51:BJ51)</f>
        <v>24771</v>
      </c>
      <c r="CP51" s="1">
        <f>SUM(BK51:BN51)</f>
        <v>25783</v>
      </c>
      <c r="CQ51" s="1">
        <f t="shared" si="92"/>
        <v>26925</v>
      </c>
    </row>
    <row r="52" spans="2:156" s="2" customFormat="1" ht="15">
      <c r="B52" s="33" t="s">
        <v>53</v>
      </c>
      <c r="AU52" s="2">
        <f>SUM(AU50:AU51)</f>
        <v>7726</v>
      </c>
      <c r="AV52" s="2">
        <f t="shared" ref="AV52:BQ52" si="93">SUM(AV50:AV51)</f>
        <v>7328</v>
      </c>
      <c r="AW52" s="2">
        <f t="shared" si="93"/>
        <v>8763</v>
      </c>
      <c r="AX52" s="2">
        <f t="shared" si="93"/>
        <v>10701</v>
      </c>
      <c r="AY52" s="2">
        <f t="shared" si="93"/>
        <v>10456</v>
      </c>
      <c r="AZ52" s="2">
        <f t="shared" si="93"/>
        <v>10223</v>
      </c>
      <c r="BA52" s="2">
        <f t="shared" si="93"/>
        <v>10928</v>
      </c>
      <c r="BB52" s="2">
        <f t="shared" si="93"/>
        <v>11468</v>
      </c>
      <c r="BC52" s="2">
        <f t="shared" si="93"/>
        <v>11595</v>
      </c>
      <c r="BD52" s="2">
        <f t="shared" si="93"/>
        <v>11257</v>
      </c>
      <c r="BE52" s="2">
        <f t="shared" si="93"/>
        <v>10410</v>
      </c>
      <c r="BF52" s="2">
        <f t="shared" si="93"/>
        <v>10091</v>
      </c>
      <c r="BG52" s="2">
        <f t="shared" si="93"/>
        <v>9747</v>
      </c>
      <c r="BH52" s="2">
        <f t="shared" si="93"/>
        <v>9978</v>
      </c>
      <c r="BI52" s="2">
        <f t="shared" si="93"/>
        <v>10143</v>
      </c>
      <c r="BJ52" s="2">
        <f t="shared" si="93"/>
        <v>10241</v>
      </c>
      <c r="BK52" s="2">
        <f t="shared" si="93"/>
        <v>9964</v>
      </c>
      <c r="BL52" s="2">
        <f t="shared" si="93"/>
        <v>10377</v>
      </c>
      <c r="BM52" s="2">
        <f t="shared" si="93"/>
        <v>10635</v>
      </c>
      <c r="BN52" s="2">
        <f t="shared" si="93"/>
        <v>10974</v>
      </c>
      <c r="BO52" s="2">
        <f t="shared" si="93"/>
        <v>10358</v>
      </c>
      <c r="BP52" s="2">
        <f t="shared" si="93"/>
        <v>11142</v>
      </c>
      <c r="BQ52" s="2">
        <f t="shared" si="93"/>
        <v>11369</v>
      </c>
      <c r="BR52" s="2">
        <f t="shared" ref="BR52:BS52" si="94">SUM(BR50:BR51)</f>
        <v>10974</v>
      </c>
      <c r="BS52" s="2">
        <f t="shared" si="94"/>
        <v>11164</v>
      </c>
      <c r="BT52" s="2">
        <f t="shared" ref="BT52" si="95">SUM(BT50:BT51)</f>
        <v>11164</v>
      </c>
      <c r="BU52" s="34"/>
      <c r="BV52" s="34"/>
      <c r="CL52" s="2">
        <f>SUM(AU52:AX52)</f>
        <v>34518</v>
      </c>
      <c r="CM52" s="2">
        <f>SUM(AY52:BB52)</f>
        <v>43075</v>
      </c>
      <c r="CN52" s="2">
        <f>SUM(BC52:BF52)</f>
        <v>43353</v>
      </c>
      <c r="CO52" s="2">
        <f>SUM(BG52:BJ52)</f>
        <v>40109</v>
      </c>
      <c r="CP52" s="2">
        <f>SUM(BK52:BN52)</f>
        <v>41950</v>
      </c>
      <c r="CQ52" s="2">
        <f t="shared" si="92"/>
        <v>43843</v>
      </c>
      <c r="CR52" s="34"/>
      <c r="CS52" s="34"/>
      <c r="CT52" s="34"/>
      <c r="CU52" s="34"/>
      <c r="CV52" s="34"/>
      <c r="CW52" s="34"/>
      <c r="CX52" s="34"/>
      <c r="CY52" s="34"/>
      <c r="CZ52" s="34"/>
      <c r="DA52" s="34"/>
      <c r="DB52" s="34"/>
      <c r="DC52" s="34"/>
      <c r="DD52" s="34"/>
      <c r="DE52" s="34"/>
      <c r="DF52" s="34"/>
      <c r="DG52" s="34"/>
      <c r="DH52" s="34"/>
      <c r="DI52" s="34"/>
      <c r="DJ52" s="34"/>
      <c r="DK52" s="34"/>
      <c r="DL52" s="34"/>
      <c r="DM52" s="34"/>
      <c r="DN52" s="34"/>
      <c r="DO52" s="34"/>
      <c r="DP52" s="34"/>
      <c r="DQ52" s="34"/>
      <c r="DR52" s="34"/>
      <c r="DS52" s="34"/>
      <c r="DT52" s="34"/>
      <c r="DU52" s="34"/>
      <c r="DV52" s="34"/>
      <c r="DW52" s="34"/>
      <c r="DX52" s="34"/>
      <c r="DY52" s="34"/>
      <c r="DZ52" s="34"/>
      <c r="EA52" s="34"/>
      <c r="EB52" s="34"/>
      <c r="EC52" s="34"/>
      <c r="ED52" s="34"/>
      <c r="EE52" s="34"/>
      <c r="EF52" s="34"/>
      <c r="EG52" s="34"/>
      <c r="EH52" s="34"/>
      <c r="EI52" s="34"/>
      <c r="EJ52" s="34"/>
      <c r="EK52" s="34"/>
      <c r="EL52" s="34"/>
      <c r="EM52" s="34"/>
      <c r="EN52" s="34"/>
      <c r="EO52" s="34"/>
      <c r="EP52" s="34"/>
      <c r="EQ52" s="34"/>
      <c r="ER52" s="34"/>
      <c r="ES52" s="34"/>
      <c r="ET52" s="34"/>
      <c r="EU52" s="34"/>
      <c r="EV52" s="34"/>
      <c r="EW52" s="34"/>
      <c r="EX52" s="34"/>
      <c r="EY52" s="34"/>
      <c r="EZ52" s="34"/>
    </row>
    <row r="54" spans="2:156">
      <c r="B54" s="1" t="s">
        <v>56</v>
      </c>
      <c r="AU54" s="64"/>
      <c r="AV54" s="64"/>
      <c r="AW54" s="64"/>
      <c r="AX54" s="64"/>
      <c r="AY54" s="64">
        <f t="shared" ref="AY54:AY56" si="96">AY50/AU50-1</f>
        <v>0.34383753501400571</v>
      </c>
      <c r="AZ54" s="64">
        <f t="shared" ref="AZ54:AZ56" si="97">AZ50/AV50-1</f>
        <v>0.35746777862016677</v>
      </c>
      <c r="BA54" s="64">
        <f t="shared" ref="BA54:BA56" si="98">BA50/AW50-1</f>
        <v>0.34856437171966648</v>
      </c>
      <c r="BB54" s="64">
        <f t="shared" ref="BB54:BB56" si="99">BB50/AX50-1</f>
        <v>0.16692229038854811</v>
      </c>
      <c r="BC54" s="64">
        <f t="shared" ref="BC54:BC56" si="100">BC50/AY50-1</f>
        <v>0.20818134445023451</v>
      </c>
      <c r="BD54" s="64">
        <f t="shared" ref="BD54:BD56" si="101">BD50/AZ50-1</f>
        <v>0.36609885506841655</v>
      </c>
      <c r="BE54" s="64">
        <f t="shared" ref="BE54:BE56" si="102">BE50/BA50-1</f>
        <v>-6.2728937728937728E-2</v>
      </c>
      <c r="BF54" s="64">
        <f t="shared" ref="BF54:BF56" si="103">BF50/BB50-1</f>
        <v>-0.12332968236582698</v>
      </c>
      <c r="BG54" s="64">
        <f t="shared" ref="BG54:BG56" si="104">BG50/BC50-1</f>
        <v>-0.15290058227302139</v>
      </c>
      <c r="BH54" s="64">
        <f t="shared" ref="BH54:BH56" si="105">BH50/BD50-1</f>
        <v>-0.23180703188879803</v>
      </c>
      <c r="BI54" s="64">
        <f t="shared" ref="BI54:BI56" si="106">BI50/BE50-1</f>
        <v>-6.7659990229604339E-2</v>
      </c>
      <c r="BJ54" s="64">
        <f t="shared" ref="BJ54:BJ56" si="107">BJ50/BF50-1</f>
        <v>-4.1729135432283848E-2</v>
      </c>
      <c r="BK54" s="64">
        <f t="shared" ref="BK54:BK56" si="108">BK50/BG50-1</f>
        <v>-2.0875763747454146E-2</v>
      </c>
      <c r="BL54" s="64">
        <f t="shared" ref="BL54:BL56" si="109">BL50/BH50-1</f>
        <v>4.9494411921234605E-2</v>
      </c>
      <c r="BM54" s="64">
        <f t="shared" ref="BM54:BM56" si="110">BM50/BI50-1</f>
        <v>0.10086455331412103</v>
      </c>
      <c r="BN54" s="64">
        <f t="shared" ref="BN54:BN56" si="111">BN50/BJ50-1</f>
        <v>8.8657105606258169E-2</v>
      </c>
      <c r="BO54" s="64">
        <f t="shared" ref="BO54:BO56" si="112">BO50/BK50-1</f>
        <v>8.3723348933957276E-2</v>
      </c>
      <c r="BP54" s="64">
        <f t="shared" ref="BP54:BP56" si="113">BP50/BL50-1</f>
        <v>8.4178498985801209E-2</v>
      </c>
      <c r="BQ54" s="64">
        <f t="shared" ref="BQ54:BT56" si="114">BQ50/BM50-1</f>
        <v>2.3084245597334574E-2</v>
      </c>
      <c r="BR54" s="64">
        <f t="shared" si="114"/>
        <v>0</v>
      </c>
      <c r="BS54" s="64">
        <f t="shared" si="114"/>
        <v>2.5431861804222633E-2</v>
      </c>
      <c r="BT54" s="64">
        <f t="shared" si="114"/>
        <v>-4.6772684752105498E-4</v>
      </c>
      <c r="CL54" s="64"/>
      <c r="CM54" s="64">
        <f t="shared" ref="CM54:CO56" si="115">CM50/CL50-1</f>
        <v>0.29315935152234074</v>
      </c>
      <c r="CN54" s="64">
        <f t="shared" si="115"/>
        <v>7.7849804305283765E-2</v>
      </c>
      <c r="CO54" s="64">
        <f t="shared" si="115"/>
        <v>-0.129758865248227</v>
      </c>
      <c r="CP54" s="64">
        <f>CP50/CO50-1</f>
        <v>5.404876776633194E-2</v>
      </c>
      <c r="CQ54" s="64">
        <f>CQ50/CP50-1</f>
        <v>4.6452650460815148E-2</v>
      </c>
    </row>
    <row r="55" spans="2:156">
      <c r="B55" s="1" t="s">
        <v>1452</v>
      </c>
      <c r="AU55" s="64"/>
      <c r="AV55" s="64"/>
      <c r="AW55" s="64"/>
      <c r="AX55" s="64"/>
      <c r="AY55" s="64">
        <f t="shared" si="96"/>
        <v>0.35893223819301845</v>
      </c>
      <c r="AZ55" s="64">
        <f t="shared" si="97"/>
        <v>0.41620469083155642</v>
      </c>
      <c r="BA55" s="64">
        <f t="shared" si="98"/>
        <v>0.18754525706010128</v>
      </c>
      <c r="BB55" s="64">
        <f t="shared" si="99"/>
        <v>1.6791869200176723E-2</v>
      </c>
      <c r="BC55" s="64">
        <f t="shared" si="100"/>
        <v>5.1375037775763133E-2</v>
      </c>
      <c r="BD55" s="64">
        <f t="shared" si="101"/>
        <v>-4.1704305931948182E-2</v>
      </c>
      <c r="BE55" s="64">
        <f t="shared" si="102"/>
        <v>-3.7195121951219545E-2</v>
      </c>
      <c r="BF55" s="64">
        <f t="shared" si="103"/>
        <v>-0.11791974503838909</v>
      </c>
      <c r="BG55" s="64">
        <f t="shared" si="104"/>
        <v>-0.16369646450129349</v>
      </c>
      <c r="BH55" s="64">
        <f t="shared" si="105"/>
        <v>-2.2780832678711671E-2</v>
      </c>
      <c r="BI55" s="64">
        <f t="shared" si="106"/>
        <v>1.5832805573148256E-3</v>
      </c>
      <c r="BJ55" s="64">
        <f t="shared" si="107"/>
        <v>5.2061093775660927E-2</v>
      </c>
      <c r="BK55" s="64">
        <f t="shared" si="108"/>
        <v>5.1383399209486091E-2</v>
      </c>
      <c r="BL55" s="64">
        <f t="shared" si="109"/>
        <v>3.4244372990353655E-2</v>
      </c>
      <c r="BM55" s="64">
        <f t="shared" si="110"/>
        <v>1.6914321846348335E-2</v>
      </c>
      <c r="BN55" s="64">
        <f t="shared" si="111"/>
        <v>6.1348735560412093E-2</v>
      </c>
      <c r="BO55" s="64">
        <f t="shared" si="112"/>
        <v>1.1768551814318462E-2</v>
      </c>
      <c r="BP55" s="64">
        <f t="shared" si="113"/>
        <v>6.7309187004507942E-2</v>
      </c>
      <c r="BQ55" s="64">
        <f t="shared" ref="BQ55:BT55" si="116">BQ51/BM51-1</f>
        <v>9.9020674646354667E-2</v>
      </c>
      <c r="BR55" s="64">
        <f t="shared" si="114"/>
        <v>0</v>
      </c>
      <c r="BS55" s="64">
        <f t="shared" si="116"/>
        <v>0.11308562197092087</v>
      </c>
      <c r="BT55" s="64">
        <f t="shared" si="116"/>
        <v>3.4954849985435743E-3</v>
      </c>
      <c r="CL55" s="64"/>
      <c r="CM55" s="64">
        <f t="shared" si="115"/>
        <v>0.22173455858821378</v>
      </c>
      <c r="CN55" s="64">
        <f t="shared" si="115"/>
        <v>-3.7233843505594444E-2</v>
      </c>
      <c r="CO55" s="64">
        <f t="shared" si="115"/>
        <v>-3.7196828358208922E-2</v>
      </c>
      <c r="CP55" s="64">
        <f t="shared" ref="CP55:CQ56" si="117">CP51/CO51-1</f>
        <v>4.0854224698235742E-2</v>
      </c>
      <c r="CQ55" s="64">
        <f t="shared" si="117"/>
        <v>4.4292751037505296E-2</v>
      </c>
    </row>
    <row r="56" spans="2:156" s="2" customFormat="1" ht="15">
      <c r="B56" s="33" t="s">
        <v>1453</v>
      </c>
      <c r="AU56" s="65"/>
      <c r="AV56" s="65"/>
      <c r="AW56" s="65"/>
      <c r="AX56" s="65"/>
      <c r="AY56" s="65">
        <f t="shared" si="96"/>
        <v>0.35335231685218749</v>
      </c>
      <c r="AZ56" s="65">
        <f t="shared" si="97"/>
        <v>0.3950600436681222</v>
      </c>
      <c r="BA56" s="65">
        <f t="shared" si="98"/>
        <v>0.24706150861577081</v>
      </c>
      <c r="BB56" s="65">
        <f t="shared" si="99"/>
        <v>7.1675544341650355E-2</v>
      </c>
      <c r="BC56" s="65">
        <f t="shared" si="100"/>
        <v>0.10893267023718445</v>
      </c>
      <c r="BD56" s="65">
        <f t="shared" si="101"/>
        <v>0.10114447813753302</v>
      </c>
      <c r="BE56" s="65">
        <f t="shared" si="102"/>
        <v>-4.7401171303074641E-2</v>
      </c>
      <c r="BF56" s="65">
        <f t="shared" si="103"/>
        <v>-0.120073247296826</v>
      </c>
      <c r="BG56" s="65">
        <f t="shared" si="104"/>
        <v>-0.15937904269081504</v>
      </c>
      <c r="BH56" s="65">
        <f t="shared" si="105"/>
        <v>-0.11361819312427823</v>
      </c>
      <c r="BI56" s="65">
        <f t="shared" si="106"/>
        <v>-2.5648414985590784E-2</v>
      </c>
      <c r="BJ56" s="65">
        <f t="shared" si="107"/>
        <v>1.486473094836982E-2</v>
      </c>
      <c r="BK56" s="65">
        <f t="shared" si="108"/>
        <v>2.2263260490407388E-2</v>
      </c>
      <c r="BL56" s="65">
        <f t="shared" si="109"/>
        <v>3.9987973541791844E-2</v>
      </c>
      <c r="BM56" s="65">
        <f t="shared" si="110"/>
        <v>4.8506359065365379E-2</v>
      </c>
      <c r="BN56" s="65">
        <f t="shared" si="111"/>
        <v>7.1575041499853498E-2</v>
      </c>
      <c r="BO56" s="65">
        <f t="shared" si="112"/>
        <v>3.9542352468888042E-2</v>
      </c>
      <c r="BP56" s="65">
        <f t="shared" si="113"/>
        <v>7.3720728534258484E-2</v>
      </c>
      <c r="BQ56" s="65">
        <f t="shared" ref="BQ56:BT56" si="118">BQ52/BM52-1</f>
        <v>6.9017395392571679E-2</v>
      </c>
      <c r="BR56" s="65">
        <f t="shared" si="114"/>
        <v>0</v>
      </c>
      <c r="BS56" s="65">
        <f t="shared" si="118"/>
        <v>7.781424985518437E-2</v>
      </c>
      <c r="BT56" s="65">
        <f t="shared" si="118"/>
        <v>1.9745108598097083E-3</v>
      </c>
      <c r="BU56" s="34"/>
      <c r="BV56" s="34"/>
      <c r="CL56" s="65"/>
      <c r="CM56" s="65">
        <f t="shared" si="115"/>
        <v>0.24789964656121444</v>
      </c>
      <c r="CN56" s="65">
        <f t="shared" si="115"/>
        <v>6.4538595473011551E-3</v>
      </c>
      <c r="CO56" s="65">
        <f t="shared" si="115"/>
        <v>-7.4827578252946725E-2</v>
      </c>
      <c r="CP56" s="65">
        <f t="shared" si="117"/>
        <v>4.5899922710613605E-2</v>
      </c>
      <c r="CQ56" s="65">
        <f t="shared" si="117"/>
        <v>4.512514898688913E-2</v>
      </c>
      <c r="CR56" s="34"/>
      <c r="CS56" s="34"/>
      <c r="CT56" s="34"/>
      <c r="CU56" s="34"/>
      <c r="CV56" s="34"/>
      <c r="CW56" s="34"/>
      <c r="CX56" s="34"/>
      <c r="CY56" s="34"/>
      <c r="CZ56" s="34"/>
      <c r="DA56" s="34"/>
      <c r="DB56" s="34"/>
      <c r="DC56" s="34"/>
      <c r="DD56" s="34"/>
      <c r="DE56" s="34"/>
      <c r="DF56" s="34"/>
      <c r="DG56" s="34"/>
      <c r="DH56" s="34"/>
      <c r="DI56" s="34"/>
      <c r="DJ56" s="34"/>
      <c r="DK56" s="34"/>
      <c r="DL56" s="34"/>
      <c r="DM56" s="34"/>
      <c r="DN56" s="34"/>
      <c r="DO56" s="34"/>
      <c r="DP56" s="34"/>
      <c r="DQ56" s="34"/>
      <c r="DR56" s="34"/>
      <c r="DS56" s="34"/>
      <c r="DT56" s="34"/>
      <c r="DU56" s="34"/>
      <c r="DV56" s="34"/>
      <c r="DW56" s="34"/>
      <c r="DX56" s="34"/>
      <c r="DY56" s="34"/>
      <c r="DZ56" s="34"/>
      <c r="EA56" s="34"/>
      <c r="EB56" s="34"/>
      <c r="EC56" s="34"/>
      <c r="ED56" s="34"/>
      <c r="EE56" s="34"/>
      <c r="EF56" s="34"/>
      <c r="EG56" s="34"/>
      <c r="EH56" s="34"/>
      <c r="EI56" s="34"/>
      <c r="EJ56" s="34"/>
      <c r="EK56" s="34"/>
      <c r="EL56" s="34"/>
      <c r="EM56" s="34"/>
      <c r="EN56" s="34"/>
      <c r="EO56" s="34"/>
      <c r="EP56" s="34"/>
      <c r="EQ56" s="34"/>
      <c r="ER56" s="34"/>
      <c r="ES56" s="34"/>
      <c r="ET56" s="34"/>
      <c r="EU56" s="34"/>
      <c r="EV56" s="34"/>
      <c r="EW56" s="34"/>
      <c r="EX56" s="34"/>
      <c r="EY56" s="34"/>
      <c r="EZ56" s="34"/>
    </row>
    <row r="57" spans="2:156">
      <c r="AU57" s="64"/>
      <c r="AV57" s="64"/>
      <c r="AW57" s="64"/>
      <c r="AX57" s="64"/>
      <c r="AY57" s="64"/>
      <c r="AZ57" s="64"/>
      <c r="BA57" s="64"/>
      <c r="BB57" s="64"/>
      <c r="BC57" s="64"/>
      <c r="BD57" s="64"/>
      <c r="BE57" s="64"/>
      <c r="BF57" s="64"/>
      <c r="BG57" s="64"/>
      <c r="BH57" s="64"/>
      <c r="BI57" s="64"/>
      <c r="BJ57" s="64"/>
      <c r="BK57" s="64"/>
      <c r="BL57" s="64"/>
      <c r="BM57" s="64"/>
      <c r="BN57" s="64"/>
      <c r="BO57" s="64"/>
      <c r="BP57" s="64"/>
      <c r="BQ57" s="64"/>
      <c r="BR57" s="64"/>
      <c r="BS57" s="64"/>
      <c r="BT57" s="64"/>
      <c r="CO57" s="64"/>
      <c r="CP57" s="64"/>
      <c r="CQ57" s="64"/>
    </row>
    <row r="58" spans="2:156">
      <c r="B58" s="38" t="s">
        <v>55</v>
      </c>
      <c r="AU58" s="64">
        <f t="shared" ref="AU58:BP58" si="119">AU50/AU52</f>
        <v>0.36966088532228836</v>
      </c>
      <c r="AV58" s="64">
        <f t="shared" si="119"/>
        <v>0.35998908296943233</v>
      </c>
      <c r="AW58" s="64">
        <f t="shared" si="119"/>
        <v>0.369622275476435</v>
      </c>
      <c r="AX58" s="64">
        <f t="shared" si="119"/>
        <v>0.36557331090552286</v>
      </c>
      <c r="AY58" s="64">
        <f t="shared" si="119"/>
        <v>0.36706197398622803</v>
      </c>
      <c r="AZ58" s="64">
        <f t="shared" si="119"/>
        <v>0.3502885650004891</v>
      </c>
      <c r="BA58" s="64">
        <f t="shared" si="119"/>
        <v>0.39970717423133234</v>
      </c>
      <c r="BB58" s="64">
        <f t="shared" si="119"/>
        <v>0.3980641785838856</v>
      </c>
      <c r="BC58" s="64">
        <f t="shared" si="119"/>
        <v>0.39991375592927986</v>
      </c>
      <c r="BD58" s="64">
        <f t="shared" si="119"/>
        <v>0.43457404281780226</v>
      </c>
      <c r="BE58" s="64">
        <f t="shared" si="119"/>
        <v>0.39327569644572524</v>
      </c>
      <c r="BF58" s="64">
        <f t="shared" si="119"/>
        <v>0.39659102170250721</v>
      </c>
      <c r="BG58" s="64">
        <f t="shared" si="119"/>
        <v>0.40299579357751103</v>
      </c>
      <c r="BH58" s="64">
        <f t="shared" si="119"/>
        <v>0.37662858288234113</v>
      </c>
      <c r="BI58" s="64">
        <f t="shared" si="119"/>
        <v>0.37631864339938875</v>
      </c>
      <c r="BJ58" s="64">
        <f t="shared" si="119"/>
        <v>0.37447514891123912</v>
      </c>
      <c r="BK58" s="64">
        <f t="shared" si="119"/>
        <v>0.38598956242472904</v>
      </c>
      <c r="BL58" s="64">
        <f t="shared" si="119"/>
        <v>0.38007131155439916</v>
      </c>
      <c r="BM58" s="64">
        <f t="shared" si="119"/>
        <v>0.39511048425011752</v>
      </c>
      <c r="BN58" s="64">
        <f t="shared" si="119"/>
        <v>0.38044468744304721</v>
      </c>
      <c r="BO58" s="64">
        <f t="shared" si="119"/>
        <v>0.40239428461092874</v>
      </c>
      <c r="BP58" s="64">
        <f t="shared" si="119"/>
        <v>0.38377311075210913</v>
      </c>
      <c r="BQ58" s="64">
        <f t="shared" ref="BQ58:BR58" si="120">BQ50/BQ52</f>
        <v>0.37813352097809833</v>
      </c>
      <c r="BR58" s="64">
        <f t="shared" si="120"/>
        <v>0.38044468744304721</v>
      </c>
      <c r="BS58" s="64">
        <f t="shared" ref="BS58:BT58" si="121">BS50/BS52</f>
        <v>0.38283769258330347</v>
      </c>
      <c r="BT58" s="64">
        <f t="shared" si="121"/>
        <v>0.38283769258330347</v>
      </c>
      <c r="CL58" s="64">
        <f t="shared" ref="CL58:CN58" si="122">CL50/CL52</f>
        <v>0.36633061011646095</v>
      </c>
      <c r="CM58" s="64">
        <f t="shared" si="122"/>
        <v>0.37961694718514222</v>
      </c>
      <c r="CN58" s="64">
        <f t="shared" si="122"/>
        <v>0.40654625977441006</v>
      </c>
      <c r="CO58" s="64">
        <f t="shared" ref="CO58" si="123">CO50/CO52</f>
        <v>0.38240793836794734</v>
      </c>
      <c r="CP58" s="64">
        <f t="shared" ref="CP58:CQ58" si="124">CP50/CP52</f>
        <v>0.38538736591179978</v>
      </c>
      <c r="CQ58" s="64">
        <f t="shared" si="124"/>
        <v>0.38587687886321648</v>
      </c>
    </row>
    <row r="59" spans="2:156">
      <c r="B59" s="1" t="s">
        <v>1454</v>
      </c>
      <c r="AU59" s="64">
        <f t="shared" ref="AU59:BP59" si="125">AU51/AU52</f>
        <v>0.63033911467771164</v>
      </c>
      <c r="AV59" s="64">
        <f t="shared" si="125"/>
        <v>0.64001091703056767</v>
      </c>
      <c r="AW59" s="64">
        <f t="shared" si="125"/>
        <v>0.630377724523565</v>
      </c>
      <c r="AX59" s="64">
        <f t="shared" si="125"/>
        <v>0.63442668909447719</v>
      </c>
      <c r="AY59" s="64">
        <f t="shared" si="125"/>
        <v>0.63293802601377203</v>
      </c>
      <c r="AZ59" s="64">
        <f t="shared" si="125"/>
        <v>0.6497114349995109</v>
      </c>
      <c r="BA59" s="64">
        <f t="shared" si="125"/>
        <v>0.6002928257686676</v>
      </c>
      <c r="BB59" s="64">
        <f t="shared" si="125"/>
        <v>0.60193582141611446</v>
      </c>
      <c r="BC59" s="64">
        <f t="shared" si="125"/>
        <v>0.60008624407072009</v>
      </c>
      <c r="BD59" s="64">
        <f t="shared" si="125"/>
        <v>0.56542595718219779</v>
      </c>
      <c r="BE59" s="64">
        <f t="shared" si="125"/>
        <v>0.60672430355427476</v>
      </c>
      <c r="BF59" s="64">
        <f t="shared" si="125"/>
        <v>0.60340897829749285</v>
      </c>
      <c r="BG59" s="64">
        <f t="shared" si="125"/>
        <v>0.59700420642248897</v>
      </c>
      <c r="BH59" s="64">
        <f t="shared" si="125"/>
        <v>0.62337141711765887</v>
      </c>
      <c r="BI59" s="64">
        <f t="shared" si="125"/>
        <v>0.6236813566006113</v>
      </c>
      <c r="BJ59" s="64">
        <f t="shared" si="125"/>
        <v>0.62552485108876088</v>
      </c>
      <c r="BK59" s="64">
        <f t="shared" si="125"/>
        <v>0.61401043757527096</v>
      </c>
      <c r="BL59" s="64">
        <f t="shared" si="125"/>
        <v>0.6199286884456009</v>
      </c>
      <c r="BM59" s="64">
        <f t="shared" si="125"/>
        <v>0.60488951574988248</v>
      </c>
      <c r="BN59" s="64">
        <f t="shared" si="125"/>
        <v>0.61955531255695284</v>
      </c>
      <c r="BO59" s="64">
        <f t="shared" si="125"/>
        <v>0.59760571538907126</v>
      </c>
      <c r="BP59" s="64">
        <f t="shared" si="125"/>
        <v>0.61622688924789082</v>
      </c>
      <c r="BQ59" s="64">
        <f t="shared" ref="BQ59:BR59" si="126">BQ51/BQ52</f>
        <v>0.62186647902190162</v>
      </c>
      <c r="BR59" s="64">
        <f t="shared" si="126"/>
        <v>0.61955531255695284</v>
      </c>
      <c r="BS59" s="64">
        <f t="shared" ref="BS59:BT59" si="127">BS51/BS52</f>
        <v>0.61716230741669653</v>
      </c>
      <c r="BT59" s="64">
        <f t="shared" si="127"/>
        <v>0.61716230741669653</v>
      </c>
      <c r="CL59" s="64">
        <f t="shared" ref="CL59:CN59" si="128">CL51/CL52</f>
        <v>0.63366938988353905</v>
      </c>
      <c r="CM59" s="64">
        <f t="shared" si="128"/>
        <v>0.62038305281485784</v>
      </c>
      <c r="CN59" s="64">
        <f t="shared" si="128"/>
        <v>0.59345374022558994</v>
      </c>
      <c r="CO59" s="64">
        <f t="shared" ref="CO59" si="129">CO51/CO52</f>
        <v>0.6175920616320526</v>
      </c>
      <c r="CP59" s="64">
        <f t="shared" ref="CP59:CQ59" si="130">CP51/CP52</f>
        <v>0.61461263408820022</v>
      </c>
      <c r="CQ59" s="64">
        <f t="shared" si="130"/>
        <v>0.61412312113678358</v>
      </c>
    </row>
    <row r="61" spans="2:156" s="2" customFormat="1" ht="15">
      <c r="B61" s="2" t="s">
        <v>52</v>
      </c>
      <c r="C61" s="66">
        <v>6718.4</v>
      </c>
      <c r="D61" s="66">
        <v>7494.9</v>
      </c>
      <c r="E61" s="66">
        <v>7761.3</v>
      </c>
      <c r="F61" s="66">
        <v>8790.1</v>
      </c>
      <c r="G61" s="66">
        <v>7698.4</v>
      </c>
      <c r="H61" s="66">
        <v>8826</v>
      </c>
      <c r="I61" s="66">
        <v>8674.5</v>
      </c>
      <c r="J61" s="66">
        <v>9967.7999999999993</v>
      </c>
      <c r="K61" s="66">
        <v>9040.7999999999993</v>
      </c>
      <c r="L61" s="66">
        <v>9616.2999999999993</v>
      </c>
      <c r="M61" s="66">
        <v>9816.7000000000007</v>
      </c>
      <c r="N61" s="66">
        <v>10377</v>
      </c>
      <c r="O61" s="66">
        <v>5283.7</v>
      </c>
      <c r="P61" s="66">
        <v>5313.3</v>
      </c>
      <c r="Q61" s="66">
        <v>5264.8</v>
      </c>
      <c r="R61" s="66">
        <v>3188.2</v>
      </c>
      <c r="S61" s="66">
        <v>5378</v>
      </c>
      <c r="T61" s="66">
        <v>5446</v>
      </c>
      <c r="U61" s="66">
        <v>4825</v>
      </c>
      <c r="V61" s="66">
        <v>4008</v>
      </c>
      <c r="W61" s="66">
        <v>4755</v>
      </c>
      <c r="X61" s="66">
        <v>5057</v>
      </c>
      <c r="Y61" s="66">
        <v>5079</v>
      </c>
      <c r="Z61" s="66">
        <v>5331</v>
      </c>
      <c r="AA61" s="66">
        <v>4897</v>
      </c>
      <c r="AB61" s="66">
        <v>5170</v>
      </c>
      <c r="AC61" s="66">
        <v>5150</v>
      </c>
      <c r="AD61" s="66">
        <v>5188</v>
      </c>
      <c r="AE61" s="66">
        <v>4885</v>
      </c>
      <c r="AF61" s="66">
        <v>5333</v>
      </c>
      <c r="AG61" s="66">
        <v>5302</v>
      </c>
      <c r="AH61" s="66">
        <v>5333</v>
      </c>
      <c r="AI61" s="66">
        <v>6335</v>
      </c>
      <c r="AJ61" s="66">
        <v>6637</v>
      </c>
      <c r="AK61" s="66">
        <v>6829</v>
      </c>
      <c r="AL61" s="66">
        <v>7589</v>
      </c>
      <c r="AM61" s="66">
        <v>7390</v>
      </c>
      <c r="AN61" s="66">
        <v>7767</v>
      </c>
      <c r="AO61" s="66">
        <v>7656</v>
      </c>
      <c r="AP61" s="66">
        <v>7765</v>
      </c>
      <c r="AQ61" s="66">
        <v>7535</v>
      </c>
      <c r="AR61" s="66">
        <v>7979</v>
      </c>
      <c r="AS61" s="66">
        <v>8076</v>
      </c>
      <c r="AT61" s="66">
        <v>8314</v>
      </c>
      <c r="AU61" s="2">
        <f t="shared" ref="AU61:BO61" si="131">AU22</f>
        <v>7726</v>
      </c>
      <c r="AV61" s="2">
        <f t="shared" si="131"/>
        <v>7328</v>
      </c>
      <c r="AW61" s="2">
        <f t="shared" si="131"/>
        <v>8853</v>
      </c>
      <c r="AX61" s="2">
        <f t="shared" si="131"/>
        <v>10701</v>
      </c>
      <c r="AY61" s="2">
        <f t="shared" si="131"/>
        <v>10456</v>
      </c>
      <c r="AZ61" s="2">
        <f t="shared" si="131"/>
        <v>10223</v>
      </c>
      <c r="BA61" s="2">
        <f t="shared" si="131"/>
        <v>10928</v>
      </c>
      <c r="BB61" s="2">
        <f t="shared" si="131"/>
        <v>11468</v>
      </c>
      <c r="BC61" s="2">
        <f t="shared" si="131"/>
        <v>11895</v>
      </c>
      <c r="BD61" s="2">
        <f t="shared" si="131"/>
        <v>11257</v>
      </c>
      <c r="BE61" s="2">
        <f t="shared" si="131"/>
        <v>10410</v>
      </c>
      <c r="BF61" s="2">
        <f t="shared" si="131"/>
        <v>10091</v>
      </c>
      <c r="BG61" s="2">
        <f t="shared" si="131"/>
        <v>9747</v>
      </c>
      <c r="BH61" s="2">
        <f t="shared" si="131"/>
        <v>9978</v>
      </c>
      <c r="BI61" s="2">
        <f t="shared" si="131"/>
        <v>10143</v>
      </c>
      <c r="BJ61" s="2">
        <f t="shared" si="131"/>
        <v>10241</v>
      </c>
      <c r="BK61" s="2">
        <f t="shared" si="131"/>
        <v>9964</v>
      </c>
      <c r="BL61" s="2">
        <f t="shared" si="131"/>
        <v>10377</v>
      </c>
      <c r="BM61" s="2">
        <f t="shared" si="131"/>
        <v>10635</v>
      </c>
      <c r="BN61" s="2">
        <f t="shared" si="131"/>
        <v>10974</v>
      </c>
      <c r="BO61" s="2">
        <f t="shared" si="131"/>
        <v>10358</v>
      </c>
      <c r="BP61" s="2">
        <f t="shared" ref="BP61:BR61" si="132">BP22</f>
        <v>11142</v>
      </c>
      <c r="BQ61" s="2">
        <f t="shared" si="132"/>
        <v>11369</v>
      </c>
      <c r="BR61" s="2">
        <f t="shared" si="132"/>
        <v>11459</v>
      </c>
      <c r="BS61" s="2">
        <f t="shared" ref="BS61" si="133">BS22</f>
        <v>11164</v>
      </c>
      <c r="BT61" s="2">
        <v>12593</v>
      </c>
      <c r="BU61" s="34"/>
      <c r="BV61" s="34"/>
      <c r="CA61" s="66">
        <f>SUM(C61:F61)</f>
        <v>30764.699999999997</v>
      </c>
      <c r="CB61" s="66">
        <f>SUM(G61:J61)</f>
        <v>35166.699999999997</v>
      </c>
      <c r="CC61" s="66">
        <f>SUM(K61:N61)</f>
        <v>38850.800000000003</v>
      </c>
      <c r="CD61" s="66">
        <f t="shared" ref="CD61:CD68" si="134">SUM(O61:R61)</f>
        <v>19050</v>
      </c>
      <c r="CE61" s="66">
        <f t="shared" ref="CE61:CE68" si="135">SUM(S61:V61)</f>
        <v>19657</v>
      </c>
      <c r="CF61" s="66">
        <f t="shared" ref="CF61:CF68" si="136">SUM(W61:Z61)</f>
        <v>20222</v>
      </c>
      <c r="CG61" s="66">
        <f t="shared" ref="CG61:CG68" si="137">SUM(AA61:AD61)</f>
        <v>20405</v>
      </c>
      <c r="CH61" s="66">
        <f t="shared" ref="CH61:CH68" si="138">SUM(AE61:AH61)</f>
        <v>20853</v>
      </c>
      <c r="CI61" s="66">
        <f t="shared" ref="CI61:CI68" si="139">SUM(AI61:AL61)</f>
        <v>27390</v>
      </c>
      <c r="CJ61" s="66">
        <f t="shared" ref="CJ61:CJ68" si="140">SUM(AM61:AP61)</f>
        <v>30578</v>
      </c>
      <c r="CK61" s="66">
        <f t="shared" ref="CK61:CK68" si="141">SUM(AQ61:AT61)</f>
        <v>31904</v>
      </c>
      <c r="CL61" s="66">
        <f t="shared" ref="CL61:CL75" si="142">SUM(AU61:AX61)</f>
        <v>34608</v>
      </c>
      <c r="CM61" s="66">
        <f t="shared" ref="CM61:CM75" si="143">SUM(AY61:BB61)</f>
        <v>43075</v>
      </c>
      <c r="CN61" s="66">
        <f t="shared" ref="CN61:CN75" si="144">SUM(BC61:BF61)</f>
        <v>43653</v>
      </c>
      <c r="CO61" s="66">
        <f t="shared" ref="CO61:CO75" si="145">SUM(BG61:BJ61)</f>
        <v>40109</v>
      </c>
      <c r="CP61" s="66">
        <f t="shared" ref="CP61:CP75" si="146">SUM(BK61:BN61)</f>
        <v>41950</v>
      </c>
      <c r="CQ61" s="66">
        <f>CQ22</f>
        <v>44328</v>
      </c>
      <c r="CR61" s="68">
        <f t="shared" ref="CR61:CZ61" si="147">CR22</f>
        <v>48118.294500000004</v>
      </c>
      <c r="CS61" s="68">
        <f t="shared" si="147"/>
        <v>51651.053360000005</v>
      </c>
      <c r="CT61" s="68">
        <f t="shared" si="147"/>
        <v>56419.163911999996</v>
      </c>
      <c r="CU61" s="68">
        <f t="shared" si="147"/>
        <v>61404.194251374807</v>
      </c>
      <c r="CV61" s="68">
        <f t="shared" si="147"/>
        <v>66831.527217908544</v>
      </c>
      <c r="CW61" s="68">
        <f t="shared" si="147"/>
        <v>72209.721991452156</v>
      </c>
      <c r="CX61" s="68">
        <f t="shared" si="147"/>
        <v>77418.725578056488</v>
      </c>
      <c r="CY61" s="68">
        <f t="shared" si="147"/>
        <v>82064.659768915415</v>
      </c>
      <c r="CZ61" s="68">
        <f t="shared" si="147"/>
        <v>86326.412828323053</v>
      </c>
      <c r="DA61" s="34"/>
      <c r="DB61" s="34"/>
      <c r="DC61" s="34"/>
      <c r="DD61" s="34"/>
      <c r="DE61" s="34"/>
      <c r="DF61" s="34"/>
      <c r="DG61" s="34"/>
      <c r="DH61" s="34"/>
      <c r="DI61" s="34"/>
      <c r="DJ61" s="34"/>
      <c r="DK61" s="34"/>
      <c r="DL61" s="34"/>
      <c r="DM61" s="34"/>
      <c r="DN61" s="34"/>
      <c r="DO61" s="34"/>
      <c r="DP61" s="34"/>
      <c r="DQ61" s="34"/>
      <c r="DR61" s="34"/>
      <c r="DS61" s="34"/>
      <c r="DT61" s="34"/>
      <c r="DU61" s="34"/>
      <c r="DV61" s="34"/>
      <c r="DW61" s="34"/>
      <c r="DX61" s="34"/>
      <c r="DY61" s="34"/>
      <c r="DZ61" s="34"/>
      <c r="EA61" s="34"/>
      <c r="EB61" s="34"/>
      <c r="EC61" s="34"/>
      <c r="ED61" s="34"/>
      <c r="EE61" s="34"/>
      <c r="EF61" s="34"/>
      <c r="EG61" s="34"/>
      <c r="EH61" s="34"/>
      <c r="EI61" s="34"/>
      <c r="EJ61" s="34"/>
      <c r="EK61" s="34"/>
      <c r="EL61" s="34"/>
      <c r="EM61" s="34"/>
      <c r="EN61" s="34"/>
      <c r="EO61" s="34"/>
      <c r="EP61" s="34"/>
      <c r="EQ61" s="34"/>
      <c r="ER61" s="34"/>
      <c r="ES61" s="34"/>
      <c r="ET61" s="34"/>
      <c r="EU61" s="34"/>
      <c r="EV61" s="34"/>
      <c r="EW61" s="34"/>
      <c r="EX61" s="34"/>
      <c r="EY61" s="34"/>
      <c r="EZ61" s="34"/>
    </row>
    <row r="62" spans="2:156">
      <c r="B62" s="1" t="s">
        <v>57</v>
      </c>
      <c r="C62" s="67">
        <v>2935.9</v>
      </c>
      <c r="D62" s="67">
        <v>3129</v>
      </c>
      <c r="E62" s="67">
        <v>3360.2</v>
      </c>
      <c r="F62" s="67">
        <v>3784.2</v>
      </c>
      <c r="G62" s="67">
        <v>3335.1</v>
      </c>
      <c r="H62" s="67">
        <v>3543.9</v>
      </c>
      <c r="I62" s="67">
        <v>3741.1</v>
      </c>
      <c r="J62" s="67">
        <v>4045</v>
      </c>
      <c r="K62" s="67">
        <v>3859</v>
      </c>
      <c r="L62" s="67">
        <v>3870.5</v>
      </c>
      <c r="M62" s="67">
        <v>3973.2</v>
      </c>
      <c r="N62" s="67">
        <v>3838</v>
      </c>
      <c r="O62" s="67">
        <v>2359.1999999999998</v>
      </c>
      <c r="P62" s="67">
        <v>2370.1</v>
      </c>
      <c r="Q62" s="67">
        <v>2488.9</v>
      </c>
      <c r="R62" s="67">
        <v>1680.9</v>
      </c>
      <c r="S62" s="67">
        <v>2432</v>
      </c>
      <c r="T62" s="67">
        <v>2545</v>
      </c>
      <c r="U62" s="67">
        <v>2255</v>
      </c>
      <c r="V62" s="67">
        <v>1961</v>
      </c>
      <c r="W62" s="67">
        <v>2274</v>
      </c>
      <c r="X62" s="67">
        <v>2288</v>
      </c>
      <c r="Y62" s="67">
        <v>2319</v>
      </c>
      <c r="Z62" s="67">
        <v>2325</v>
      </c>
      <c r="AA62" s="67">
        <v>2081</v>
      </c>
      <c r="AB62" s="67">
        <v>2218</v>
      </c>
      <c r="AC62" s="67">
        <v>2242</v>
      </c>
      <c r="AD62" s="67">
        <v>2206</v>
      </c>
      <c r="AE62" s="67">
        <v>2140</v>
      </c>
      <c r="AF62" s="67">
        <v>2287</v>
      </c>
      <c r="AG62" s="67">
        <v>2285</v>
      </c>
      <c r="AH62" s="67">
        <v>2382</v>
      </c>
      <c r="AI62" s="67">
        <v>3062</v>
      </c>
      <c r="AJ62" s="67">
        <v>3189</v>
      </c>
      <c r="AK62" s="67">
        <v>2876</v>
      </c>
      <c r="AL62" s="67">
        <v>3282</v>
      </c>
      <c r="AM62" s="67">
        <v>3067</v>
      </c>
      <c r="AN62" s="67">
        <v>3282</v>
      </c>
      <c r="AO62" s="67">
        <v>3166</v>
      </c>
      <c r="AP62" s="67">
        <v>3191</v>
      </c>
      <c r="AQ62" s="67">
        <v>3160</v>
      </c>
      <c r="AR62" s="67">
        <v>3279</v>
      </c>
      <c r="AS62" s="67">
        <v>3358</v>
      </c>
      <c r="AT62" s="67">
        <v>3434</v>
      </c>
      <c r="AU62" s="1">
        <v>3281</v>
      </c>
      <c r="AV62" s="1">
        <v>3263</v>
      </c>
      <c r="AW62" s="1">
        <v>3966</v>
      </c>
      <c r="AX62" s="1">
        <f>15003-SUM(AU62:AW62)</f>
        <v>4493</v>
      </c>
      <c r="AY62" s="1">
        <v>4401</v>
      </c>
      <c r="AZ62" s="1">
        <v>4947</v>
      </c>
      <c r="BA62" s="1">
        <v>4423</v>
      </c>
      <c r="BB62" s="1">
        <f>18537-SUM(AY62:BA62)</f>
        <v>4766</v>
      </c>
      <c r="BC62" s="1">
        <v>4987</v>
      </c>
      <c r="BD62" s="1">
        <v>4933</v>
      </c>
      <c r="BE62" s="1">
        <v>4629</v>
      </c>
      <c r="BF62" s="1">
        <f>19142-SUM(BC62:BE62)</f>
        <v>4593</v>
      </c>
      <c r="BG62" s="1">
        <v>4331</v>
      </c>
      <c r="BH62" s="1">
        <v>4483</v>
      </c>
      <c r="BI62" s="1">
        <v>4605</v>
      </c>
      <c r="BJ62" s="1">
        <f>17975-SUM(BG62:BI62)</f>
        <v>4556</v>
      </c>
      <c r="BK62" s="1">
        <v>4463</v>
      </c>
      <c r="BL62" s="1">
        <v>4603</v>
      </c>
      <c r="BM62" s="1">
        <v>4698</v>
      </c>
      <c r="BN62" s="1">
        <f>18706-SUM(BK62:BM62)</f>
        <v>4942</v>
      </c>
      <c r="BO62" s="1">
        <v>4468</v>
      </c>
      <c r="BP62" s="1">
        <v>4854</v>
      </c>
      <c r="BQ62" s="1">
        <v>5075</v>
      </c>
      <c r="BR62" s="1">
        <v>4922</v>
      </c>
      <c r="BS62" s="1">
        <v>4890</v>
      </c>
      <c r="BT62" s="1">
        <v>5325</v>
      </c>
      <c r="CA62" s="67">
        <f t="shared" ref="CA62:CA68" si="148">SUM(C62:F62)</f>
        <v>13209.3</v>
      </c>
      <c r="CB62" s="67">
        <f t="shared" ref="CB62:CB68" si="149">SUM(G62:J62)</f>
        <v>14665.1</v>
      </c>
      <c r="CC62" s="67">
        <f t="shared" ref="CC62:CC68" si="150">SUM(K62:N62)</f>
        <v>15540.7</v>
      </c>
      <c r="CD62" s="67">
        <f t="shared" si="134"/>
        <v>8899.0999999999985</v>
      </c>
      <c r="CE62" s="67">
        <f t="shared" si="135"/>
        <v>9193</v>
      </c>
      <c r="CF62" s="67">
        <f t="shared" si="136"/>
        <v>9206</v>
      </c>
      <c r="CG62" s="67">
        <f t="shared" si="137"/>
        <v>8747</v>
      </c>
      <c r="CH62" s="67">
        <f t="shared" si="138"/>
        <v>9094</v>
      </c>
      <c r="CI62" s="67">
        <f t="shared" si="139"/>
        <v>12409</v>
      </c>
      <c r="CJ62" s="67">
        <f t="shared" si="140"/>
        <v>12706</v>
      </c>
      <c r="CK62" s="67">
        <f t="shared" si="141"/>
        <v>13231</v>
      </c>
      <c r="CL62" s="67">
        <f t="shared" si="142"/>
        <v>15003</v>
      </c>
      <c r="CM62" s="67">
        <f t="shared" si="143"/>
        <v>18537</v>
      </c>
      <c r="CN62" s="67">
        <f t="shared" si="144"/>
        <v>19142</v>
      </c>
      <c r="CO62" s="67">
        <f t="shared" si="145"/>
        <v>17975</v>
      </c>
      <c r="CP62" s="67">
        <f t="shared" si="146"/>
        <v>18706</v>
      </c>
      <c r="CQ62" s="1">
        <f t="shared" ref="CQ62:CQ77" si="151">SUM(BO62:BR62)</f>
        <v>19319</v>
      </c>
      <c r="CR62" s="69">
        <f t="shared" ref="CR62:CZ62" si="152">CR61*(1-CR79)</f>
        <v>21412.641052499999</v>
      </c>
      <c r="CS62" s="69">
        <f t="shared" si="152"/>
        <v>22933.067691839999</v>
      </c>
      <c r="CT62" s="69">
        <f t="shared" si="152"/>
        <v>24993.689613015995</v>
      </c>
      <c r="CU62" s="69">
        <f t="shared" si="152"/>
        <v>27140.653859107661</v>
      </c>
      <c r="CV62" s="69">
        <f t="shared" si="152"/>
        <v>29472.703503097666</v>
      </c>
      <c r="CW62" s="69">
        <f t="shared" si="152"/>
        <v>31772.277676238944</v>
      </c>
      <c r="CX62" s="69">
        <f t="shared" si="152"/>
        <v>34064.239254344851</v>
      </c>
      <c r="CY62" s="69">
        <f t="shared" si="152"/>
        <v>36108.450298322779</v>
      </c>
      <c r="CZ62" s="69">
        <f t="shared" si="152"/>
        <v>37983.621644462139</v>
      </c>
    </row>
    <row r="63" spans="2:156">
      <c r="B63" s="1" t="s">
        <v>58</v>
      </c>
      <c r="C63" s="67">
        <f t="shared" ref="C63:AT63" si="153">C61-C62</f>
        <v>3782.4999999999995</v>
      </c>
      <c r="D63" s="67">
        <f t="shared" si="153"/>
        <v>4365.8999999999996</v>
      </c>
      <c r="E63" s="67">
        <f t="shared" si="153"/>
        <v>4401.1000000000004</v>
      </c>
      <c r="F63" s="67">
        <f t="shared" si="153"/>
        <v>5005.9000000000005</v>
      </c>
      <c r="G63" s="67">
        <f t="shared" si="153"/>
        <v>4363.2999999999993</v>
      </c>
      <c r="H63" s="67">
        <f t="shared" si="153"/>
        <v>5282.1</v>
      </c>
      <c r="I63" s="67">
        <f t="shared" si="153"/>
        <v>4933.3999999999996</v>
      </c>
      <c r="J63" s="67">
        <f t="shared" si="153"/>
        <v>5922.7999999999993</v>
      </c>
      <c r="K63" s="67">
        <f t="shared" si="153"/>
        <v>5181.7999999999993</v>
      </c>
      <c r="L63" s="67">
        <f t="shared" si="153"/>
        <v>5745.7999999999993</v>
      </c>
      <c r="M63" s="67">
        <f t="shared" si="153"/>
        <v>5843.5000000000009</v>
      </c>
      <c r="N63" s="67">
        <f t="shared" si="153"/>
        <v>6539</v>
      </c>
      <c r="O63" s="67">
        <f t="shared" si="153"/>
        <v>2924.5</v>
      </c>
      <c r="P63" s="67">
        <f t="shared" si="153"/>
        <v>2943.2000000000003</v>
      </c>
      <c r="Q63" s="67">
        <f t="shared" si="153"/>
        <v>2775.9</v>
      </c>
      <c r="R63" s="67">
        <f t="shared" si="153"/>
        <v>1507.2999999999997</v>
      </c>
      <c r="S63" s="67">
        <f t="shared" si="153"/>
        <v>2946</v>
      </c>
      <c r="T63" s="67">
        <f t="shared" si="153"/>
        <v>2901</v>
      </c>
      <c r="U63" s="67">
        <f t="shared" si="153"/>
        <v>2570</v>
      </c>
      <c r="V63" s="67">
        <f t="shared" si="153"/>
        <v>2047</v>
      </c>
      <c r="W63" s="67">
        <f t="shared" si="153"/>
        <v>2481</v>
      </c>
      <c r="X63" s="67">
        <f t="shared" si="153"/>
        <v>2769</v>
      </c>
      <c r="Y63" s="67">
        <f t="shared" si="153"/>
        <v>2760</v>
      </c>
      <c r="Z63" s="67">
        <f t="shared" si="153"/>
        <v>3006</v>
      </c>
      <c r="AA63" s="67">
        <f t="shared" si="153"/>
        <v>2816</v>
      </c>
      <c r="AB63" s="67">
        <f t="shared" si="153"/>
        <v>2952</v>
      </c>
      <c r="AC63" s="67">
        <f t="shared" si="153"/>
        <v>2908</v>
      </c>
      <c r="AD63" s="67">
        <f t="shared" si="153"/>
        <v>2982</v>
      </c>
      <c r="AE63" s="67">
        <f t="shared" si="153"/>
        <v>2745</v>
      </c>
      <c r="AF63" s="67">
        <f t="shared" si="153"/>
        <v>3046</v>
      </c>
      <c r="AG63" s="67">
        <f t="shared" si="153"/>
        <v>3017</v>
      </c>
      <c r="AH63" s="67">
        <f t="shared" si="153"/>
        <v>2951</v>
      </c>
      <c r="AI63" s="67">
        <f t="shared" si="153"/>
        <v>3273</v>
      </c>
      <c r="AJ63" s="67">
        <f t="shared" si="153"/>
        <v>3448</v>
      </c>
      <c r="AK63" s="67">
        <f t="shared" si="153"/>
        <v>3953</v>
      </c>
      <c r="AL63" s="67">
        <f t="shared" si="153"/>
        <v>4307</v>
      </c>
      <c r="AM63" s="67">
        <f t="shared" si="153"/>
        <v>4323</v>
      </c>
      <c r="AN63" s="67">
        <f t="shared" si="153"/>
        <v>4485</v>
      </c>
      <c r="AO63" s="67">
        <f t="shared" si="153"/>
        <v>4490</v>
      </c>
      <c r="AP63" s="67">
        <f t="shared" si="153"/>
        <v>4574</v>
      </c>
      <c r="AQ63" s="67">
        <f t="shared" si="153"/>
        <v>4375</v>
      </c>
      <c r="AR63" s="67">
        <f t="shared" si="153"/>
        <v>4700</v>
      </c>
      <c r="AS63" s="67">
        <f t="shared" si="153"/>
        <v>4718</v>
      </c>
      <c r="AT63" s="67">
        <f t="shared" si="153"/>
        <v>4880</v>
      </c>
      <c r="AU63" s="1">
        <f t="shared" ref="AU63:BN63" si="154">AU61-AU62</f>
        <v>4445</v>
      </c>
      <c r="AV63" s="1">
        <f t="shared" si="154"/>
        <v>4065</v>
      </c>
      <c r="AW63" s="1">
        <f t="shared" si="154"/>
        <v>4887</v>
      </c>
      <c r="AX63" s="1">
        <f t="shared" si="154"/>
        <v>6208</v>
      </c>
      <c r="AY63" s="1">
        <f t="shared" si="154"/>
        <v>6055</v>
      </c>
      <c r="AZ63" s="1">
        <f t="shared" si="154"/>
        <v>5276</v>
      </c>
      <c r="BA63" s="1">
        <f t="shared" si="154"/>
        <v>6505</v>
      </c>
      <c r="BB63" s="1">
        <f t="shared" si="154"/>
        <v>6702</v>
      </c>
      <c r="BC63" s="1">
        <f t="shared" si="154"/>
        <v>6908</v>
      </c>
      <c r="BD63" s="1">
        <f t="shared" si="154"/>
        <v>6324</v>
      </c>
      <c r="BE63" s="1">
        <f t="shared" si="154"/>
        <v>5781</v>
      </c>
      <c r="BF63" s="1">
        <f t="shared" si="154"/>
        <v>5498</v>
      </c>
      <c r="BG63" s="1">
        <f t="shared" si="154"/>
        <v>5416</v>
      </c>
      <c r="BH63" s="1">
        <f t="shared" si="154"/>
        <v>5495</v>
      </c>
      <c r="BI63" s="1">
        <f t="shared" si="154"/>
        <v>5538</v>
      </c>
      <c r="BJ63" s="1">
        <f t="shared" si="154"/>
        <v>5685</v>
      </c>
      <c r="BK63" s="1">
        <f t="shared" si="154"/>
        <v>5501</v>
      </c>
      <c r="BL63" s="1">
        <f t="shared" si="154"/>
        <v>5774</v>
      </c>
      <c r="BM63" s="1">
        <f t="shared" si="154"/>
        <v>5937</v>
      </c>
      <c r="BN63" s="1">
        <f t="shared" si="154"/>
        <v>6032</v>
      </c>
      <c r="BO63" s="1">
        <f>BO61-BO62</f>
        <v>5890</v>
      </c>
      <c r="BP63" s="1">
        <f t="shared" ref="BP63:BR63" si="155">BP61-BP62</f>
        <v>6288</v>
      </c>
      <c r="BQ63" s="1">
        <f t="shared" si="155"/>
        <v>6294</v>
      </c>
      <c r="BR63" s="1">
        <f t="shared" si="155"/>
        <v>6537</v>
      </c>
      <c r="BS63" s="1">
        <f t="shared" ref="BS63:BT63" si="156">BS61-BS62</f>
        <v>6274</v>
      </c>
      <c r="BT63" s="1">
        <f t="shared" si="156"/>
        <v>7268</v>
      </c>
      <c r="CA63" s="67">
        <f t="shared" si="148"/>
        <v>17555.400000000001</v>
      </c>
      <c r="CB63" s="67">
        <f t="shared" si="149"/>
        <v>20501.599999999999</v>
      </c>
      <c r="CC63" s="67">
        <f t="shared" si="150"/>
        <v>23310.1</v>
      </c>
      <c r="CD63" s="67">
        <f t="shared" si="134"/>
        <v>10150.9</v>
      </c>
      <c r="CE63" s="67">
        <f t="shared" si="135"/>
        <v>10464</v>
      </c>
      <c r="CF63" s="67">
        <f t="shared" si="136"/>
        <v>11016</v>
      </c>
      <c r="CG63" s="67">
        <f t="shared" si="137"/>
        <v>11658</v>
      </c>
      <c r="CH63" s="67">
        <f t="shared" si="138"/>
        <v>11759</v>
      </c>
      <c r="CI63" s="67">
        <f t="shared" si="139"/>
        <v>14981</v>
      </c>
      <c r="CJ63" s="67">
        <f t="shared" si="140"/>
        <v>17872</v>
      </c>
      <c r="CK63" s="67">
        <f t="shared" si="141"/>
        <v>18673</v>
      </c>
      <c r="CL63" s="67">
        <f t="shared" si="142"/>
        <v>19605</v>
      </c>
      <c r="CM63" s="67">
        <f t="shared" si="143"/>
        <v>24538</v>
      </c>
      <c r="CN63" s="67">
        <f t="shared" si="144"/>
        <v>24511</v>
      </c>
      <c r="CO63" s="67">
        <f t="shared" si="145"/>
        <v>22134</v>
      </c>
      <c r="CP63" s="67">
        <f t="shared" si="146"/>
        <v>23244</v>
      </c>
      <c r="CQ63" s="1">
        <f t="shared" si="151"/>
        <v>25009</v>
      </c>
      <c r="CR63" s="69">
        <f t="shared" ref="CR63:CZ63" si="157">CR61-CR62</f>
        <v>26705.653447500004</v>
      </c>
      <c r="CS63" s="69">
        <f t="shared" si="157"/>
        <v>28717.985668160007</v>
      </c>
      <c r="CT63" s="69">
        <f t="shared" si="157"/>
        <v>31425.474298984002</v>
      </c>
      <c r="CU63" s="69">
        <f t="shared" si="157"/>
        <v>34263.540392267147</v>
      </c>
      <c r="CV63" s="69">
        <f t="shared" si="157"/>
        <v>37358.823714810875</v>
      </c>
      <c r="CW63" s="69">
        <f t="shared" si="157"/>
        <v>40437.444315213215</v>
      </c>
      <c r="CX63" s="69">
        <f t="shared" si="157"/>
        <v>43354.486323711637</v>
      </c>
      <c r="CY63" s="69">
        <f t="shared" si="157"/>
        <v>45956.209470592636</v>
      </c>
      <c r="CZ63" s="69">
        <f t="shared" si="157"/>
        <v>48342.791183860914</v>
      </c>
    </row>
    <row r="64" spans="2:156">
      <c r="B64" s="1" t="s">
        <v>1455</v>
      </c>
      <c r="C64" s="67">
        <v>0</v>
      </c>
      <c r="D64" s="67">
        <v>0</v>
      </c>
      <c r="E64" s="67">
        <v>0</v>
      </c>
      <c r="F64" s="67">
        <v>0</v>
      </c>
      <c r="G64" s="67">
        <v>0</v>
      </c>
      <c r="H64" s="67">
        <v>0</v>
      </c>
      <c r="I64" s="67">
        <v>0</v>
      </c>
      <c r="J64" s="67">
        <v>0</v>
      </c>
      <c r="K64" s="67">
        <v>0</v>
      </c>
      <c r="L64" s="67">
        <v>0</v>
      </c>
      <c r="M64" s="67">
        <v>0</v>
      </c>
      <c r="N64" s="67">
        <v>0</v>
      </c>
      <c r="O64" s="67">
        <v>0</v>
      </c>
      <c r="P64" s="67">
        <v>0</v>
      </c>
      <c r="Q64" s="67">
        <v>0</v>
      </c>
      <c r="R64" s="67">
        <v>0</v>
      </c>
      <c r="S64" s="67">
        <v>0</v>
      </c>
      <c r="T64" s="67">
        <v>0</v>
      </c>
      <c r="U64" s="67">
        <v>0</v>
      </c>
      <c r="V64" s="67">
        <v>0</v>
      </c>
      <c r="W64" s="67">
        <v>0</v>
      </c>
      <c r="X64" s="67">
        <v>0</v>
      </c>
      <c r="Y64" s="67">
        <v>0</v>
      </c>
      <c r="Z64" s="67">
        <v>0</v>
      </c>
      <c r="AA64" s="67">
        <v>0</v>
      </c>
      <c r="AB64" s="67">
        <v>0</v>
      </c>
      <c r="AC64" s="67">
        <v>0</v>
      </c>
      <c r="AD64" s="67">
        <v>0</v>
      </c>
      <c r="AE64" s="67">
        <v>0</v>
      </c>
      <c r="AF64" s="67">
        <v>0</v>
      </c>
      <c r="AG64" s="67">
        <v>0</v>
      </c>
      <c r="AH64" s="67">
        <v>0</v>
      </c>
      <c r="AI64" s="67">
        <v>0</v>
      </c>
      <c r="AJ64" s="67">
        <v>0</v>
      </c>
      <c r="AK64" s="67">
        <v>0</v>
      </c>
      <c r="AL64" s="67">
        <v>0</v>
      </c>
      <c r="AM64" s="67">
        <v>0</v>
      </c>
      <c r="AN64" s="67">
        <v>0</v>
      </c>
      <c r="AO64" s="67">
        <v>0</v>
      </c>
      <c r="AP64" s="67">
        <v>0</v>
      </c>
      <c r="AQ64" s="67">
        <v>0</v>
      </c>
      <c r="AR64" s="67">
        <v>0</v>
      </c>
      <c r="AS64" s="67">
        <v>0</v>
      </c>
      <c r="AT64" s="67">
        <v>0</v>
      </c>
      <c r="AU64" s="1">
        <v>561</v>
      </c>
      <c r="AV64" s="1">
        <v>553</v>
      </c>
      <c r="AW64" s="1">
        <v>510</v>
      </c>
      <c r="AX64" s="1">
        <f>2132-SUM(AU64:AW64)</f>
        <v>508</v>
      </c>
      <c r="AY64" s="1">
        <v>509</v>
      </c>
      <c r="AZ64" s="1">
        <v>504</v>
      </c>
      <c r="BA64" s="1">
        <v>520</v>
      </c>
      <c r="BB64" s="1">
        <f>2047-SUM(AY64:BA64)</f>
        <v>514</v>
      </c>
      <c r="BC64" s="1">
        <v>512</v>
      </c>
      <c r="BD64" s="1">
        <v>507</v>
      </c>
      <c r="BE64" s="1">
        <v>498</v>
      </c>
      <c r="BF64" s="1">
        <f>2013-SUM(BC64:BE64)</f>
        <v>496</v>
      </c>
      <c r="BG64" s="1">
        <v>491</v>
      </c>
      <c r="BH64" s="1">
        <v>498</v>
      </c>
      <c r="BI64" s="1">
        <v>496</v>
      </c>
      <c r="BJ64" s="1">
        <f>1966-SUM(BG64:BI64)</f>
        <v>481</v>
      </c>
      <c r="BK64" s="1">
        <v>472</v>
      </c>
      <c r="BL64" s="1">
        <v>471</v>
      </c>
      <c r="BM64" s="1">
        <v>470</v>
      </c>
      <c r="BN64" s="1">
        <f>1878-SUM(BK64:BM64)</f>
        <v>465</v>
      </c>
      <c r="BO64" s="1">
        <v>420</v>
      </c>
      <c r="BP64" s="1">
        <v>420</v>
      </c>
      <c r="BQ64" s="1">
        <v>420</v>
      </c>
      <c r="BR64" s="1">
        <v>422</v>
      </c>
      <c r="BS64" s="1">
        <v>422</v>
      </c>
      <c r="BT64" s="1">
        <v>658</v>
      </c>
      <c r="CA64" s="67">
        <f t="shared" si="148"/>
        <v>0</v>
      </c>
      <c r="CB64" s="67">
        <f t="shared" si="149"/>
        <v>0</v>
      </c>
      <c r="CC64" s="67">
        <f t="shared" si="150"/>
        <v>0</v>
      </c>
      <c r="CD64" s="67">
        <f t="shared" si="134"/>
        <v>0</v>
      </c>
      <c r="CE64" s="67">
        <f t="shared" si="135"/>
        <v>0</v>
      </c>
      <c r="CF64" s="67">
        <f t="shared" si="136"/>
        <v>0</v>
      </c>
      <c r="CG64" s="67">
        <f t="shared" si="137"/>
        <v>0</v>
      </c>
      <c r="CH64" s="67">
        <f t="shared" si="138"/>
        <v>0</v>
      </c>
      <c r="CI64" s="67">
        <f t="shared" si="139"/>
        <v>0</v>
      </c>
      <c r="CJ64" s="67">
        <f t="shared" si="140"/>
        <v>0</v>
      </c>
      <c r="CK64" s="67">
        <f t="shared" si="141"/>
        <v>0</v>
      </c>
      <c r="CL64" s="67">
        <f t="shared" si="142"/>
        <v>2132</v>
      </c>
      <c r="CM64" s="67">
        <f t="shared" si="143"/>
        <v>2047</v>
      </c>
      <c r="CN64" s="67">
        <f t="shared" si="144"/>
        <v>2013</v>
      </c>
      <c r="CO64" s="67">
        <f t="shared" si="145"/>
        <v>1966</v>
      </c>
      <c r="CP64" s="67">
        <f t="shared" si="146"/>
        <v>1878</v>
      </c>
      <c r="CQ64" s="1">
        <f t="shared" si="151"/>
        <v>1682</v>
      </c>
      <c r="CR64" s="69">
        <f t="shared" ref="CR64:CZ64" si="158">CQ64*0.9</f>
        <v>1513.8</v>
      </c>
      <c r="CS64" s="69">
        <f t="shared" si="158"/>
        <v>1362.42</v>
      </c>
      <c r="CT64" s="69">
        <f t="shared" si="158"/>
        <v>1226.1780000000001</v>
      </c>
      <c r="CU64" s="69">
        <f t="shared" si="158"/>
        <v>1103.5602000000001</v>
      </c>
      <c r="CV64" s="69">
        <f t="shared" si="158"/>
        <v>993.20418000000018</v>
      </c>
      <c r="CW64" s="69">
        <f t="shared" si="158"/>
        <v>893.88376200000016</v>
      </c>
      <c r="CX64" s="69">
        <f t="shared" si="158"/>
        <v>804.49538580000012</v>
      </c>
      <c r="CY64" s="69">
        <f t="shared" si="158"/>
        <v>724.04584722000016</v>
      </c>
      <c r="CZ64" s="69">
        <f t="shared" si="158"/>
        <v>651.64126249800017</v>
      </c>
    </row>
    <row r="65" spans="2:156">
      <c r="B65" s="1" t="s">
        <v>1456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0</v>
      </c>
      <c r="L65" s="67">
        <v>0</v>
      </c>
      <c r="M65" s="67">
        <v>0</v>
      </c>
      <c r="N65" s="67">
        <v>0</v>
      </c>
      <c r="O65" s="67">
        <v>0</v>
      </c>
      <c r="P65" s="67">
        <v>0</v>
      </c>
      <c r="Q65" s="67">
        <v>0</v>
      </c>
      <c r="R65" s="67">
        <v>0</v>
      </c>
      <c r="S65" s="67">
        <v>0</v>
      </c>
      <c r="T65" s="67">
        <v>0</v>
      </c>
      <c r="U65" s="67">
        <v>0</v>
      </c>
      <c r="V65" s="67">
        <v>0</v>
      </c>
      <c r="W65" s="67">
        <v>0</v>
      </c>
      <c r="X65" s="67">
        <v>0</v>
      </c>
      <c r="Y65" s="67">
        <v>0</v>
      </c>
      <c r="Z65" s="67">
        <v>0</v>
      </c>
      <c r="AA65" s="67">
        <v>0</v>
      </c>
      <c r="AB65" s="67">
        <v>0</v>
      </c>
      <c r="AC65" s="67">
        <v>0</v>
      </c>
      <c r="AD65" s="67">
        <v>0</v>
      </c>
      <c r="AE65" s="67">
        <v>0</v>
      </c>
      <c r="AF65" s="67">
        <v>0</v>
      </c>
      <c r="AG65" s="67">
        <v>0</v>
      </c>
      <c r="AH65" s="67">
        <v>0</v>
      </c>
      <c r="AI65" s="67">
        <v>0</v>
      </c>
      <c r="AJ65" s="67">
        <v>0</v>
      </c>
      <c r="AK65" s="67">
        <v>0</v>
      </c>
      <c r="AL65" s="67">
        <v>0</v>
      </c>
      <c r="AM65" s="67">
        <v>0</v>
      </c>
      <c r="AN65" s="67">
        <v>0</v>
      </c>
      <c r="AO65" s="67">
        <v>0</v>
      </c>
      <c r="AP65" s="67">
        <v>0</v>
      </c>
      <c r="AQ65" s="67">
        <v>0</v>
      </c>
      <c r="AR65" s="67">
        <v>0</v>
      </c>
      <c r="AS65" s="67">
        <v>0</v>
      </c>
      <c r="AT65" s="67">
        <v>0</v>
      </c>
      <c r="AU65" s="1">
        <v>578</v>
      </c>
      <c r="AV65" s="1">
        <v>564</v>
      </c>
      <c r="AW65" s="1">
        <v>580</v>
      </c>
      <c r="AX65" s="1">
        <f>2420-SUM(AU65:AW65)</f>
        <v>698</v>
      </c>
      <c r="AY65" s="1">
        <v>654</v>
      </c>
      <c r="AZ65" s="1">
        <v>654</v>
      </c>
      <c r="BA65" s="1">
        <v>672</v>
      </c>
      <c r="BB65" s="1">
        <f>2742-SUM(AY65:BA65)</f>
        <v>762</v>
      </c>
      <c r="BC65" s="1">
        <v>697</v>
      </c>
      <c r="BD65" s="1">
        <v>684</v>
      </c>
      <c r="BE65" s="1">
        <v>782</v>
      </c>
      <c r="BF65" s="1">
        <f>2888-SUM(BC65:BE65)</f>
        <v>725</v>
      </c>
      <c r="BG65" s="1">
        <v>654</v>
      </c>
      <c r="BH65" s="1">
        <v>715</v>
      </c>
      <c r="BI65" s="1">
        <v>672</v>
      </c>
      <c r="BJ65" s="1">
        <f>2741-SUM(BG65:BI65)</f>
        <v>700</v>
      </c>
      <c r="BK65" s="1">
        <v>684</v>
      </c>
      <c r="BL65" s="1">
        <v>698</v>
      </c>
      <c r="BM65" s="1">
        <v>713</v>
      </c>
      <c r="BN65" s="1">
        <f>2844-SUM(BK65:BM65)</f>
        <v>749</v>
      </c>
      <c r="BO65" s="1">
        <v>716</v>
      </c>
      <c r="BP65" s="1">
        <v>725</v>
      </c>
      <c r="BQ65" s="1">
        <v>766</v>
      </c>
      <c r="BR65" s="1">
        <v>735</v>
      </c>
      <c r="BS65" s="1">
        <v>767</v>
      </c>
      <c r="BT65" s="1">
        <v>892</v>
      </c>
      <c r="CA65" s="67">
        <f t="shared" si="148"/>
        <v>0</v>
      </c>
      <c r="CB65" s="67">
        <f t="shared" si="149"/>
        <v>0</v>
      </c>
      <c r="CC65" s="67">
        <f t="shared" si="150"/>
        <v>0</v>
      </c>
      <c r="CD65" s="67">
        <f t="shared" si="134"/>
        <v>0</v>
      </c>
      <c r="CE65" s="67">
        <f t="shared" si="135"/>
        <v>0</v>
      </c>
      <c r="CF65" s="67">
        <f t="shared" si="136"/>
        <v>0</v>
      </c>
      <c r="CG65" s="67">
        <f t="shared" si="137"/>
        <v>0</v>
      </c>
      <c r="CH65" s="67">
        <f t="shared" si="138"/>
        <v>0</v>
      </c>
      <c r="CI65" s="67">
        <f t="shared" si="139"/>
        <v>0</v>
      </c>
      <c r="CJ65" s="67">
        <f t="shared" si="140"/>
        <v>0</v>
      </c>
      <c r="CK65" s="67">
        <f t="shared" si="141"/>
        <v>0</v>
      </c>
      <c r="CL65" s="67">
        <f t="shared" si="142"/>
        <v>2420</v>
      </c>
      <c r="CM65" s="67">
        <f t="shared" si="143"/>
        <v>2742</v>
      </c>
      <c r="CN65" s="67">
        <f t="shared" si="144"/>
        <v>2888</v>
      </c>
      <c r="CO65" s="67">
        <f t="shared" si="145"/>
        <v>2741</v>
      </c>
      <c r="CP65" s="67">
        <f t="shared" si="146"/>
        <v>2844</v>
      </c>
      <c r="CQ65" s="1">
        <f t="shared" si="151"/>
        <v>2942</v>
      </c>
      <c r="CR65" s="69">
        <f t="shared" ref="CR65:CZ65" si="159">CR61*CR80</f>
        <v>3272.0440260000005</v>
      </c>
      <c r="CS65" s="69">
        <f t="shared" si="159"/>
        <v>3512.2716284800008</v>
      </c>
      <c r="CT65" s="69">
        <f t="shared" si="159"/>
        <v>3780.0839821039999</v>
      </c>
      <c r="CU65" s="69">
        <f t="shared" si="159"/>
        <v>4114.0810148421124</v>
      </c>
      <c r="CV65" s="69">
        <f t="shared" si="159"/>
        <v>4410.8807963819645</v>
      </c>
      <c r="CW65" s="69">
        <f t="shared" si="159"/>
        <v>4765.8416514358423</v>
      </c>
      <c r="CX65" s="69">
        <f t="shared" si="159"/>
        <v>5032.2171625736719</v>
      </c>
      <c r="CY65" s="69">
        <f t="shared" si="159"/>
        <v>5334.2028849795024</v>
      </c>
      <c r="CZ65" s="69">
        <f t="shared" si="159"/>
        <v>5611.2168338409983</v>
      </c>
    </row>
    <row r="66" spans="2:156">
      <c r="B66" s="1" t="s">
        <v>1457</v>
      </c>
      <c r="C66" s="67">
        <v>0</v>
      </c>
      <c r="D66" s="67">
        <v>0</v>
      </c>
      <c r="E66" s="67">
        <v>0</v>
      </c>
      <c r="F66" s="67">
        <v>0</v>
      </c>
      <c r="G66" s="67">
        <v>0</v>
      </c>
      <c r="H66" s="67">
        <v>0</v>
      </c>
      <c r="I66" s="67">
        <v>0</v>
      </c>
      <c r="J66" s="67">
        <v>0</v>
      </c>
      <c r="K66" s="67">
        <v>0</v>
      </c>
      <c r="L66" s="67">
        <v>0</v>
      </c>
      <c r="M66" s="67">
        <v>0</v>
      </c>
      <c r="N66" s="67">
        <v>0</v>
      </c>
      <c r="O66" s="67">
        <v>0</v>
      </c>
      <c r="P66" s="67">
        <v>0</v>
      </c>
      <c r="Q66" s="67">
        <v>0</v>
      </c>
      <c r="R66" s="67">
        <v>0</v>
      </c>
      <c r="S66" s="67">
        <v>0</v>
      </c>
      <c r="T66" s="67">
        <v>0</v>
      </c>
      <c r="U66" s="67">
        <v>0</v>
      </c>
      <c r="V66" s="67">
        <v>0</v>
      </c>
      <c r="W66" s="67">
        <v>0</v>
      </c>
      <c r="X66" s="67">
        <v>0</v>
      </c>
      <c r="Y66" s="67">
        <v>0</v>
      </c>
      <c r="Z66" s="67">
        <v>0</v>
      </c>
      <c r="AA66" s="67">
        <v>0</v>
      </c>
      <c r="AB66" s="67">
        <v>0</v>
      </c>
      <c r="AC66" s="67">
        <v>0</v>
      </c>
      <c r="AD66" s="67">
        <v>0</v>
      </c>
      <c r="AE66" s="67">
        <v>0</v>
      </c>
      <c r="AF66" s="67">
        <v>0</v>
      </c>
      <c r="AG66" s="67">
        <v>0</v>
      </c>
      <c r="AH66" s="67">
        <v>0</v>
      </c>
      <c r="AI66" s="67">
        <v>0</v>
      </c>
      <c r="AJ66" s="67">
        <v>0</v>
      </c>
      <c r="AK66" s="67">
        <v>0</v>
      </c>
      <c r="AL66" s="67">
        <v>0</v>
      </c>
      <c r="AM66" s="67">
        <v>0</v>
      </c>
      <c r="AN66" s="67">
        <v>0</v>
      </c>
      <c r="AO66" s="67">
        <v>0</v>
      </c>
      <c r="AP66" s="67">
        <v>0</v>
      </c>
      <c r="AQ66" s="67">
        <v>0</v>
      </c>
      <c r="AR66" s="67">
        <v>0</v>
      </c>
      <c r="AS66" s="67">
        <v>0</v>
      </c>
      <c r="AT66" s="67">
        <v>0</v>
      </c>
      <c r="AU66" s="1">
        <v>2548</v>
      </c>
      <c r="AV66" s="1">
        <v>2276</v>
      </c>
      <c r="AW66" s="1">
        <v>2302</v>
      </c>
      <c r="AX66" s="1">
        <f>9696-SUM(AU66:AW66)</f>
        <v>2570</v>
      </c>
      <c r="AY66" s="1">
        <v>2783</v>
      </c>
      <c r="AZ66" s="1">
        <v>2726</v>
      </c>
      <c r="BA66" s="1">
        <v>2767</v>
      </c>
      <c r="BB66" s="1">
        <f>11324-SUM(AY66:BA66)</f>
        <v>3048</v>
      </c>
      <c r="BC66" s="1">
        <v>2787</v>
      </c>
      <c r="BD66" s="1">
        <v>2757</v>
      </c>
      <c r="BE66" s="1">
        <v>2731</v>
      </c>
      <c r="BF66" s="1">
        <f>11248-SUM(BC66:BE66)</f>
        <v>2973</v>
      </c>
      <c r="BG66" s="1">
        <v>2762</v>
      </c>
      <c r="BH66" s="1">
        <v>2740</v>
      </c>
      <c r="BI66" s="1">
        <v>2723</v>
      </c>
      <c r="BJ66" s="1">
        <f>10949-SUM(BG66:BI66)</f>
        <v>2724</v>
      </c>
      <c r="BK66" s="1">
        <v>2959</v>
      </c>
      <c r="BL66" s="1">
        <v>2936</v>
      </c>
      <c r="BM66" s="1">
        <v>2895</v>
      </c>
      <c r="BN66" s="1">
        <f>11697-SUM(BK66:BM66)</f>
        <v>2907</v>
      </c>
      <c r="BO66" s="1">
        <v>3061</v>
      </c>
      <c r="BP66" s="1">
        <v>3091</v>
      </c>
      <c r="BQ66" s="1">
        <v>3051</v>
      </c>
      <c r="BR66" s="1">
        <v>3129</v>
      </c>
      <c r="BS66" s="1">
        <v>3740</v>
      </c>
      <c r="BT66" s="1">
        <v>4025</v>
      </c>
      <c r="CA66" s="67">
        <f t="shared" si="148"/>
        <v>0</v>
      </c>
      <c r="CB66" s="67">
        <f t="shared" si="149"/>
        <v>0</v>
      </c>
      <c r="CC66" s="67">
        <f t="shared" si="150"/>
        <v>0</v>
      </c>
      <c r="CD66" s="67">
        <f t="shared" si="134"/>
        <v>0</v>
      </c>
      <c r="CE66" s="67">
        <f t="shared" si="135"/>
        <v>0</v>
      </c>
      <c r="CF66" s="67">
        <f t="shared" si="136"/>
        <v>0</v>
      </c>
      <c r="CG66" s="67">
        <f t="shared" si="137"/>
        <v>0</v>
      </c>
      <c r="CH66" s="67">
        <f t="shared" si="138"/>
        <v>0</v>
      </c>
      <c r="CI66" s="67">
        <f t="shared" si="139"/>
        <v>0</v>
      </c>
      <c r="CJ66" s="67">
        <f t="shared" si="140"/>
        <v>0</v>
      </c>
      <c r="CK66" s="67">
        <f t="shared" si="141"/>
        <v>0</v>
      </c>
      <c r="CL66" s="67">
        <f t="shared" si="142"/>
        <v>9696</v>
      </c>
      <c r="CM66" s="67">
        <f t="shared" si="143"/>
        <v>11324</v>
      </c>
      <c r="CN66" s="67">
        <f t="shared" si="144"/>
        <v>11248</v>
      </c>
      <c r="CO66" s="67">
        <f t="shared" si="145"/>
        <v>10949</v>
      </c>
      <c r="CP66" s="67">
        <f t="shared" si="146"/>
        <v>11697</v>
      </c>
      <c r="CQ66" s="1">
        <f t="shared" si="151"/>
        <v>12332</v>
      </c>
      <c r="CR66" s="69">
        <f t="shared" ref="CR66:CZ66" si="160">CR61*CR81</f>
        <v>16119.628657500001</v>
      </c>
      <c r="CS66" s="69">
        <f t="shared" si="160"/>
        <v>16528.337075200001</v>
      </c>
      <c r="CT66" s="69">
        <f t="shared" si="160"/>
        <v>17489.94081272</v>
      </c>
      <c r="CU66" s="69">
        <f t="shared" si="160"/>
        <v>18421.258275412441</v>
      </c>
      <c r="CV66" s="69">
        <f t="shared" si="160"/>
        <v>19381.142893193475</v>
      </c>
      <c r="CW66" s="69">
        <f t="shared" si="160"/>
        <v>20218.722157606604</v>
      </c>
      <c r="CX66" s="69">
        <f t="shared" si="160"/>
        <v>21483.696347910678</v>
      </c>
      <c r="CY66" s="69">
        <f t="shared" si="160"/>
        <v>22567.78143645174</v>
      </c>
      <c r="CZ66" s="69">
        <f t="shared" si="160"/>
        <v>23653.437114960518</v>
      </c>
    </row>
    <row r="67" spans="2:156">
      <c r="B67" s="1" t="s">
        <v>1465</v>
      </c>
      <c r="C67" s="67">
        <v>2721.7</v>
      </c>
      <c r="D67" s="67">
        <v>2694.5</v>
      </c>
      <c r="E67" s="67">
        <v>2761.4</v>
      </c>
      <c r="F67" s="67">
        <v>3142.1</v>
      </c>
      <c r="G67" s="67">
        <v>2892.8</v>
      </c>
      <c r="H67" s="67">
        <v>3676.1</v>
      </c>
      <c r="I67" s="67">
        <v>3752.2</v>
      </c>
      <c r="J67" s="67">
        <v>4092.9</v>
      </c>
      <c r="K67" s="67">
        <v>3880.7</v>
      </c>
      <c r="L67" s="67">
        <v>3972.4</v>
      </c>
      <c r="M67" s="67">
        <v>5248.5</v>
      </c>
      <c r="N67" s="67">
        <v>4457</v>
      </c>
      <c r="O67" s="67">
        <v>2415.3000000000002</v>
      </c>
      <c r="P67" s="67">
        <v>2379.1</v>
      </c>
      <c r="Q67" s="67">
        <v>2465.9</v>
      </c>
      <c r="R67" s="67">
        <v>1530.8</v>
      </c>
      <c r="S67" s="67">
        <v>2331</v>
      </c>
      <c r="T67" s="67">
        <v>2274</v>
      </c>
      <c r="U67" s="67">
        <v>2097</v>
      </c>
      <c r="V67" s="67">
        <v>1629</v>
      </c>
      <c r="W67" s="67">
        <v>2116</v>
      </c>
      <c r="X67" s="67">
        <v>2092</v>
      </c>
      <c r="Y67" s="67">
        <v>2032</v>
      </c>
      <c r="Z67" s="67">
        <v>2180</v>
      </c>
      <c r="AA67" s="67">
        <v>2206</v>
      </c>
      <c r="AB67" s="67">
        <v>2223</v>
      </c>
      <c r="AC67" s="67">
        <v>2195</v>
      </c>
      <c r="AD67" s="67">
        <v>2167</v>
      </c>
      <c r="AE67" s="67">
        <v>2221</v>
      </c>
      <c r="AF67" s="67">
        <v>2230</v>
      </c>
      <c r="AG67" s="67">
        <v>2120</v>
      </c>
      <c r="AH67" s="67">
        <v>2162</v>
      </c>
      <c r="AI67" s="67">
        <v>3515</v>
      </c>
      <c r="AJ67" s="67">
        <v>3062</v>
      </c>
      <c r="AK67" s="67">
        <v>3184</v>
      </c>
      <c r="AL67" s="67">
        <v>3656</v>
      </c>
      <c r="AM67" s="67">
        <v>3715</v>
      </c>
      <c r="AN67" s="67">
        <v>3603</v>
      </c>
      <c r="AO67" s="67">
        <v>3495</v>
      </c>
      <c r="AP67" s="67">
        <v>3409</v>
      </c>
      <c r="AQ67" s="67">
        <v>3636</v>
      </c>
      <c r="AR67" s="67">
        <v>3494</v>
      </c>
      <c r="AS67" s="67">
        <v>3520</v>
      </c>
      <c r="AT67" s="67">
        <v>3491</v>
      </c>
      <c r="AU67" s="1">
        <f t="shared" ref="AU67:BP67" si="161">SUM(AU64:AU66)</f>
        <v>3687</v>
      </c>
      <c r="AV67" s="1">
        <f t="shared" si="161"/>
        <v>3393</v>
      </c>
      <c r="AW67" s="1">
        <f t="shared" si="161"/>
        <v>3392</v>
      </c>
      <c r="AX67" s="1">
        <f t="shared" si="161"/>
        <v>3776</v>
      </c>
      <c r="AY67" s="1">
        <f t="shared" si="161"/>
        <v>3946</v>
      </c>
      <c r="AZ67" s="1">
        <f t="shared" si="161"/>
        <v>3884</v>
      </c>
      <c r="BA67" s="1">
        <f t="shared" si="161"/>
        <v>3959</v>
      </c>
      <c r="BB67" s="1">
        <f t="shared" si="161"/>
        <v>4324</v>
      </c>
      <c r="BC67" s="1">
        <f t="shared" si="161"/>
        <v>3996</v>
      </c>
      <c r="BD67" s="1">
        <f t="shared" si="161"/>
        <v>3948</v>
      </c>
      <c r="BE67" s="1">
        <f t="shared" si="161"/>
        <v>4011</v>
      </c>
      <c r="BF67" s="1">
        <f t="shared" si="161"/>
        <v>4194</v>
      </c>
      <c r="BG67" s="1">
        <f t="shared" si="161"/>
        <v>3907</v>
      </c>
      <c r="BH67" s="1">
        <f t="shared" si="161"/>
        <v>3953</v>
      </c>
      <c r="BI67" s="1">
        <f t="shared" si="161"/>
        <v>3891</v>
      </c>
      <c r="BJ67" s="1">
        <f t="shared" si="161"/>
        <v>3905</v>
      </c>
      <c r="BK67" s="1">
        <f t="shared" si="161"/>
        <v>4115</v>
      </c>
      <c r="BL67" s="1">
        <f t="shared" si="161"/>
        <v>4105</v>
      </c>
      <c r="BM67" s="1">
        <f t="shared" si="161"/>
        <v>4078</v>
      </c>
      <c r="BN67" s="1">
        <f t="shared" si="161"/>
        <v>4121</v>
      </c>
      <c r="BO67" s="1">
        <f t="shared" si="161"/>
        <v>4197</v>
      </c>
      <c r="BP67" s="1">
        <f t="shared" si="161"/>
        <v>4236</v>
      </c>
      <c r="BQ67" s="1">
        <f>SUM(BQ64:BQ66)</f>
        <v>4237</v>
      </c>
      <c r="BR67" s="1">
        <f t="shared" ref="BR67" si="162">SUM(BR64:BR66)</f>
        <v>4286</v>
      </c>
      <c r="BS67" s="1">
        <f>SUM(BS64:BS66)</f>
        <v>4929</v>
      </c>
      <c r="BT67" s="1">
        <f>SUM(BT64:BT66)</f>
        <v>5575</v>
      </c>
      <c r="CA67" s="67">
        <f t="shared" si="148"/>
        <v>11319.7</v>
      </c>
      <c r="CB67" s="67">
        <f t="shared" si="149"/>
        <v>14413.999999999998</v>
      </c>
      <c r="CC67" s="67">
        <f t="shared" si="150"/>
        <v>17558.599999999999</v>
      </c>
      <c r="CD67" s="67">
        <f t="shared" si="134"/>
        <v>8791.0999999999985</v>
      </c>
      <c r="CE67" s="67">
        <f t="shared" si="135"/>
        <v>8331</v>
      </c>
      <c r="CF67" s="67">
        <f t="shared" si="136"/>
        <v>8420</v>
      </c>
      <c r="CG67" s="67">
        <f t="shared" si="137"/>
        <v>8791</v>
      </c>
      <c r="CH67" s="67">
        <f t="shared" si="138"/>
        <v>8733</v>
      </c>
      <c r="CI67" s="67">
        <f t="shared" si="139"/>
        <v>13417</v>
      </c>
      <c r="CJ67" s="67">
        <f t="shared" si="140"/>
        <v>14222</v>
      </c>
      <c r="CK67" s="67">
        <f t="shared" si="141"/>
        <v>14141</v>
      </c>
      <c r="CL67" s="67">
        <f t="shared" si="142"/>
        <v>14248</v>
      </c>
      <c r="CM67" s="67">
        <f t="shared" si="143"/>
        <v>16113</v>
      </c>
      <c r="CN67" s="67">
        <f t="shared" si="144"/>
        <v>16149</v>
      </c>
      <c r="CO67" s="67">
        <f t="shared" si="145"/>
        <v>15656</v>
      </c>
      <c r="CP67" s="67">
        <f t="shared" si="146"/>
        <v>16419</v>
      </c>
      <c r="CQ67" s="1">
        <f t="shared" si="151"/>
        <v>16956</v>
      </c>
      <c r="CR67" s="69">
        <f t="shared" ref="CR67:CZ67" si="163">SUM(CR64:CR66)</f>
        <v>20905.472683500004</v>
      </c>
      <c r="CS67" s="69">
        <f t="shared" si="163"/>
        <v>21403.02870368</v>
      </c>
      <c r="CT67" s="69">
        <f t="shared" si="163"/>
        <v>22496.202794823999</v>
      </c>
      <c r="CU67" s="69">
        <f t="shared" si="163"/>
        <v>23638.899490254553</v>
      </c>
      <c r="CV67" s="69">
        <f t="shared" si="163"/>
        <v>24785.227869575439</v>
      </c>
      <c r="CW67" s="69">
        <f t="shared" si="163"/>
        <v>25878.447571042445</v>
      </c>
      <c r="CX67" s="69">
        <f t="shared" si="163"/>
        <v>27320.408896284349</v>
      </c>
      <c r="CY67" s="69">
        <f t="shared" si="163"/>
        <v>28626.030168651243</v>
      </c>
      <c r="CZ67" s="69">
        <f t="shared" si="163"/>
        <v>29916.295211299515</v>
      </c>
    </row>
    <row r="68" spans="2:156">
      <c r="B68" s="1" t="s">
        <v>1458</v>
      </c>
      <c r="C68" s="67">
        <f t="shared" ref="C68" si="164">C63-C67</f>
        <v>1060.7999999999997</v>
      </c>
      <c r="D68" s="67">
        <f t="shared" ref="D68" si="165">D63-D67</f>
        <v>1671.3999999999996</v>
      </c>
      <c r="E68" s="67">
        <f t="shared" ref="E68" si="166">E63-E67</f>
        <v>1639.7000000000003</v>
      </c>
      <c r="F68" s="67">
        <f t="shared" ref="F68" si="167">F63-F67</f>
        <v>1863.8000000000006</v>
      </c>
      <c r="G68" s="67">
        <f t="shared" ref="G68" si="168">G63-G67</f>
        <v>1470.4999999999991</v>
      </c>
      <c r="H68" s="67">
        <f t="shared" ref="H68" si="169">H63-H67</f>
        <v>1606.0000000000005</v>
      </c>
      <c r="I68" s="67">
        <f t="shared" ref="I68" si="170">I63-I67</f>
        <v>1181.1999999999998</v>
      </c>
      <c r="J68" s="67">
        <f t="shared" ref="J68" si="171">J63-J67</f>
        <v>1829.8999999999992</v>
      </c>
      <c r="K68" s="67">
        <f t="shared" ref="K68" si="172">K63-K67</f>
        <v>1301.0999999999995</v>
      </c>
      <c r="L68" s="67">
        <f t="shared" ref="L68" si="173">L63-L67</f>
        <v>1773.3999999999992</v>
      </c>
      <c r="M68" s="67">
        <f t="shared" ref="M68" si="174">M63-M67</f>
        <v>595.00000000000091</v>
      </c>
      <c r="N68" s="67">
        <f t="shared" ref="N68" si="175">N63-N67</f>
        <v>2082</v>
      </c>
      <c r="O68" s="67">
        <f t="shared" ref="O68" si="176">O63-O67</f>
        <v>509.19999999999982</v>
      </c>
      <c r="P68" s="67">
        <f t="shared" ref="P68" si="177">P63-P67</f>
        <v>564.10000000000036</v>
      </c>
      <c r="Q68" s="67">
        <f t="shared" ref="Q68" si="178">Q63-Q67</f>
        <v>310</v>
      </c>
      <c r="R68" s="67">
        <f t="shared" ref="R68" si="179">R63-R67</f>
        <v>-23.500000000000227</v>
      </c>
      <c r="S68" s="67">
        <f t="shared" ref="S68" si="180">S63-S67</f>
        <v>615</v>
      </c>
      <c r="T68" s="67">
        <f t="shared" ref="T68" si="181">T63-T67</f>
        <v>627</v>
      </c>
      <c r="U68" s="67">
        <f t="shared" ref="U68" si="182">U63-U67</f>
        <v>473</v>
      </c>
      <c r="V68" s="67">
        <f t="shared" ref="V68" si="183">V63-V67</f>
        <v>418</v>
      </c>
      <c r="W68" s="67">
        <f t="shared" ref="W68" si="184">W63-W67</f>
        <v>365</v>
      </c>
      <c r="X68" s="67">
        <f t="shared" ref="X68" si="185">X63-X67</f>
        <v>677</v>
      </c>
      <c r="Y68" s="67">
        <f t="shared" ref="Y68" si="186">Y63-Y67</f>
        <v>728</v>
      </c>
      <c r="Z68" s="67">
        <f t="shared" ref="Z68" si="187">Z63-Z67</f>
        <v>826</v>
      </c>
      <c r="AA68" s="67">
        <f t="shared" ref="AA68" si="188">AA63-AA67</f>
        <v>610</v>
      </c>
      <c r="AB68" s="67">
        <f t="shared" ref="AB68" si="189">AB63-AB67</f>
        <v>729</v>
      </c>
      <c r="AC68" s="67">
        <f t="shared" ref="AC68" si="190">AC63-AC67</f>
        <v>713</v>
      </c>
      <c r="AD68" s="67">
        <f t="shared" ref="AD68" si="191">AD63-AD67</f>
        <v>815</v>
      </c>
      <c r="AE68" s="67">
        <f t="shared" ref="AE68" si="192">AE63-AE67</f>
        <v>524</v>
      </c>
      <c r="AF68" s="67">
        <f t="shared" ref="AF68" si="193">AF63-AF67</f>
        <v>816</v>
      </c>
      <c r="AG68" s="67">
        <f t="shared" ref="AG68" si="194">AG63-AG67</f>
        <v>897</v>
      </c>
      <c r="AH68" s="67">
        <f t="shared" ref="AH68" si="195">AH63-AH67</f>
        <v>789</v>
      </c>
      <c r="AI68" s="67">
        <f t="shared" ref="AI68" si="196">AI63-AI67</f>
        <v>-242</v>
      </c>
      <c r="AJ68" s="67">
        <f t="shared" ref="AJ68" si="197">AJ63-AJ67</f>
        <v>386</v>
      </c>
      <c r="AK68" s="67">
        <f t="shared" ref="AK68" si="198">AK63-AK67</f>
        <v>769</v>
      </c>
      <c r="AL68" s="67">
        <f t="shared" ref="AL68" si="199">AL63-AL67</f>
        <v>651</v>
      </c>
      <c r="AM68" s="67">
        <f t="shared" ref="AM68" si="200">AM63-AM67</f>
        <v>608</v>
      </c>
      <c r="AN68" s="67">
        <f t="shared" ref="AN68" si="201">AN63-AN67</f>
        <v>882</v>
      </c>
      <c r="AO68" s="67">
        <f t="shared" ref="AO68" si="202">AO63-AO67</f>
        <v>995</v>
      </c>
      <c r="AP68" s="67">
        <f t="shared" ref="AP68" si="203">AP63-AP67</f>
        <v>1165</v>
      </c>
      <c r="AQ68" s="67">
        <f t="shared" ref="AQ68" si="204">AQ63-AQ67</f>
        <v>739</v>
      </c>
      <c r="AR68" s="67">
        <f t="shared" ref="AR68" si="205">AR63-AR67</f>
        <v>1206</v>
      </c>
      <c r="AS68" s="67">
        <f t="shared" ref="AS68" si="206">AS63-AS67</f>
        <v>1198</v>
      </c>
      <c r="AT68" s="67">
        <f t="shared" ref="AT68" si="207">AT63-AT67</f>
        <v>1389</v>
      </c>
      <c r="AU68" s="1">
        <f t="shared" ref="AU68:BP68" si="208">AU63-AU67</f>
        <v>758</v>
      </c>
      <c r="AV68" s="1">
        <f t="shared" si="208"/>
        <v>672</v>
      </c>
      <c r="AW68" s="1">
        <f t="shared" si="208"/>
        <v>1495</v>
      </c>
      <c r="AX68" s="1">
        <f t="shared" si="208"/>
        <v>2432</v>
      </c>
      <c r="AY68" s="1">
        <f t="shared" si="208"/>
        <v>2109</v>
      </c>
      <c r="AZ68" s="1">
        <f t="shared" si="208"/>
        <v>1392</v>
      </c>
      <c r="BA68" s="1">
        <f t="shared" si="208"/>
        <v>2546</v>
      </c>
      <c r="BB68" s="1">
        <f t="shared" si="208"/>
        <v>2378</v>
      </c>
      <c r="BC68" s="1">
        <f t="shared" si="208"/>
        <v>2912</v>
      </c>
      <c r="BD68" s="1">
        <f t="shared" si="208"/>
        <v>2376</v>
      </c>
      <c r="BE68" s="1">
        <f t="shared" si="208"/>
        <v>1770</v>
      </c>
      <c r="BF68" s="1">
        <f t="shared" si="208"/>
        <v>1304</v>
      </c>
      <c r="BG68" s="1">
        <f t="shared" si="208"/>
        <v>1509</v>
      </c>
      <c r="BH68" s="1">
        <f t="shared" si="208"/>
        <v>1542</v>
      </c>
      <c r="BI68" s="1">
        <f t="shared" si="208"/>
        <v>1647</v>
      </c>
      <c r="BJ68" s="1">
        <f t="shared" si="208"/>
        <v>1780</v>
      </c>
      <c r="BK68" s="1">
        <f t="shared" si="208"/>
        <v>1386</v>
      </c>
      <c r="BL68" s="1">
        <f t="shared" si="208"/>
        <v>1669</v>
      </c>
      <c r="BM68" s="1">
        <f t="shared" si="208"/>
        <v>1859</v>
      </c>
      <c r="BN68" s="1">
        <f t="shared" si="208"/>
        <v>1911</v>
      </c>
      <c r="BO68" s="1">
        <f t="shared" si="208"/>
        <v>1693</v>
      </c>
      <c r="BP68" s="1">
        <f t="shared" si="208"/>
        <v>2052</v>
      </c>
      <c r="BQ68" s="1">
        <f>BQ63-BQ67</f>
        <v>2057</v>
      </c>
      <c r="BR68" s="1">
        <f t="shared" ref="BR68" si="209">BR63-BR67</f>
        <v>2251</v>
      </c>
      <c r="BS68" s="1">
        <f>BS63-BS67</f>
        <v>1345</v>
      </c>
      <c r="BT68" s="1">
        <f>BT63-BT67</f>
        <v>1693</v>
      </c>
      <c r="CA68" s="67">
        <f t="shared" si="148"/>
        <v>6235.7000000000007</v>
      </c>
      <c r="CB68" s="67">
        <f t="shared" si="149"/>
        <v>6087.5999999999985</v>
      </c>
      <c r="CC68" s="67">
        <f t="shared" si="150"/>
        <v>5751.5</v>
      </c>
      <c r="CD68" s="67">
        <f t="shared" si="134"/>
        <v>1359.8</v>
      </c>
      <c r="CE68" s="67">
        <f t="shared" si="135"/>
        <v>2133</v>
      </c>
      <c r="CF68" s="67">
        <f t="shared" si="136"/>
        <v>2596</v>
      </c>
      <c r="CG68" s="67">
        <f t="shared" si="137"/>
        <v>2867</v>
      </c>
      <c r="CH68" s="67">
        <f t="shared" si="138"/>
        <v>3026</v>
      </c>
      <c r="CI68" s="67">
        <f t="shared" si="139"/>
        <v>1564</v>
      </c>
      <c r="CJ68" s="67">
        <f t="shared" si="140"/>
        <v>3650</v>
      </c>
      <c r="CK68" s="67">
        <f t="shared" si="141"/>
        <v>4532</v>
      </c>
      <c r="CL68" s="67">
        <f t="shared" si="142"/>
        <v>5357</v>
      </c>
      <c r="CM68" s="67">
        <f t="shared" si="143"/>
        <v>8425</v>
      </c>
      <c r="CN68" s="67">
        <f t="shared" si="144"/>
        <v>8362</v>
      </c>
      <c r="CO68" s="67">
        <f t="shared" si="145"/>
        <v>6478</v>
      </c>
      <c r="CP68" s="67">
        <f t="shared" si="146"/>
        <v>6825</v>
      </c>
      <c r="CQ68" s="1">
        <f t="shared" si="151"/>
        <v>8053</v>
      </c>
      <c r="CR68" s="69">
        <f t="shared" ref="CR68:CZ68" si="210">CR63-CR67</f>
        <v>5800.1807640000006</v>
      </c>
      <c r="CS68" s="69">
        <f t="shared" si="210"/>
        <v>7314.9569644800067</v>
      </c>
      <c r="CT68" s="69">
        <f t="shared" si="210"/>
        <v>8929.2715041600022</v>
      </c>
      <c r="CU68" s="69">
        <f t="shared" si="210"/>
        <v>10624.640902012594</v>
      </c>
      <c r="CV68" s="69">
        <f t="shared" si="210"/>
        <v>12573.595845235435</v>
      </c>
      <c r="CW68" s="69">
        <f t="shared" si="210"/>
        <v>14558.99674417077</v>
      </c>
      <c r="CX68" s="69">
        <f t="shared" si="210"/>
        <v>16034.077427427288</v>
      </c>
      <c r="CY68" s="69">
        <f t="shared" si="210"/>
        <v>17330.179301941393</v>
      </c>
      <c r="CZ68" s="69">
        <f t="shared" si="210"/>
        <v>18426.495972561399</v>
      </c>
    </row>
    <row r="69" spans="2:156">
      <c r="B69" s="1" t="s">
        <v>1459</v>
      </c>
      <c r="C69" s="67">
        <v>0</v>
      </c>
      <c r="D69" s="67">
        <v>0</v>
      </c>
      <c r="E69" s="67">
        <v>0</v>
      </c>
      <c r="F69" s="67">
        <v>0</v>
      </c>
      <c r="G69" s="67">
        <v>0</v>
      </c>
      <c r="H69" s="67">
        <v>0</v>
      </c>
      <c r="I69" s="67">
        <v>0</v>
      </c>
      <c r="J69" s="67">
        <v>0</v>
      </c>
      <c r="K69" s="67">
        <v>0</v>
      </c>
      <c r="L69" s="67">
        <v>0</v>
      </c>
      <c r="M69" s="67">
        <v>0</v>
      </c>
      <c r="N69" s="67">
        <v>0</v>
      </c>
      <c r="O69" s="67">
        <v>0</v>
      </c>
      <c r="P69" s="67">
        <v>0</v>
      </c>
      <c r="Q69" s="67">
        <v>0</v>
      </c>
      <c r="R69" s="67">
        <v>0</v>
      </c>
      <c r="S69" s="67">
        <v>0</v>
      </c>
      <c r="T69" s="67">
        <v>0</v>
      </c>
      <c r="U69" s="67">
        <v>0</v>
      </c>
      <c r="V69" s="67">
        <v>0</v>
      </c>
      <c r="W69" s="67">
        <v>0</v>
      </c>
      <c r="X69" s="67">
        <v>0</v>
      </c>
      <c r="Y69" s="67">
        <v>0</v>
      </c>
      <c r="Z69" s="67">
        <v>0</v>
      </c>
      <c r="AA69" s="67">
        <v>0</v>
      </c>
      <c r="AB69" s="67">
        <v>0</v>
      </c>
      <c r="AC69" s="67">
        <v>0</v>
      </c>
      <c r="AD69" s="67">
        <v>0</v>
      </c>
      <c r="AE69" s="67">
        <v>0</v>
      </c>
      <c r="AF69" s="67">
        <v>0</v>
      </c>
      <c r="AG69" s="67">
        <v>0</v>
      </c>
      <c r="AH69" s="67">
        <v>0</v>
      </c>
      <c r="AI69" s="67">
        <v>0</v>
      </c>
      <c r="AJ69" s="67">
        <v>0</v>
      </c>
      <c r="AK69" s="67">
        <v>0</v>
      </c>
      <c r="AL69" s="67">
        <v>0</v>
      </c>
      <c r="AM69" s="67">
        <v>0</v>
      </c>
      <c r="AN69" s="67">
        <v>0</v>
      </c>
      <c r="AO69" s="67">
        <v>0</v>
      </c>
      <c r="AP69" s="67">
        <v>0</v>
      </c>
      <c r="AQ69" s="67">
        <v>0</v>
      </c>
      <c r="AR69" s="67">
        <v>0</v>
      </c>
      <c r="AS69" s="67">
        <v>0</v>
      </c>
      <c r="AT69" s="67">
        <v>0</v>
      </c>
      <c r="AU69" s="1">
        <v>139</v>
      </c>
      <c r="AV69" s="1">
        <v>134</v>
      </c>
      <c r="AW69" s="1">
        <v>137</v>
      </c>
      <c r="AX69" s="1">
        <f>546-SUM(AU69:AW69)</f>
        <v>136</v>
      </c>
      <c r="AY69" s="1">
        <v>135</v>
      </c>
      <c r="AZ69" s="1">
        <v>134</v>
      </c>
      <c r="BA69" s="1">
        <v>133</v>
      </c>
      <c r="BB69" s="1">
        <f>533-SUM(AY69:BA69)</f>
        <v>131</v>
      </c>
      <c r="BC69" s="1">
        <v>131</v>
      </c>
      <c r="BD69" s="1">
        <v>132</v>
      </c>
      <c r="BE69" s="1">
        <v>141</v>
      </c>
      <c r="BF69" s="1">
        <f>558-SUM(BC69:BE69)</f>
        <v>154</v>
      </c>
      <c r="BG69" s="1">
        <v>153</v>
      </c>
      <c r="BH69" s="1">
        <v>159</v>
      </c>
      <c r="BI69" s="1">
        <v>166</v>
      </c>
      <c r="BJ69" s="1">
        <f>637-SUM(BG69:BI69)</f>
        <v>159</v>
      </c>
      <c r="BK69" s="1">
        <v>141</v>
      </c>
      <c r="BL69" s="1">
        <v>140</v>
      </c>
      <c r="BM69" s="1">
        <v>142</v>
      </c>
      <c r="BN69" s="1">
        <f>559-SUM(BK69:BM69)</f>
        <v>136</v>
      </c>
      <c r="BO69" s="1">
        <v>131</v>
      </c>
      <c r="BP69" s="1">
        <v>121</v>
      </c>
      <c r="BQ69" s="1">
        <v>121</v>
      </c>
      <c r="BR69" s="1">
        <v>42</v>
      </c>
      <c r="BS69" s="1">
        <v>174</v>
      </c>
      <c r="BT69" s="1">
        <v>351</v>
      </c>
      <c r="CA69" s="67">
        <f>SUM(C72:F72)</f>
        <v>958.00000000000011</v>
      </c>
      <c r="CB69" s="67">
        <f>SUM(G72:J72)</f>
        <v>-374.80000000000007</v>
      </c>
      <c r="CC69" s="67">
        <f>SUM(K72:N72)</f>
        <v>-552.6</v>
      </c>
      <c r="CD69" s="67">
        <f>SUM(O72:R72)</f>
        <v>-1580</v>
      </c>
      <c r="CE69" s="67">
        <f>SUM(S72:V72)</f>
        <v>-92</v>
      </c>
      <c r="CF69" s="67">
        <f>SUM(W72:Z72)</f>
        <v>-81</v>
      </c>
      <c r="CG69" s="67">
        <f>SUM(AA72:AD72)</f>
        <v>316</v>
      </c>
      <c r="CH69" s="67">
        <f>SUM(AE72:AH72)</f>
        <v>-1613</v>
      </c>
      <c r="CI69" s="67">
        <f>SUM(AI72:AL72)</f>
        <v>667</v>
      </c>
      <c r="CJ69" s="67">
        <f>SUM(AM72:AP72)</f>
        <v>-777</v>
      </c>
      <c r="CK69" s="67">
        <f>SUM(AQ72:AT72)</f>
        <v>-455</v>
      </c>
      <c r="CL69" s="67">
        <f t="shared" si="142"/>
        <v>546</v>
      </c>
      <c r="CM69" s="67">
        <f t="shared" si="143"/>
        <v>533</v>
      </c>
      <c r="CN69" s="67">
        <f t="shared" si="144"/>
        <v>558</v>
      </c>
      <c r="CO69" s="67">
        <f t="shared" si="145"/>
        <v>637</v>
      </c>
      <c r="CP69" s="67">
        <f t="shared" si="146"/>
        <v>559</v>
      </c>
      <c r="CQ69" s="1">
        <f t="shared" si="151"/>
        <v>415</v>
      </c>
      <c r="CR69" s="35">
        <v>525</v>
      </c>
      <c r="CS69" s="35">
        <v>500</v>
      </c>
      <c r="CT69" s="35">
        <v>475</v>
      </c>
      <c r="CU69" s="35">
        <v>470</v>
      </c>
      <c r="CV69" s="35">
        <v>465</v>
      </c>
      <c r="CW69" s="35">
        <v>460</v>
      </c>
      <c r="CX69" s="35">
        <v>455</v>
      </c>
      <c r="CY69" s="35">
        <v>450</v>
      </c>
      <c r="CZ69" s="35">
        <v>445</v>
      </c>
    </row>
    <row r="70" spans="2:156">
      <c r="B70" s="1" t="s">
        <v>1460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v>0</v>
      </c>
      <c r="M70" s="67">
        <v>0</v>
      </c>
      <c r="N70" s="67">
        <v>0</v>
      </c>
      <c r="O70" s="67">
        <v>0</v>
      </c>
      <c r="P70" s="67">
        <v>0</v>
      </c>
      <c r="Q70" s="67">
        <v>0</v>
      </c>
      <c r="R70" s="67">
        <v>0</v>
      </c>
      <c r="S70" s="67">
        <v>0</v>
      </c>
      <c r="T70" s="67">
        <v>0</v>
      </c>
      <c r="U70" s="67">
        <v>0</v>
      </c>
      <c r="V70" s="67">
        <v>0</v>
      </c>
      <c r="W70" s="67">
        <v>0</v>
      </c>
      <c r="X70" s="67">
        <v>0</v>
      </c>
      <c r="Y70" s="67">
        <v>0</v>
      </c>
      <c r="Z70" s="67">
        <v>0</v>
      </c>
      <c r="AA70" s="67">
        <v>0</v>
      </c>
      <c r="AB70" s="67">
        <v>0</v>
      </c>
      <c r="AC70" s="67">
        <v>0</v>
      </c>
      <c r="AD70" s="67">
        <v>0</v>
      </c>
      <c r="AE70" s="67">
        <v>0</v>
      </c>
      <c r="AF70" s="67">
        <v>0</v>
      </c>
      <c r="AG70" s="67">
        <v>0</v>
      </c>
      <c r="AH70" s="67">
        <v>0</v>
      </c>
      <c r="AI70" s="67">
        <v>0</v>
      </c>
      <c r="AJ70" s="67">
        <v>0</v>
      </c>
      <c r="AK70" s="67">
        <v>0</v>
      </c>
      <c r="AL70" s="67">
        <v>0</v>
      </c>
      <c r="AM70" s="67">
        <v>0</v>
      </c>
      <c r="AN70" s="67">
        <v>0</v>
      </c>
      <c r="AO70" s="67">
        <v>0</v>
      </c>
      <c r="AP70" s="67">
        <v>0</v>
      </c>
      <c r="AQ70" s="67">
        <v>0</v>
      </c>
      <c r="AR70" s="67">
        <v>0</v>
      </c>
      <c r="AS70" s="67">
        <v>0</v>
      </c>
      <c r="AT70" s="67">
        <v>0</v>
      </c>
      <c r="AU70" s="1">
        <v>-18</v>
      </c>
      <c r="AV70" s="1">
        <v>-9</v>
      </c>
      <c r="AW70" s="1">
        <v>-10</v>
      </c>
      <c r="AX70" s="1">
        <f>-46-SUM(AU70:AW70)</f>
        <v>-9</v>
      </c>
      <c r="AY70" s="1">
        <v>-11</v>
      </c>
      <c r="AZ70" s="1">
        <v>-11</v>
      </c>
      <c r="BA70" s="1">
        <v>-10</v>
      </c>
      <c r="BB70" s="1">
        <f>-43-SUM(AY70:BA70)</f>
        <v>-11</v>
      </c>
      <c r="BC70" s="1">
        <v>-14</v>
      </c>
      <c r="BD70" s="1">
        <v>-26</v>
      </c>
      <c r="BE70" s="1">
        <v>-55</v>
      </c>
      <c r="BF70" s="1">
        <f>-183-SUM(BC70:BE70)</f>
        <v>-88</v>
      </c>
      <c r="BG70" s="1">
        <v>-101</v>
      </c>
      <c r="BH70" s="1">
        <v>-98</v>
      </c>
      <c r="BI70" s="1">
        <v>-97</v>
      </c>
      <c r="BJ70" s="1">
        <f>-385-SUM(BG70:BI70)</f>
        <v>-89</v>
      </c>
      <c r="BK70" s="1">
        <v>-80</v>
      </c>
      <c r="BL70" s="1">
        <v>-82</v>
      </c>
      <c r="BM70" s="1">
        <v>-91</v>
      </c>
      <c r="BN70" s="1">
        <f>-344-SUM(BK70:BM70)</f>
        <v>-91</v>
      </c>
      <c r="BO70" s="1">
        <v>-82</v>
      </c>
      <c r="BP70" s="1">
        <v>-71</v>
      </c>
      <c r="BQ70" s="1">
        <v>-77</v>
      </c>
      <c r="BR70" s="1">
        <v>-15</v>
      </c>
      <c r="BS70" s="1">
        <v>-106</v>
      </c>
      <c r="BT70" s="1">
        <v>-52</v>
      </c>
      <c r="CA70" s="67">
        <f t="shared" ref="CA70:CA75" si="211">SUM(C70:F70)</f>
        <v>0</v>
      </c>
      <c r="CB70" s="67">
        <f t="shared" ref="CB70:CB75" si="212">SUM(G70:J70)</f>
        <v>0</v>
      </c>
      <c r="CC70" s="67">
        <f t="shared" ref="CC70:CC75" si="213">SUM(K70:N70)</f>
        <v>0</v>
      </c>
      <c r="CD70" s="67">
        <f t="shared" ref="CD70:CD75" si="214">SUM(O70:R70)</f>
        <v>0</v>
      </c>
      <c r="CE70" s="67">
        <f t="shared" ref="CE70:CE75" si="215">SUM(S70:V70)</f>
        <v>0</v>
      </c>
      <c r="CF70" s="67">
        <f t="shared" ref="CF70:CF75" si="216">SUM(W70:Z70)</f>
        <v>0</v>
      </c>
      <c r="CG70" s="67">
        <f t="shared" ref="CG70:CG75" si="217">SUM(AA70:AD70)</f>
        <v>0</v>
      </c>
      <c r="CH70" s="67">
        <f t="shared" ref="CH70:CH75" si="218">SUM(AE70:AH70)</f>
        <v>0</v>
      </c>
      <c r="CI70" s="67">
        <f t="shared" ref="CI70:CI75" si="219">SUM(AI70:AL70)</f>
        <v>0</v>
      </c>
      <c r="CJ70" s="67">
        <f t="shared" ref="CJ70:CJ75" si="220">SUM(AM70:AP70)</f>
        <v>0</v>
      </c>
      <c r="CK70" s="67">
        <f t="shared" ref="CK70:CK75" si="221">SUM(AQ70:AT70)</f>
        <v>0</v>
      </c>
      <c r="CL70" s="67">
        <f t="shared" si="142"/>
        <v>-46</v>
      </c>
      <c r="CM70" s="67">
        <f t="shared" si="143"/>
        <v>-43</v>
      </c>
      <c r="CN70" s="67">
        <f t="shared" si="144"/>
        <v>-183</v>
      </c>
      <c r="CO70" s="67">
        <f t="shared" si="145"/>
        <v>-385</v>
      </c>
      <c r="CP70" s="67">
        <f t="shared" si="146"/>
        <v>-344</v>
      </c>
      <c r="CQ70" s="1">
        <f t="shared" si="151"/>
        <v>-245</v>
      </c>
      <c r="CR70" s="69">
        <f t="shared" ref="CR70:CZ70" si="222">-CQ86*($DA$89)</f>
        <v>-894.81</v>
      </c>
      <c r="CS70" s="69">
        <f t="shared" si="222"/>
        <v>-1440.1748432693998</v>
      </c>
      <c r="CT70" s="69">
        <f t="shared" si="222"/>
        <v>-2156.4493944259398</v>
      </c>
      <c r="CU70" s="69">
        <f t="shared" si="222"/>
        <v>-3065.6156808016135</v>
      </c>
      <c r="CV70" s="69">
        <f t="shared" si="222"/>
        <v>-4188.3274023333915</v>
      </c>
      <c r="CW70" s="69">
        <f t="shared" si="222"/>
        <v>-5562.4803225511441</v>
      </c>
      <c r="CX70" s="69">
        <f t="shared" si="222"/>
        <v>-7211.4847528300143</v>
      </c>
      <c r="CY70" s="69">
        <f t="shared" si="222"/>
        <v>-9116.4444150099407</v>
      </c>
      <c r="CZ70" s="69">
        <f t="shared" si="222"/>
        <v>-11283.731287926885</v>
      </c>
    </row>
    <row r="71" spans="2:156">
      <c r="B71" s="1" t="s">
        <v>1461</v>
      </c>
      <c r="C71" s="67">
        <v>0</v>
      </c>
      <c r="D71" s="67">
        <v>0</v>
      </c>
      <c r="E71" s="67">
        <v>0</v>
      </c>
      <c r="F71" s="67">
        <v>0</v>
      </c>
      <c r="G71" s="67">
        <v>0</v>
      </c>
      <c r="H71" s="67">
        <v>0</v>
      </c>
      <c r="I71" s="67">
        <v>0</v>
      </c>
      <c r="J71" s="67">
        <v>0</v>
      </c>
      <c r="K71" s="67">
        <v>0</v>
      </c>
      <c r="L71" s="67">
        <v>0</v>
      </c>
      <c r="M71" s="67">
        <v>0</v>
      </c>
      <c r="N71" s="67">
        <v>0</v>
      </c>
      <c r="O71" s="67">
        <v>0</v>
      </c>
      <c r="P71" s="67">
        <v>0</v>
      </c>
      <c r="Q71" s="67">
        <v>0</v>
      </c>
      <c r="R71" s="67">
        <v>0</v>
      </c>
      <c r="S71" s="67">
        <v>0</v>
      </c>
      <c r="T71" s="67">
        <v>0</v>
      </c>
      <c r="U71" s="67">
        <v>0</v>
      </c>
      <c r="V71" s="67">
        <v>0</v>
      </c>
      <c r="W71" s="67">
        <v>0</v>
      </c>
      <c r="X71" s="67">
        <v>0</v>
      </c>
      <c r="Y71" s="67">
        <v>0</v>
      </c>
      <c r="Z71" s="67">
        <v>0</v>
      </c>
      <c r="AA71" s="67">
        <v>0</v>
      </c>
      <c r="AB71" s="67">
        <v>0</v>
      </c>
      <c r="AC71" s="67">
        <v>0</v>
      </c>
      <c r="AD71" s="67">
        <v>0</v>
      </c>
      <c r="AE71" s="67">
        <v>0</v>
      </c>
      <c r="AF71" s="67">
        <v>0</v>
      </c>
      <c r="AG71" s="67">
        <v>0</v>
      </c>
      <c r="AH71" s="67">
        <v>0</v>
      </c>
      <c r="AI71" s="67">
        <v>0</v>
      </c>
      <c r="AJ71" s="67">
        <v>0</v>
      </c>
      <c r="AK71" s="67">
        <v>0</v>
      </c>
      <c r="AL71" s="67">
        <v>0</v>
      </c>
      <c r="AM71" s="67">
        <v>0</v>
      </c>
      <c r="AN71" s="67">
        <v>0</v>
      </c>
      <c r="AO71" s="67">
        <v>0</v>
      </c>
      <c r="AP71" s="67">
        <v>0</v>
      </c>
      <c r="AQ71" s="67">
        <v>0</v>
      </c>
      <c r="AR71" s="67">
        <v>0</v>
      </c>
      <c r="AS71" s="67">
        <v>0</v>
      </c>
      <c r="AT71" s="67">
        <v>0</v>
      </c>
      <c r="AU71" s="1">
        <v>5</v>
      </c>
      <c r="AV71" s="1">
        <v>-1</v>
      </c>
      <c r="AW71" s="1">
        <v>-7</v>
      </c>
      <c r="AX71" s="1">
        <f>-8-SUM(AU71:AW71)</f>
        <v>-5</v>
      </c>
      <c r="AY71" s="1">
        <v>3</v>
      </c>
      <c r="AZ71" s="1">
        <v>0</v>
      </c>
      <c r="BA71" s="1">
        <v>4</v>
      </c>
      <c r="BB71" s="1">
        <f>1-SUM(AY71:BA71)</f>
        <v>-6</v>
      </c>
      <c r="BC71" s="1">
        <v>-3</v>
      </c>
      <c r="BD71" s="1">
        <v>0</v>
      </c>
      <c r="BE71" s="1">
        <v>19</v>
      </c>
      <c r="BF71" s="1">
        <f>2-SUM(BC71:BE71)</f>
        <v>-14</v>
      </c>
      <c r="BG71" s="1">
        <v>6</v>
      </c>
      <c r="BH71" s="1">
        <v>21</v>
      </c>
      <c r="BI71" s="1">
        <v>-10</v>
      </c>
      <c r="BJ71" s="1">
        <f>41-SUM(BG71:BI71)</f>
        <v>24</v>
      </c>
      <c r="BK71" s="1">
        <v>0</v>
      </c>
      <c r="BL71" s="1">
        <v>-6</v>
      </c>
      <c r="BM71" s="1">
        <v>-11</v>
      </c>
      <c r="BN71" s="1">
        <f>-27-SUM(BK71:BM71)</f>
        <v>-10</v>
      </c>
      <c r="BO71" s="1">
        <v>-7</v>
      </c>
      <c r="BP71" s="1">
        <v>-11</v>
      </c>
      <c r="BQ71" s="1">
        <v>-17</v>
      </c>
      <c r="BR71" s="1">
        <v>0</v>
      </c>
      <c r="BS71" s="1">
        <v>-13</v>
      </c>
      <c r="BT71" s="1">
        <v>4</v>
      </c>
      <c r="CA71" s="67">
        <f t="shared" si="211"/>
        <v>0</v>
      </c>
      <c r="CB71" s="67">
        <f t="shared" si="212"/>
        <v>0</v>
      </c>
      <c r="CC71" s="67">
        <f t="shared" si="213"/>
        <v>0</v>
      </c>
      <c r="CD71" s="67">
        <f t="shared" si="214"/>
        <v>0</v>
      </c>
      <c r="CE71" s="67">
        <f t="shared" si="215"/>
        <v>0</v>
      </c>
      <c r="CF71" s="67">
        <f t="shared" si="216"/>
        <v>0</v>
      </c>
      <c r="CG71" s="67">
        <f t="shared" si="217"/>
        <v>0</v>
      </c>
      <c r="CH71" s="67">
        <f t="shared" si="218"/>
        <v>0</v>
      </c>
      <c r="CI71" s="67">
        <f t="shared" si="219"/>
        <v>0</v>
      </c>
      <c r="CJ71" s="67">
        <f t="shared" si="220"/>
        <v>0</v>
      </c>
      <c r="CK71" s="67">
        <f t="shared" si="221"/>
        <v>0</v>
      </c>
      <c r="CL71" s="67">
        <f t="shared" si="142"/>
        <v>-8</v>
      </c>
      <c r="CM71" s="67">
        <f t="shared" si="143"/>
        <v>1</v>
      </c>
      <c r="CN71" s="67">
        <f t="shared" si="144"/>
        <v>2</v>
      </c>
      <c r="CO71" s="67">
        <f t="shared" si="145"/>
        <v>41</v>
      </c>
      <c r="CP71" s="67">
        <f t="shared" si="146"/>
        <v>-27</v>
      </c>
      <c r="CQ71" s="1">
        <f t="shared" si="151"/>
        <v>-35</v>
      </c>
      <c r="CR71" s="35">
        <v>0</v>
      </c>
      <c r="CS71" s="35">
        <v>0</v>
      </c>
      <c r="CT71" s="35">
        <v>0</v>
      </c>
      <c r="CU71" s="35">
        <v>0</v>
      </c>
      <c r="CV71" s="35">
        <v>0</v>
      </c>
      <c r="CW71" s="35">
        <v>0</v>
      </c>
      <c r="CX71" s="35">
        <v>0</v>
      </c>
      <c r="CY71" s="35">
        <v>0</v>
      </c>
      <c r="CZ71" s="35">
        <v>0</v>
      </c>
    </row>
    <row r="72" spans="2:156">
      <c r="B72" s="1" t="s">
        <v>1462</v>
      </c>
      <c r="C72" s="67">
        <v>871.7</v>
      </c>
      <c r="D72" s="67">
        <v>-104.4</v>
      </c>
      <c r="E72" s="67">
        <v>231.6</v>
      </c>
      <c r="F72" s="67">
        <v>-40.9</v>
      </c>
      <c r="G72" s="67">
        <v>-148.30000000000001</v>
      </c>
      <c r="H72" s="67">
        <v>-47.3</v>
      </c>
      <c r="I72" s="67">
        <v>-117.1</v>
      </c>
      <c r="J72" s="67">
        <v>-62.1</v>
      </c>
      <c r="K72" s="67">
        <v>-232.4</v>
      </c>
      <c r="L72" s="67">
        <v>-98.9</v>
      </c>
      <c r="M72" s="67">
        <v>-93.3</v>
      </c>
      <c r="N72" s="67">
        <v>-128</v>
      </c>
      <c r="O72" s="67">
        <v>-45.8</v>
      </c>
      <c r="P72" s="67">
        <v>-34.700000000000003</v>
      </c>
      <c r="Q72" s="67">
        <v>-78.7</v>
      </c>
      <c r="R72" s="67">
        <v>-1420.8</v>
      </c>
      <c r="S72" s="67">
        <v>-61</v>
      </c>
      <c r="T72" s="67">
        <v>-26</v>
      </c>
      <c r="U72" s="67">
        <v>8</v>
      </c>
      <c r="V72" s="67">
        <v>-13</v>
      </c>
      <c r="W72" s="67">
        <v>-24</v>
      </c>
      <c r="X72" s="67">
        <v>-19</v>
      </c>
      <c r="Y72" s="67">
        <v>-13</v>
      </c>
      <c r="Z72" s="67">
        <v>-25</v>
      </c>
      <c r="AA72" s="67">
        <v>43</v>
      </c>
      <c r="AB72" s="67">
        <v>257</v>
      </c>
      <c r="AC72" s="67">
        <v>1</v>
      </c>
      <c r="AD72" s="67">
        <v>15</v>
      </c>
      <c r="AE72" s="67">
        <v>-522</v>
      </c>
      <c r="AF72" s="67">
        <v>-101</v>
      </c>
      <c r="AG72" s="67">
        <v>-1076</v>
      </c>
      <c r="AH72" s="67">
        <v>86</v>
      </c>
      <c r="AI72" s="67">
        <v>978</v>
      </c>
      <c r="AJ72" s="67">
        <v>-91</v>
      </c>
      <c r="AK72" s="67">
        <v>-143</v>
      </c>
      <c r="AL72" s="67">
        <v>-77</v>
      </c>
      <c r="AM72" s="67">
        <v>-177</v>
      </c>
      <c r="AN72" s="67">
        <v>-105</v>
      </c>
      <c r="AO72" s="67">
        <v>-277</v>
      </c>
      <c r="AP72" s="67">
        <v>-218</v>
      </c>
      <c r="AQ72" s="67">
        <v>-107</v>
      </c>
      <c r="AR72" s="67">
        <v>-104</v>
      </c>
      <c r="AS72" s="67">
        <v>-95</v>
      </c>
      <c r="AT72" s="67">
        <v>-149</v>
      </c>
      <c r="AU72" s="1">
        <v>-1</v>
      </c>
      <c r="AV72" s="1">
        <v>22</v>
      </c>
      <c r="AW72" s="1">
        <v>-46</v>
      </c>
      <c r="AX72" s="1">
        <f>-103-SUM(AU72:AW72)</f>
        <v>-78</v>
      </c>
      <c r="AY72" s="1">
        <v>-61</v>
      </c>
      <c r="AZ72" s="1">
        <v>-79</v>
      </c>
      <c r="BA72" s="1">
        <v>-74</v>
      </c>
      <c r="BB72" s="1">
        <f>-277-SUM(AY72:BA72)</f>
        <v>-63</v>
      </c>
      <c r="BC72" s="1">
        <v>-78</v>
      </c>
      <c r="BD72" s="1">
        <v>-82</v>
      </c>
      <c r="BE72" s="1">
        <v>-93</v>
      </c>
      <c r="BF72" s="1">
        <f>-321-SUM(BC72:BE72)</f>
        <v>-68</v>
      </c>
      <c r="BG72" s="1">
        <v>-111</v>
      </c>
      <c r="BH72" s="1">
        <v>-176</v>
      </c>
      <c r="BI72" s="1">
        <v>-83</v>
      </c>
      <c r="BJ72" s="1">
        <f>-479-SUM(BG72:BI72)</f>
        <v>-109</v>
      </c>
      <c r="BK72" s="1">
        <v>-111</v>
      </c>
      <c r="BL72" s="1">
        <v>10</v>
      </c>
      <c r="BM72" s="1">
        <v>-121</v>
      </c>
      <c r="BN72" s="1">
        <f>-376-SUM(BK72:BM72)</f>
        <v>-154</v>
      </c>
      <c r="BO72" s="1">
        <v>-127</v>
      </c>
      <c r="BP72" s="1">
        <v>-137</v>
      </c>
      <c r="BQ72" s="1">
        <v>-150</v>
      </c>
      <c r="BR72" s="1">
        <v>-134</v>
      </c>
      <c r="BS72" s="1">
        <v>-159</v>
      </c>
      <c r="BT72" s="1">
        <v>-134</v>
      </c>
      <c r="CA72" s="67">
        <f t="shared" si="211"/>
        <v>958.00000000000011</v>
      </c>
      <c r="CB72" s="67">
        <f t="shared" si="212"/>
        <v>-374.80000000000007</v>
      </c>
      <c r="CC72" s="67">
        <f t="shared" si="213"/>
        <v>-552.6</v>
      </c>
      <c r="CD72" s="67">
        <f t="shared" si="214"/>
        <v>-1580</v>
      </c>
      <c r="CE72" s="67">
        <f t="shared" si="215"/>
        <v>-92</v>
      </c>
      <c r="CF72" s="67">
        <f t="shared" si="216"/>
        <v>-81</v>
      </c>
      <c r="CG72" s="67">
        <f t="shared" si="217"/>
        <v>316</v>
      </c>
      <c r="CH72" s="67">
        <f t="shared" si="218"/>
        <v>-1613</v>
      </c>
      <c r="CI72" s="67">
        <f t="shared" si="219"/>
        <v>667</v>
      </c>
      <c r="CJ72" s="67">
        <f t="shared" si="220"/>
        <v>-777</v>
      </c>
      <c r="CK72" s="67">
        <f t="shared" si="221"/>
        <v>-455</v>
      </c>
      <c r="CL72" s="67">
        <f t="shared" si="142"/>
        <v>-103</v>
      </c>
      <c r="CM72" s="67">
        <f t="shared" si="143"/>
        <v>-277</v>
      </c>
      <c r="CN72" s="67">
        <f t="shared" si="144"/>
        <v>-321</v>
      </c>
      <c r="CO72" s="67">
        <f t="shared" si="145"/>
        <v>-479</v>
      </c>
      <c r="CP72" s="67">
        <f t="shared" si="146"/>
        <v>-376</v>
      </c>
      <c r="CQ72" s="1">
        <f t="shared" si="151"/>
        <v>-548</v>
      </c>
      <c r="CR72" s="69">
        <f t="shared" ref="CR72:CZ72" si="223">CQ72*(1.05)</f>
        <v>-575.4</v>
      </c>
      <c r="CS72" s="69">
        <f t="shared" si="223"/>
        <v>-604.16999999999996</v>
      </c>
      <c r="CT72" s="69">
        <f t="shared" si="223"/>
        <v>-634.37850000000003</v>
      </c>
      <c r="CU72" s="69">
        <f t="shared" si="223"/>
        <v>-666.09742500000004</v>
      </c>
      <c r="CV72" s="69">
        <f t="shared" si="223"/>
        <v>-699.40229625000006</v>
      </c>
      <c r="CW72" s="69">
        <f t="shared" si="223"/>
        <v>-734.37241106250008</v>
      </c>
      <c r="CX72" s="69">
        <f t="shared" si="223"/>
        <v>-771.09103161562507</v>
      </c>
      <c r="CY72" s="69">
        <f t="shared" si="223"/>
        <v>-809.64558319640639</v>
      </c>
      <c r="CZ72" s="69">
        <f t="shared" si="223"/>
        <v>-850.12786235622673</v>
      </c>
    </row>
    <row r="73" spans="2:156">
      <c r="B73" s="1" t="s">
        <v>1463</v>
      </c>
      <c r="C73" s="67">
        <f>C68+C72</f>
        <v>1932.4999999999998</v>
      </c>
      <c r="D73" s="67">
        <f t="shared" ref="D73:AT73" si="224">D68+D72</f>
        <v>1566.9999999999995</v>
      </c>
      <c r="E73" s="67">
        <f t="shared" si="224"/>
        <v>1871.3000000000002</v>
      </c>
      <c r="F73" s="67">
        <f t="shared" si="224"/>
        <v>1822.9000000000005</v>
      </c>
      <c r="G73" s="67">
        <f t="shared" si="224"/>
        <v>1322.1999999999991</v>
      </c>
      <c r="H73" s="67">
        <f t="shared" si="224"/>
        <v>1558.7000000000005</v>
      </c>
      <c r="I73" s="67">
        <f t="shared" si="224"/>
        <v>1064.0999999999999</v>
      </c>
      <c r="J73" s="67">
        <f t="shared" si="224"/>
        <v>1767.7999999999993</v>
      </c>
      <c r="K73" s="67">
        <f t="shared" si="224"/>
        <v>1068.6999999999994</v>
      </c>
      <c r="L73" s="67">
        <f t="shared" si="224"/>
        <v>1674.4999999999991</v>
      </c>
      <c r="M73" s="67">
        <f t="shared" si="224"/>
        <v>501.7000000000009</v>
      </c>
      <c r="N73" s="67">
        <f t="shared" si="224"/>
        <v>1954</v>
      </c>
      <c r="O73" s="67">
        <f t="shared" si="224"/>
        <v>463.39999999999981</v>
      </c>
      <c r="P73" s="67">
        <f t="shared" si="224"/>
        <v>529.40000000000032</v>
      </c>
      <c r="Q73" s="67">
        <f t="shared" si="224"/>
        <v>231.3</v>
      </c>
      <c r="R73" s="67">
        <f t="shared" si="224"/>
        <v>-1444.3000000000002</v>
      </c>
      <c r="S73" s="67">
        <f t="shared" si="224"/>
        <v>554</v>
      </c>
      <c r="T73" s="67">
        <f t="shared" si="224"/>
        <v>601</v>
      </c>
      <c r="U73" s="67">
        <f t="shared" si="224"/>
        <v>481</v>
      </c>
      <c r="V73" s="67">
        <f t="shared" si="224"/>
        <v>405</v>
      </c>
      <c r="W73" s="67">
        <f t="shared" si="224"/>
        <v>341</v>
      </c>
      <c r="X73" s="67">
        <f t="shared" si="224"/>
        <v>658</v>
      </c>
      <c r="Y73" s="67">
        <f t="shared" si="224"/>
        <v>715</v>
      </c>
      <c r="Z73" s="67">
        <f t="shared" si="224"/>
        <v>801</v>
      </c>
      <c r="AA73" s="67">
        <f t="shared" si="224"/>
        <v>653</v>
      </c>
      <c r="AB73" s="67">
        <f t="shared" si="224"/>
        <v>986</v>
      </c>
      <c r="AC73" s="67">
        <f t="shared" si="224"/>
        <v>714</v>
      </c>
      <c r="AD73" s="67">
        <f t="shared" si="224"/>
        <v>830</v>
      </c>
      <c r="AE73" s="67">
        <f t="shared" si="224"/>
        <v>2</v>
      </c>
      <c r="AF73" s="67">
        <f t="shared" si="224"/>
        <v>715</v>
      </c>
      <c r="AG73" s="67">
        <f t="shared" si="224"/>
        <v>-179</v>
      </c>
      <c r="AH73" s="67">
        <f t="shared" si="224"/>
        <v>875</v>
      </c>
      <c r="AI73" s="67">
        <f t="shared" si="224"/>
        <v>736</v>
      </c>
      <c r="AJ73" s="67">
        <f t="shared" si="224"/>
        <v>295</v>
      </c>
      <c r="AK73" s="67">
        <f t="shared" si="224"/>
        <v>626</v>
      </c>
      <c r="AL73" s="67">
        <f t="shared" si="224"/>
        <v>574</v>
      </c>
      <c r="AM73" s="67">
        <f t="shared" si="224"/>
        <v>431</v>
      </c>
      <c r="AN73" s="67">
        <f t="shared" si="224"/>
        <v>777</v>
      </c>
      <c r="AO73" s="67">
        <f t="shared" si="224"/>
        <v>718</v>
      </c>
      <c r="AP73" s="67">
        <f t="shared" si="224"/>
        <v>947</v>
      </c>
      <c r="AQ73" s="67">
        <f t="shared" si="224"/>
        <v>632</v>
      </c>
      <c r="AR73" s="67">
        <f t="shared" si="224"/>
        <v>1102</v>
      </c>
      <c r="AS73" s="67">
        <f t="shared" si="224"/>
        <v>1103</v>
      </c>
      <c r="AT73" s="67">
        <f t="shared" si="224"/>
        <v>1240</v>
      </c>
      <c r="AU73" s="1">
        <f t="shared" ref="AU73:BP73" si="225">AU68-SUM(AU69:AU72)</f>
        <v>633</v>
      </c>
      <c r="AV73" s="1">
        <f t="shared" si="225"/>
        <v>526</v>
      </c>
      <c r="AW73" s="1">
        <f t="shared" si="225"/>
        <v>1421</v>
      </c>
      <c r="AX73" s="1">
        <f t="shared" si="225"/>
        <v>2388</v>
      </c>
      <c r="AY73" s="1">
        <f t="shared" si="225"/>
        <v>2043</v>
      </c>
      <c r="AZ73" s="1">
        <f t="shared" si="225"/>
        <v>1348</v>
      </c>
      <c r="BA73" s="1">
        <f t="shared" si="225"/>
        <v>2493</v>
      </c>
      <c r="BB73" s="1">
        <f t="shared" si="225"/>
        <v>2327</v>
      </c>
      <c r="BC73" s="1">
        <f t="shared" si="225"/>
        <v>2876</v>
      </c>
      <c r="BD73" s="1">
        <f t="shared" si="225"/>
        <v>2352</v>
      </c>
      <c r="BE73" s="1">
        <f t="shared" si="225"/>
        <v>1758</v>
      </c>
      <c r="BF73" s="1">
        <f t="shared" si="225"/>
        <v>1320</v>
      </c>
      <c r="BG73" s="1">
        <f t="shared" si="225"/>
        <v>1562</v>
      </c>
      <c r="BH73" s="1">
        <f t="shared" si="225"/>
        <v>1636</v>
      </c>
      <c r="BI73" s="1">
        <f t="shared" si="225"/>
        <v>1671</v>
      </c>
      <c r="BJ73" s="1">
        <f t="shared" si="225"/>
        <v>1795</v>
      </c>
      <c r="BK73" s="1">
        <f t="shared" si="225"/>
        <v>1436</v>
      </c>
      <c r="BL73" s="1">
        <f t="shared" si="225"/>
        <v>1607</v>
      </c>
      <c r="BM73" s="1">
        <f t="shared" si="225"/>
        <v>1940</v>
      </c>
      <c r="BN73" s="1">
        <f t="shared" si="225"/>
        <v>2030</v>
      </c>
      <c r="BO73" s="1">
        <f t="shared" si="225"/>
        <v>1778</v>
      </c>
      <c r="BP73" s="1">
        <f t="shared" si="225"/>
        <v>2150</v>
      </c>
      <c r="BQ73" s="1">
        <f>BQ68-SUM(BQ69:BQ72)</f>
        <v>2180</v>
      </c>
      <c r="BR73" s="1">
        <f t="shared" ref="BR73" si="226">BR68-SUM(BR69:BR72)</f>
        <v>2358</v>
      </c>
      <c r="BS73" s="1">
        <f>BS68-SUM(BS69:BS72)</f>
        <v>1449</v>
      </c>
      <c r="BT73" s="1">
        <f>BT68-SUM(BT69:BT72)</f>
        <v>1524</v>
      </c>
      <c r="CA73" s="67">
        <f t="shared" si="211"/>
        <v>7193.7</v>
      </c>
      <c r="CB73" s="67">
        <f t="shared" si="212"/>
        <v>5712.7999999999993</v>
      </c>
      <c r="CC73" s="67">
        <f t="shared" si="213"/>
        <v>5198.8999999999996</v>
      </c>
      <c r="CD73" s="67">
        <f t="shared" si="214"/>
        <v>-220.20000000000005</v>
      </c>
      <c r="CE73" s="67">
        <f t="shared" si="215"/>
        <v>2041</v>
      </c>
      <c r="CF73" s="67">
        <f t="shared" si="216"/>
        <v>2515</v>
      </c>
      <c r="CG73" s="67">
        <f t="shared" si="217"/>
        <v>3183</v>
      </c>
      <c r="CH73" s="67">
        <f t="shared" si="218"/>
        <v>1413</v>
      </c>
      <c r="CI73" s="67">
        <f t="shared" si="219"/>
        <v>2231</v>
      </c>
      <c r="CJ73" s="67">
        <f t="shared" si="220"/>
        <v>2873</v>
      </c>
      <c r="CK73" s="67">
        <f t="shared" si="221"/>
        <v>4077</v>
      </c>
      <c r="CL73" s="67">
        <f t="shared" si="142"/>
        <v>4968</v>
      </c>
      <c r="CM73" s="67">
        <f t="shared" si="143"/>
        <v>8211</v>
      </c>
      <c r="CN73" s="67">
        <f t="shared" si="144"/>
        <v>8306</v>
      </c>
      <c r="CO73" s="67">
        <f t="shared" si="145"/>
        <v>6664</v>
      </c>
      <c r="CP73" s="67">
        <f t="shared" si="146"/>
        <v>7013</v>
      </c>
      <c r="CQ73" s="1">
        <f t="shared" si="151"/>
        <v>8466</v>
      </c>
      <c r="CR73" s="69">
        <f t="shared" ref="CR73:CZ73" si="227">CR68-SUM(CR69:CR72)</f>
        <v>6745.3907640000007</v>
      </c>
      <c r="CS73" s="69">
        <f t="shared" si="227"/>
        <v>8859.3018077494071</v>
      </c>
      <c r="CT73" s="69">
        <f t="shared" si="227"/>
        <v>11245.099398585942</v>
      </c>
      <c r="CU73" s="69">
        <f t="shared" si="227"/>
        <v>13886.354007814207</v>
      </c>
      <c r="CV73" s="69">
        <f t="shared" si="227"/>
        <v>16996.325543818828</v>
      </c>
      <c r="CW73" s="69">
        <f t="shared" si="227"/>
        <v>20395.849477784413</v>
      </c>
      <c r="CX73" s="69">
        <f t="shared" si="227"/>
        <v>23561.653211872926</v>
      </c>
      <c r="CY73" s="69">
        <f t="shared" si="227"/>
        <v>26806.269300147738</v>
      </c>
      <c r="CZ73" s="69">
        <f t="shared" si="227"/>
        <v>30115.35512284451</v>
      </c>
    </row>
    <row r="74" spans="2:156">
      <c r="B74" s="1" t="s">
        <v>1464</v>
      </c>
      <c r="C74" s="67">
        <v>493.8</v>
      </c>
      <c r="D74" s="67">
        <v>278.89999999999998</v>
      </c>
      <c r="E74" s="67">
        <v>391</v>
      </c>
      <c r="F74" s="67">
        <v>284.2</v>
      </c>
      <c r="G74" s="67">
        <v>319.2</v>
      </c>
      <c r="H74" s="67">
        <v>267</v>
      </c>
      <c r="I74" s="67">
        <v>173.4</v>
      </c>
      <c r="J74" s="67">
        <v>327</v>
      </c>
      <c r="K74" s="67">
        <v>205</v>
      </c>
      <c r="L74" s="67">
        <v>-268.2</v>
      </c>
      <c r="M74" s="67">
        <v>198.4</v>
      </c>
      <c r="N74" s="67">
        <v>335</v>
      </c>
      <c r="O74" s="67">
        <v>112.2</v>
      </c>
      <c r="P74" s="67">
        <v>118.7</v>
      </c>
      <c r="Q74" s="67">
        <v>-107.6</v>
      </c>
      <c r="R74" s="67">
        <v>-580.20000000000005</v>
      </c>
      <c r="S74" s="67">
        <v>10</v>
      </c>
      <c r="T74" s="67">
        <v>125</v>
      </c>
      <c r="U74" s="67">
        <v>-163</v>
      </c>
      <c r="V74" s="67">
        <v>81</v>
      </c>
      <c r="W74" s="67">
        <v>117</v>
      </c>
      <c r="X74" s="67">
        <v>233</v>
      </c>
      <c r="Y74" s="67">
        <v>278</v>
      </c>
      <c r="Z74" s="67">
        <v>169</v>
      </c>
      <c r="AA74" s="67">
        <v>124</v>
      </c>
      <c r="AB74" s="67">
        <v>200</v>
      </c>
      <c r="AC74" s="67">
        <v>118</v>
      </c>
      <c r="AD74" s="67">
        <v>135</v>
      </c>
      <c r="AE74" s="67">
        <v>-54</v>
      </c>
      <c r="AF74" s="67">
        <v>116</v>
      </c>
      <c r="AG74" s="67">
        <v>178</v>
      </c>
      <c r="AH74" s="67">
        <v>110</v>
      </c>
      <c r="AI74" s="67">
        <v>350</v>
      </c>
      <c r="AJ74" s="67">
        <v>25</v>
      </c>
      <c r="AK74" s="67">
        <v>65</v>
      </c>
      <c r="AL74" s="67">
        <v>1438</v>
      </c>
      <c r="AM74" s="67">
        <v>22</v>
      </c>
      <c r="AN74" s="67">
        <v>59</v>
      </c>
      <c r="AO74" s="67">
        <v>166</v>
      </c>
      <c r="AP74" s="67">
        <v>292</v>
      </c>
      <c r="AQ74" s="67">
        <v>-40</v>
      </c>
      <c r="AR74" s="67">
        <v>96</v>
      </c>
      <c r="AS74" s="67">
        <v>143</v>
      </c>
      <c r="AT74" s="67">
        <v>191</v>
      </c>
      <c r="AU74" s="1">
        <v>69</v>
      </c>
      <c r="AV74" s="1">
        <v>-11</v>
      </c>
      <c r="AW74" s="1">
        <v>189</v>
      </c>
      <c r="AX74" s="1">
        <f>497-SUM(AU74:AW74)</f>
        <v>250</v>
      </c>
      <c r="AY74" s="1">
        <v>250</v>
      </c>
      <c r="AZ74" s="1">
        <v>159</v>
      </c>
      <c r="BA74" s="1">
        <v>393</v>
      </c>
      <c r="BB74" s="1">
        <f>1140-SUM(AY74:BA74)</f>
        <v>338</v>
      </c>
      <c r="BC74" s="1">
        <v>429</v>
      </c>
      <c r="BD74" s="1">
        <v>334</v>
      </c>
      <c r="BE74" s="1">
        <v>323</v>
      </c>
      <c r="BF74" s="1">
        <f>1373-SUM(BC74:BE74)</f>
        <v>287</v>
      </c>
      <c r="BG74" s="1">
        <v>244</v>
      </c>
      <c r="BH74" s="1">
        <v>261</v>
      </c>
      <c r="BI74" s="1">
        <v>235</v>
      </c>
      <c r="BJ74" s="1">
        <f>941-SUM(BG74:BI74)</f>
        <v>201</v>
      </c>
      <c r="BK74" s="1">
        <v>211</v>
      </c>
      <c r="BL74" s="1">
        <v>305</v>
      </c>
      <c r="BM74" s="1">
        <v>294</v>
      </c>
      <c r="BN74" s="1">
        <f>-6389-SUM(BK74:BM74)</f>
        <v>-7199</v>
      </c>
      <c r="BO74" s="1">
        <v>453</v>
      </c>
      <c r="BP74" s="1">
        <v>371</v>
      </c>
      <c r="BQ74" s="1">
        <v>536</v>
      </c>
      <c r="BR74" s="1">
        <v>582</v>
      </c>
      <c r="BS74" s="1">
        <v>372</v>
      </c>
      <c r="BT74" s="1">
        <v>596</v>
      </c>
      <c r="CA74" s="67">
        <f t="shared" si="211"/>
        <v>1447.9</v>
      </c>
      <c r="CB74" s="67">
        <f t="shared" si="212"/>
        <v>1086.5999999999999</v>
      </c>
      <c r="CC74" s="67">
        <f t="shared" si="213"/>
        <v>470.20000000000005</v>
      </c>
      <c r="CD74" s="67">
        <f t="shared" si="214"/>
        <v>-456.90000000000003</v>
      </c>
      <c r="CE74" s="67">
        <f t="shared" si="215"/>
        <v>53</v>
      </c>
      <c r="CF74" s="67">
        <f t="shared" si="216"/>
        <v>797</v>
      </c>
      <c r="CG74" s="67">
        <f t="shared" si="217"/>
        <v>577</v>
      </c>
      <c r="CH74" s="67">
        <f t="shared" si="218"/>
        <v>350</v>
      </c>
      <c r="CI74" s="67">
        <f t="shared" si="219"/>
        <v>1878</v>
      </c>
      <c r="CJ74" s="67">
        <f t="shared" si="220"/>
        <v>539</v>
      </c>
      <c r="CK74" s="67">
        <f t="shared" si="221"/>
        <v>390</v>
      </c>
      <c r="CL74" s="67">
        <f t="shared" si="142"/>
        <v>497</v>
      </c>
      <c r="CM74" s="67">
        <f t="shared" si="143"/>
        <v>1140</v>
      </c>
      <c r="CN74" s="67">
        <f t="shared" si="144"/>
        <v>1373</v>
      </c>
      <c r="CO74" s="67">
        <f t="shared" si="145"/>
        <v>941</v>
      </c>
      <c r="CP74" s="67">
        <f t="shared" si="146"/>
        <v>-6389</v>
      </c>
      <c r="CQ74" s="1">
        <f t="shared" si="151"/>
        <v>1942</v>
      </c>
      <c r="CR74" s="69">
        <f t="shared" ref="CR74:CZ74" si="228">CR73*CR83</f>
        <v>1551.4398757200001</v>
      </c>
      <c r="CS74" s="69">
        <f t="shared" si="228"/>
        <v>2037.6394157823638</v>
      </c>
      <c r="CT74" s="69">
        <f t="shared" si="228"/>
        <v>2586.3728616747667</v>
      </c>
      <c r="CU74" s="69">
        <f t="shared" si="228"/>
        <v>3193.8614217972677</v>
      </c>
      <c r="CV74" s="69">
        <f t="shared" si="228"/>
        <v>3909.1548750783304</v>
      </c>
      <c r="CW74" s="69">
        <f t="shared" si="228"/>
        <v>4691.0453798904155</v>
      </c>
      <c r="CX74" s="69">
        <f t="shared" si="228"/>
        <v>5419.1802387307735</v>
      </c>
      <c r="CY74" s="69">
        <f t="shared" si="228"/>
        <v>6165.4419390339799</v>
      </c>
      <c r="CZ74" s="69">
        <f t="shared" si="228"/>
        <v>6926.5316782542377</v>
      </c>
    </row>
    <row r="75" spans="2:156" s="2" customFormat="1" ht="15">
      <c r="B75" s="2" t="s">
        <v>73</v>
      </c>
      <c r="C75" s="66">
        <f>C73-C74</f>
        <v>1438.6999999999998</v>
      </c>
      <c r="D75" s="66">
        <f t="shared" ref="D75:AT75" si="229">D73-D74</f>
        <v>1288.0999999999995</v>
      </c>
      <c r="E75" s="66">
        <f t="shared" si="229"/>
        <v>1480.3000000000002</v>
      </c>
      <c r="F75" s="66">
        <f t="shared" si="229"/>
        <v>1538.7000000000005</v>
      </c>
      <c r="G75" s="66">
        <f t="shared" si="229"/>
        <v>1002.9999999999991</v>
      </c>
      <c r="H75" s="66">
        <f t="shared" si="229"/>
        <v>1291.7000000000005</v>
      </c>
      <c r="I75" s="66">
        <f t="shared" si="229"/>
        <v>890.69999999999993</v>
      </c>
      <c r="J75" s="66">
        <f t="shared" si="229"/>
        <v>1440.7999999999993</v>
      </c>
      <c r="K75" s="66">
        <f t="shared" si="229"/>
        <v>863.69999999999936</v>
      </c>
      <c r="L75" s="66">
        <f t="shared" si="229"/>
        <v>1942.6999999999991</v>
      </c>
      <c r="M75" s="66">
        <f t="shared" si="229"/>
        <v>303.30000000000086</v>
      </c>
      <c r="N75" s="66">
        <f t="shared" si="229"/>
        <v>1619</v>
      </c>
      <c r="O75" s="66">
        <f t="shared" si="229"/>
        <v>351.19999999999982</v>
      </c>
      <c r="P75" s="66">
        <f t="shared" si="229"/>
        <v>410.70000000000033</v>
      </c>
      <c r="Q75" s="66">
        <f t="shared" si="229"/>
        <v>338.9</v>
      </c>
      <c r="R75" s="66">
        <f t="shared" si="229"/>
        <v>-864.10000000000014</v>
      </c>
      <c r="S75" s="66">
        <f t="shared" si="229"/>
        <v>544</v>
      </c>
      <c r="T75" s="66">
        <f t="shared" si="229"/>
        <v>476</v>
      </c>
      <c r="U75" s="66">
        <f t="shared" si="229"/>
        <v>644</v>
      </c>
      <c r="V75" s="66">
        <f t="shared" si="229"/>
        <v>324</v>
      </c>
      <c r="W75" s="66">
        <f t="shared" si="229"/>
        <v>224</v>
      </c>
      <c r="X75" s="66">
        <f t="shared" si="229"/>
        <v>425</v>
      </c>
      <c r="Y75" s="66">
        <f t="shared" si="229"/>
        <v>437</v>
      </c>
      <c r="Z75" s="66">
        <f t="shared" si="229"/>
        <v>632</v>
      </c>
      <c r="AA75" s="66">
        <f t="shared" si="229"/>
        <v>529</v>
      </c>
      <c r="AB75" s="66">
        <f t="shared" si="229"/>
        <v>786</v>
      </c>
      <c r="AC75" s="66">
        <f t="shared" si="229"/>
        <v>596</v>
      </c>
      <c r="AD75" s="66">
        <f t="shared" si="229"/>
        <v>695</v>
      </c>
      <c r="AE75" s="66">
        <f t="shared" si="229"/>
        <v>56</v>
      </c>
      <c r="AF75" s="66">
        <f t="shared" si="229"/>
        <v>599</v>
      </c>
      <c r="AG75" s="66">
        <f t="shared" si="229"/>
        <v>-357</v>
      </c>
      <c r="AH75" s="66">
        <f t="shared" si="229"/>
        <v>765</v>
      </c>
      <c r="AI75" s="66">
        <f t="shared" si="229"/>
        <v>386</v>
      </c>
      <c r="AJ75" s="66">
        <f t="shared" si="229"/>
        <v>270</v>
      </c>
      <c r="AK75" s="66">
        <f t="shared" si="229"/>
        <v>561</v>
      </c>
      <c r="AL75" s="66">
        <f t="shared" si="229"/>
        <v>-864</v>
      </c>
      <c r="AM75" s="66">
        <f t="shared" si="229"/>
        <v>409</v>
      </c>
      <c r="AN75" s="66">
        <f t="shared" si="229"/>
        <v>718</v>
      </c>
      <c r="AO75" s="66">
        <f t="shared" si="229"/>
        <v>552</v>
      </c>
      <c r="AP75" s="66">
        <f t="shared" si="229"/>
        <v>655</v>
      </c>
      <c r="AQ75" s="66">
        <f t="shared" si="229"/>
        <v>672</v>
      </c>
      <c r="AR75" s="66">
        <f t="shared" si="229"/>
        <v>1006</v>
      </c>
      <c r="AS75" s="66">
        <f t="shared" si="229"/>
        <v>960</v>
      </c>
      <c r="AT75" s="66">
        <f t="shared" si="229"/>
        <v>1049</v>
      </c>
      <c r="AU75" s="2">
        <f t="shared" ref="AU75:BP75" si="230">AU73-AU74</f>
        <v>564</v>
      </c>
      <c r="AV75" s="2">
        <f t="shared" si="230"/>
        <v>537</v>
      </c>
      <c r="AW75" s="2">
        <f t="shared" si="230"/>
        <v>1232</v>
      </c>
      <c r="AX75" s="2">
        <f t="shared" si="230"/>
        <v>2138</v>
      </c>
      <c r="AY75" s="2">
        <f t="shared" si="230"/>
        <v>1793</v>
      </c>
      <c r="AZ75" s="2">
        <f t="shared" si="230"/>
        <v>1189</v>
      </c>
      <c r="BA75" s="2">
        <f t="shared" si="230"/>
        <v>2100</v>
      </c>
      <c r="BB75" s="2">
        <f t="shared" si="230"/>
        <v>1989</v>
      </c>
      <c r="BC75" s="2">
        <f t="shared" si="230"/>
        <v>2447</v>
      </c>
      <c r="BD75" s="2">
        <f t="shared" si="230"/>
        <v>2018</v>
      </c>
      <c r="BE75" s="2">
        <f t="shared" si="230"/>
        <v>1435</v>
      </c>
      <c r="BF75" s="2">
        <f t="shared" si="230"/>
        <v>1033</v>
      </c>
      <c r="BG75" s="2">
        <f t="shared" si="230"/>
        <v>1318</v>
      </c>
      <c r="BH75" s="2">
        <f t="shared" si="230"/>
        <v>1375</v>
      </c>
      <c r="BI75" s="2">
        <f t="shared" si="230"/>
        <v>1436</v>
      </c>
      <c r="BJ75" s="2">
        <f t="shared" si="230"/>
        <v>1594</v>
      </c>
      <c r="BK75" s="2">
        <f t="shared" si="230"/>
        <v>1225</v>
      </c>
      <c r="BL75" s="2">
        <f t="shared" si="230"/>
        <v>1302</v>
      </c>
      <c r="BM75" s="2">
        <f t="shared" si="230"/>
        <v>1646</v>
      </c>
      <c r="BN75" s="2">
        <f t="shared" si="230"/>
        <v>9229</v>
      </c>
      <c r="BO75" s="2">
        <f t="shared" si="230"/>
        <v>1325</v>
      </c>
      <c r="BP75" s="2">
        <f t="shared" si="230"/>
        <v>1779</v>
      </c>
      <c r="BQ75" s="2">
        <f>BQ73-BQ74</f>
        <v>1644</v>
      </c>
      <c r="BR75" s="2">
        <f t="shared" ref="BR75" si="231">BR73-BR74</f>
        <v>1776</v>
      </c>
      <c r="BS75" s="2">
        <f>BS73-BS74</f>
        <v>1077</v>
      </c>
      <c r="BT75" s="2">
        <f>BT73-BT74</f>
        <v>928</v>
      </c>
      <c r="BU75" s="34"/>
      <c r="BV75" s="34"/>
      <c r="CA75" s="66">
        <f t="shared" si="211"/>
        <v>5745.8</v>
      </c>
      <c r="CB75" s="66">
        <f t="shared" si="212"/>
        <v>4626.1999999999989</v>
      </c>
      <c r="CC75" s="66">
        <f t="shared" si="213"/>
        <v>4728.7</v>
      </c>
      <c r="CD75" s="66">
        <f t="shared" si="214"/>
        <v>236.70000000000005</v>
      </c>
      <c r="CE75" s="66">
        <f t="shared" si="215"/>
        <v>1988</v>
      </c>
      <c r="CF75" s="66">
        <f t="shared" si="216"/>
        <v>1718</v>
      </c>
      <c r="CG75" s="66">
        <f t="shared" si="217"/>
        <v>2606</v>
      </c>
      <c r="CH75" s="66">
        <f t="shared" si="218"/>
        <v>1063</v>
      </c>
      <c r="CI75" s="66">
        <f t="shared" si="219"/>
        <v>353</v>
      </c>
      <c r="CJ75" s="66">
        <f t="shared" si="220"/>
        <v>2334</v>
      </c>
      <c r="CK75" s="66">
        <f t="shared" si="221"/>
        <v>3687</v>
      </c>
      <c r="CL75" s="66">
        <f t="shared" si="142"/>
        <v>4471</v>
      </c>
      <c r="CM75" s="66">
        <f t="shared" si="143"/>
        <v>7071</v>
      </c>
      <c r="CN75" s="66">
        <f t="shared" si="144"/>
        <v>6933</v>
      </c>
      <c r="CO75" s="66">
        <f t="shared" si="145"/>
        <v>5723</v>
      </c>
      <c r="CP75" s="66">
        <f t="shared" si="146"/>
        <v>13402</v>
      </c>
      <c r="CQ75" s="2">
        <f t="shared" si="151"/>
        <v>6524</v>
      </c>
      <c r="CR75" s="68">
        <f t="shared" ref="CR75:CZ75" si="232">CR73-CR74</f>
        <v>5193.9508882800001</v>
      </c>
      <c r="CS75" s="68">
        <f t="shared" si="232"/>
        <v>6821.6623919670437</v>
      </c>
      <c r="CT75" s="68">
        <f t="shared" si="232"/>
        <v>8658.7265369111756</v>
      </c>
      <c r="CU75" s="68">
        <f t="shared" si="232"/>
        <v>10692.492586016939</v>
      </c>
      <c r="CV75" s="68">
        <f t="shared" si="232"/>
        <v>13087.170668740499</v>
      </c>
      <c r="CW75" s="68">
        <f t="shared" si="232"/>
        <v>15704.804097893997</v>
      </c>
      <c r="CX75" s="68">
        <f t="shared" si="232"/>
        <v>18142.472973142154</v>
      </c>
      <c r="CY75" s="68">
        <f t="shared" si="232"/>
        <v>20640.827361113759</v>
      </c>
      <c r="CZ75" s="68">
        <f t="shared" si="232"/>
        <v>23188.823444590271</v>
      </c>
      <c r="DA75" s="68">
        <f t="shared" ref="DA75:EF75" si="233">CZ75*(1+$DA$90)</f>
        <v>23304.76756181322</v>
      </c>
      <c r="DB75" s="68">
        <f t="shared" si="233"/>
        <v>23421.291399622285</v>
      </c>
      <c r="DC75" s="68">
        <f t="shared" si="233"/>
        <v>23538.397856620395</v>
      </c>
      <c r="DD75" s="68">
        <f t="shared" si="233"/>
        <v>23656.089845903494</v>
      </c>
      <c r="DE75" s="68">
        <f t="shared" si="233"/>
        <v>23774.370295133009</v>
      </c>
      <c r="DF75" s="68">
        <f t="shared" si="233"/>
        <v>23893.242146608671</v>
      </c>
      <c r="DG75" s="68">
        <f t="shared" si="233"/>
        <v>24012.708357341711</v>
      </c>
      <c r="DH75" s="68">
        <f t="shared" si="233"/>
        <v>24132.771899128416</v>
      </c>
      <c r="DI75" s="68">
        <f t="shared" si="233"/>
        <v>24253.435758624055</v>
      </c>
      <c r="DJ75" s="68">
        <f t="shared" si="233"/>
        <v>24374.702937417173</v>
      </c>
      <c r="DK75" s="68">
        <f t="shared" si="233"/>
        <v>24496.576452104255</v>
      </c>
      <c r="DL75" s="68">
        <f t="shared" si="233"/>
        <v>24619.059334364774</v>
      </c>
      <c r="DM75" s="68">
        <f t="shared" si="233"/>
        <v>24742.154631036596</v>
      </c>
      <c r="DN75" s="68">
        <f t="shared" si="233"/>
        <v>24865.865404191776</v>
      </c>
      <c r="DO75" s="68">
        <f t="shared" si="233"/>
        <v>24990.194731212734</v>
      </c>
      <c r="DP75" s="68">
        <f t="shared" si="233"/>
        <v>25115.145704868795</v>
      </c>
      <c r="DQ75" s="68">
        <f t="shared" si="233"/>
        <v>25240.721433393137</v>
      </c>
      <c r="DR75" s="68">
        <f t="shared" si="233"/>
        <v>25366.925040560101</v>
      </c>
      <c r="DS75" s="68">
        <f t="shared" si="233"/>
        <v>25493.7596657629</v>
      </c>
      <c r="DT75" s="68">
        <f t="shared" si="233"/>
        <v>25621.228464091713</v>
      </c>
      <c r="DU75" s="68">
        <f t="shared" si="233"/>
        <v>25749.334606412169</v>
      </c>
      <c r="DV75" s="68">
        <f t="shared" si="233"/>
        <v>25878.081279444228</v>
      </c>
      <c r="DW75" s="68">
        <f t="shared" si="233"/>
        <v>26007.471685841447</v>
      </c>
      <c r="DX75" s="68">
        <f t="shared" si="233"/>
        <v>26137.50904427065</v>
      </c>
      <c r="DY75" s="68">
        <f t="shared" si="233"/>
        <v>26268.196589491999</v>
      </c>
      <c r="DZ75" s="68">
        <f t="shared" si="233"/>
        <v>26399.537572439458</v>
      </c>
      <c r="EA75" s="68">
        <f t="shared" si="233"/>
        <v>26531.535260301651</v>
      </c>
      <c r="EB75" s="68">
        <f t="shared" si="233"/>
        <v>26664.192936603155</v>
      </c>
      <c r="EC75" s="68">
        <f t="shared" si="233"/>
        <v>26797.513901286169</v>
      </c>
      <c r="ED75" s="68">
        <f t="shared" si="233"/>
        <v>26931.501470792598</v>
      </c>
      <c r="EE75" s="68">
        <f t="shared" si="233"/>
        <v>27066.158978146559</v>
      </c>
      <c r="EF75" s="68">
        <f t="shared" si="233"/>
        <v>27201.48977303729</v>
      </c>
      <c r="EG75" s="68">
        <f t="shared" ref="EG75:EX75" si="234">EF75*(1+$DA$90)</f>
        <v>27337.497221902475</v>
      </c>
      <c r="EH75" s="68">
        <f t="shared" si="234"/>
        <v>27474.184708011984</v>
      </c>
      <c r="EI75" s="68">
        <f t="shared" si="234"/>
        <v>27611.555631552041</v>
      </c>
      <c r="EJ75" s="68">
        <f t="shared" si="234"/>
        <v>27749.613409709797</v>
      </c>
      <c r="EK75" s="68">
        <f t="shared" si="234"/>
        <v>27888.361476758342</v>
      </c>
      <c r="EL75" s="68">
        <f t="shared" si="234"/>
        <v>28027.80328414213</v>
      </c>
      <c r="EM75" s="68">
        <f t="shared" si="234"/>
        <v>28167.942300562838</v>
      </c>
      <c r="EN75" s="68">
        <f t="shared" si="234"/>
        <v>28308.782012065651</v>
      </c>
      <c r="EO75" s="68">
        <f t="shared" si="234"/>
        <v>28450.325922125976</v>
      </c>
      <c r="EP75" s="68">
        <f t="shared" si="234"/>
        <v>28592.577551736602</v>
      </c>
      <c r="EQ75" s="68">
        <f t="shared" si="234"/>
        <v>28735.540439495282</v>
      </c>
      <c r="ER75" s="68">
        <f t="shared" si="234"/>
        <v>28879.218141692756</v>
      </c>
      <c r="ES75" s="68">
        <f t="shared" si="234"/>
        <v>29023.614232401218</v>
      </c>
      <c r="ET75" s="68">
        <f t="shared" si="234"/>
        <v>29168.732303563222</v>
      </c>
      <c r="EU75" s="68">
        <f t="shared" si="234"/>
        <v>29314.575965081036</v>
      </c>
      <c r="EV75" s="68">
        <f t="shared" si="234"/>
        <v>29461.148844906438</v>
      </c>
      <c r="EW75" s="68">
        <f t="shared" si="234"/>
        <v>29608.454589130968</v>
      </c>
      <c r="EX75" s="68">
        <f t="shared" si="234"/>
        <v>29756.496862076619</v>
      </c>
      <c r="EY75" s="34"/>
      <c r="EZ75" s="34"/>
    </row>
    <row r="76" spans="2:156">
      <c r="B76" s="1" t="s">
        <v>77</v>
      </c>
      <c r="C76" s="1">
        <v>1546</v>
      </c>
      <c r="D76" s="1">
        <v>1546</v>
      </c>
      <c r="E76" s="1">
        <v>1546</v>
      </c>
      <c r="F76" s="1">
        <v>1547</v>
      </c>
      <c r="G76" s="1">
        <v>1548</v>
      </c>
      <c r="H76" s="1">
        <v>1544</v>
      </c>
      <c r="I76" s="1">
        <v>1545</v>
      </c>
      <c r="J76" s="1">
        <v>1546</v>
      </c>
      <c r="K76" s="1">
        <v>1552</v>
      </c>
      <c r="L76" s="1">
        <v>1557</v>
      </c>
      <c r="M76" s="1">
        <v>1559</v>
      </c>
      <c r="N76" s="1">
        <v>1557</v>
      </c>
      <c r="O76" s="1">
        <v>1574</v>
      </c>
      <c r="P76" s="1">
        <v>1572</v>
      </c>
      <c r="Q76" s="1">
        <v>1577</v>
      </c>
      <c r="R76" s="1">
        <v>1575</v>
      </c>
      <c r="S76" s="1">
        <v>1569</v>
      </c>
      <c r="T76" s="1">
        <v>1561</v>
      </c>
      <c r="U76" s="1">
        <v>1552</v>
      </c>
      <c r="V76" s="1">
        <v>1558</v>
      </c>
      <c r="W76" s="1">
        <v>1533</v>
      </c>
      <c r="X76" s="1">
        <v>1507</v>
      </c>
      <c r="Y76" s="1">
        <v>1509</v>
      </c>
      <c r="Z76" s="1">
        <v>1516</v>
      </c>
      <c r="AA76" s="1">
        <v>1505</v>
      </c>
      <c r="AB76" s="1">
        <v>1494</v>
      </c>
      <c r="AC76" s="1">
        <v>1495</v>
      </c>
      <c r="AD76" s="1">
        <v>1496</v>
      </c>
      <c r="AE76" s="1">
        <v>1477</v>
      </c>
      <c r="AF76" s="1">
        <v>1475</v>
      </c>
      <c r="AG76" s="1">
        <v>1476</v>
      </c>
      <c r="AH76" s="1">
        <v>1477</v>
      </c>
      <c r="AI76" s="1">
        <v>1727</v>
      </c>
      <c r="AJ76" s="1">
        <v>1741</v>
      </c>
      <c r="AK76" s="1">
        <v>1744</v>
      </c>
      <c r="AL76" s="1">
        <v>1740</v>
      </c>
      <c r="AM76" s="1">
        <v>1753</v>
      </c>
      <c r="AN76" s="1">
        <v>1758</v>
      </c>
      <c r="AO76" s="1">
        <v>1760</v>
      </c>
      <c r="AP76" s="1">
        <v>1758</v>
      </c>
      <c r="AQ76" s="1">
        <v>1763</v>
      </c>
      <c r="AR76" s="1">
        <v>1769</v>
      </c>
      <c r="AS76" s="1">
        <v>1772</v>
      </c>
      <c r="AT76" s="1">
        <v>1768</v>
      </c>
      <c r="AU76" s="1">
        <v>1769</v>
      </c>
      <c r="AV76" s="1">
        <v>1773</v>
      </c>
      <c r="AW76" s="1">
        <v>1774</v>
      </c>
      <c r="AX76" s="1">
        <v>1773</v>
      </c>
      <c r="AY76" s="1">
        <v>1777</v>
      </c>
      <c r="AZ76" s="1">
        <v>1779</v>
      </c>
      <c r="BA76" s="1">
        <v>1775</v>
      </c>
      <c r="BB76" s="1">
        <v>1775</v>
      </c>
      <c r="BC76" s="1">
        <v>1762</v>
      </c>
      <c r="BD76" s="1">
        <v>1754</v>
      </c>
      <c r="BE76" s="1">
        <v>1753</v>
      </c>
      <c r="BF76" s="1">
        <v>1753</v>
      </c>
      <c r="BG76" s="1">
        <v>1742</v>
      </c>
      <c r="BH76" s="1">
        <v>1740</v>
      </c>
      <c r="BI76" s="1">
        <v>1739</v>
      </c>
      <c r="BJ76" s="1">
        <v>1740</v>
      </c>
      <c r="BK76" s="1">
        <v>1740</v>
      </c>
      <c r="BL76" s="1">
        <v>1743</v>
      </c>
      <c r="BM76" s="1">
        <v>1739</v>
      </c>
      <c r="BN76" s="1">
        <v>1740</v>
      </c>
      <c r="BO76" s="1">
        <v>1739</v>
      </c>
      <c r="BP76" s="1">
        <v>1743</v>
      </c>
      <c r="BQ76" s="1">
        <v>1742</v>
      </c>
      <c r="BR76" s="1">
        <v>1749</v>
      </c>
      <c r="BS76" s="67">
        <v>1747.07</v>
      </c>
      <c r="BT76" s="67">
        <v>1743</v>
      </c>
      <c r="CA76" s="67">
        <f>AVERAGE(C76:F76)</f>
        <v>1546.25</v>
      </c>
      <c r="CB76" s="67">
        <f>AVERAGE(G76:J76)</f>
        <v>1545.75</v>
      </c>
      <c r="CC76" s="67">
        <f>AVERAGE(K76:N76)</f>
        <v>1556.25</v>
      </c>
      <c r="CD76" s="67">
        <f>AVERAGE(O76:R76)</f>
        <v>1574.5</v>
      </c>
      <c r="CE76" s="67">
        <f>AVERAGE(S76:V76)</f>
        <v>1560</v>
      </c>
      <c r="CF76" s="67">
        <f>AVERAGE(W76:Z76)</f>
        <v>1516.25</v>
      </c>
      <c r="CG76" s="67">
        <f>AVERAGE(AA76:AD76)</f>
        <v>1497.5</v>
      </c>
      <c r="CH76" s="67">
        <f>AVERAGE(AE76:AH76)</f>
        <v>1476.25</v>
      </c>
      <c r="CI76" s="67">
        <f>AVERAGE(AI76:AL76)</f>
        <v>1738</v>
      </c>
      <c r="CJ76" s="67">
        <f>AVERAGE(AM76:AP76)</f>
        <v>1757.25</v>
      </c>
      <c r="CK76" s="67">
        <f>AVERAGE(AQ76:AT76)</f>
        <v>1768</v>
      </c>
      <c r="CL76" s="67">
        <f>AVERAGE(AU76:AX76)</f>
        <v>1772.25</v>
      </c>
      <c r="CM76" s="67">
        <f>AVERAGE(AY76:BB76)</f>
        <v>1776.5</v>
      </c>
      <c r="CN76" s="67">
        <f>AVERAGE(BC76:BF76)</f>
        <v>1755.5</v>
      </c>
      <c r="CO76" s="67">
        <f>AVERAGE(BG76:BJ76)</f>
        <v>1740.25</v>
      </c>
      <c r="CP76" s="67">
        <f>AVERAGE(BK76:BN76)</f>
        <v>1740.5</v>
      </c>
      <c r="CQ76" s="67">
        <f>AVERAGE(BO76:BR76)</f>
        <v>1743.25</v>
      </c>
    </row>
    <row r="77" spans="2:156">
      <c r="B77" s="1" t="s">
        <v>1466</v>
      </c>
      <c r="C77" s="40">
        <f t="shared" ref="C77" si="235">C75/C76</f>
        <v>0.93059508408796887</v>
      </c>
      <c r="D77" s="40">
        <f t="shared" ref="D77" si="236">D75/D76</f>
        <v>0.83318240620957273</v>
      </c>
      <c r="E77" s="40">
        <f t="shared" ref="E77" si="237">E75/E76</f>
        <v>0.95750323415265215</v>
      </c>
      <c r="F77" s="40">
        <f t="shared" ref="F77" si="238">F75/F76</f>
        <v>0.99463477698771852</v>
      </c>
      <c r="G77" s="40">
        <f t="shared" ref="G77" si="239">G75/G76</f>
        <v>0.64793281653746715</v>
      </c>
      <c r="H77" s="40">
        <f t="shared" ref="H77" si="240">H75/H76</f>
        <v>0.83659326424870495</v>
      </c>
      <c r="I77" s="40">
        <f t="shared" ref="I77" si="241">I75/I76</f>
        <v>0.57650485436893195</v>
      </c>
      <c r="J77" s="40">
        <f t="shared" ref="J77" si="242">J75/J76</f>
        <v>0.93195342820181071</v>
      </c>
      <c r="K77" s="40">
        <f t="shared" ref="K77" si="243">K75/K76</f>
        <v>0.55650773195876246</v>
      </c>
      <c r="L77" s="40">
        <f t="shared" ref="L77" si="244">L75/L76</f>
        <v>1.247719974309569</v>
      </c>
      <c r="M77" s="40">
        <f t="shared" ref="M77" si="245">M75/M76</f>
        <v>0.19454778704297682</v>
      </c>
      <c r="N77" s="40">
        <f t="shared" ref="N77" si="246">N75/N76</f>
        <v>1.0398201669877971</v>
      </c>
      <c r="O77" s="40">
        <f t="shared" ref="O77" si="247">O75/O76</f>
        <v>0.22312579415501893</v>
      </c>
      <c r="P77" s="40">
        <f t="shared" ref="P77" si="248">P75/P76</f>
        <v>0.26125954198473306</v>
      </c>
      <c r="Q77" s="40">
        <f t="shared" ref="Q77" si="249">Q75/Q76</f>
        <v>0.2149017121116043</v>
      </c>
      <c r="R77" s="40">
        <f t="shared" ref="R77" si="250">R75/R76</f>
        <v>-0.5486349206349207</v>
      </c>
      <c r="S77" s="40">
        <f t="shared" ref="S77" si="251">S75/S76</f>
        <v>0.34671765455704268</v>
      </c>
      <c r="T77" s="40">
        <f t="shared" ref="T77" si="252">T75/T76</f>
        <v>0.30493273542600896</v>
      </c>
      <c r="U77" s="40">
        <f t="shared" ref="U77" si="253">U75/U76</f>
        <v>0.41494845360824745</v>
      </c>
      <c r="V77" s="40">
        <f t="shared" ref="V77" si="254">V75/V76</f>
        <v>0.2079589216944801</v>
      </c>
      <c r="W77" s="40">
        <f t="shared" ref="W77" si="255">W75/W76</f>
        <v>0.14611872146118721</v>
      </c>
      <c r="X77" s="40">
        <f t="shared" ref="X77" si="256">X75/X76</f>
        <v>0.28201725282017254</v>
      </c>
      <c r="Y77" s="40">
        <f t="shared" ref="Y77" si="257">Y75/Y76</f>
        <v>0.28959575878064941</v>
      </c>
      <c r="Z77" s="40">
        <f t="shared" ref="Z77" si="258">Z75/Z76</f>
        <v>0.41688654353562005</v>
      </c>
      <c r="AA77" s="40">
        <f t="shared" ref="AA77" si="259">AA75/AA76</f>
        <v>0.35149501661129567</v>
      </c>
      <c r="AB77" s="40">
        <f t="shared" ref="AB77" si="260">AB75/AB76</f>
        <v>0.52610441767068272</v>
      </c>
      <c r="AC77" s="40">
        <f t="shared" ref="AC77" si="261">AC75/AC76</f>
        <v>0.39866220735785951</v>
      </c>
      <c r="AD77" s="40">
        <f t="shared" ref="AD77" si="262">AD75/AD76</f>
        <v>0.46457219251336901</v>
      </c>
      <c r="AE77" s="40">
        <f t="shared" ref="AE77" si="263">AE75/AE76</f>
        <v>3.7914691943127965E-2</v>
      </c>
      <c r="AF77" s="40">
        <f t="shared" ref="AF77" si="264">AF75/AF76</f>
        <v>0.40610169491525422</v>
      </c>
      <c r="AG77" s="40">
        <f t="shared" ref="AG77" si="265">AG75/AG76</f>
        <v>-0.241869918699187</v>
      </c>
      <c r="AH77" s="40">
        <f t="shared" ref="AH77" si="266">AH75/AH76</f>
        <v>0.51794177386594453</v>
      </c>
      <c r="AI77" s="40">
        <f t="shared" ref="AI77" si="267">AI75/AI76</f>
        <v>0.2235089751013318</v>
      </c>
      <c r="AJ77" s="40">
        <f t="shared" ref="AJ77" si="268">AJ75/AJ76</f>
        <v>0.15508328546812178</v>
      </c>
      <c r="AK77" s="40">
        <f t="shared" ref="AK77" si="269">AK75/AK76</f>
        <v>0.32167431192660551</v>
      </c>
      <c r="AL77" s="40">
        <f t="shared" ref="AL77" si="270">AL75/AL76</f>
        <v>-0.49655172413793103</v>
      </c>
      <c r="AM77" s="40">
        <f t="shared" ref="AM77" si="271">AM75/AM76</f>
        <v>0.23331431831146607</v>
      </c>
      <c r="AN77" s="40">
        <f t="shared" ref="AN77" si="272">AN75/AN76</f>
        <v>0.40841865756541523</v>
      </c>
      <c r="AO77" s="40">
        <f t="shared" ref="AO77" si="273">AO75/AO76</f>
        <v>0.31363636363636366</v>
      </c>
      <c r="AP77" s="40">
        <f t="shared" ref="AP77" si="274">AP75/AP76</f>
        <v>0.37258248009101252</v>
      </c>
      <c r="AQ77" s="40">
        <f t="shared" ref="AQ77" si="275">AQ75/AQ76</f>
        <v>0.38116846284741918</v>
      </c>
      <c r="AR77" s="40">
        <f t="shared" ref="AR77" si="276">AR75/AR76</f>
        <v>0.56868287167891463</v>
      </c>
      <c r="AS77" s="40">
        <f t="shared" ref="AS77" si="277">AS75/AS76</f>
        <v>0.54176072234762984</v>
      </c>
      <c r="AT77" s="40">
        <f t="shared" ref="AT77" si="278">AT75/AT76</f>
        <v>0.59332579185520362</v>
      </c>
      <c r="AU77" s="40">
        <f t="shared" ref="AU77:BP77" si="279">AU75/AU76</f>
        <v>0.31882419446014698</v>
      </c>
      <c r="AV77" s="40">
        <f t="shared" si="279"/>
        <v>0.30287648054145516</v>
      </c>
      <c r="AW77" s="40">
        <f t="shared" si="279"/>
        <v>0.69447576099210828</v>
      </c>
      <c r="AX77" s="40">
        <f t="shared" si="279"/>
        <v>1.2058657642413988</v>
      </c>
      <c r="AY77" s="40">
        <f t="shared" si="279"/>
        <v>1.0090039392234103</v>
      </c>
      <c r="AZ77" s="40">
        <f t="shared" si="279"/>
        <v>0.66835300730747615</v>
      </c>
      <c r="BA77" s="40">
        <f t="shared" si="279"/>
        <v>1.1830985915492958</v>
      </c>
      <c r="BB77" s="40">
        <f t="shared" si="279"/>
        <v>1.1205633802816901</v>
      </c>
      <c r="BC77" s="40">
        <f t="shared" si="279"/>
        <v>1.3887627695800226</v>
      </c>
      <c r="BD77" s="40">
        <f t="shared" si="279"/>
        <v>1.1505131128848347</v>
      </c>
      <c r="BE77" s="40">
        <f t="shared" si="279"/>
        <v>0.81859669138619506</v>
      </c>
      <c r="BF77" s="40">
        <f t="shared" si="279"/>
        <v>0.58927552766685687</v>
      </c>
      <c r="BG77" s="40">
        <f t="shared" si="279"/>
        <v>0.75660160734787596</v>
      </c>
      <c r="BH77" s="40">
        <f t="shared" si="279"/>
        <v>0.79022988505747127</v>
      </c>
      <c r="BI77" s="40">
        <f t="shared" si="279"/>
        <v>0.82576193214491089</v>
      </c>
      <c r="BJ77" s="40">
        <f t="shared" si="279"/>
        <v>0.91609195402298849</v>
      </c>
      <c r="BK77" s="40">
        <f t="shared" si="279"/>
        <v>0.70402298850574707</v>
      </c>
      <c r="BL77" s="40">
        <f t="shared" si="279"/>
        <v>0.74698795180722888</v>
      </c>
      <c r="BM77" s="40">
        <f t="shared" si="279"/>
        <v>0.94652098907418059</v>
      </c>
      <c r="BN77" s="40">
        <f t="shared" si="279"/>
        <v>5.3040229885057473</v>
      </c>
      <c r="BO77" s="40">
        <f t="shared" si="279"/>
        <v>0.76193214491086836</v>
      </c>
      <c r="BP77" s="40">
        <f t="shared" si="279"/>
        <v>1.0206540447504302</v>
      </c>
      <c r="BQ77" s="40">
        <f>BQ75/BQ76</f>
        <v>0.94374282433983925</v>
      </c>
      <c r="BR77" s="40">
        <f t="shared" ref="BR77" si="280">BR75/BR76</f>
        <v>1.0154373927958833</v>
      </c>
      <c r="BS77" s="40">
        <f>BS75/BS76</f>
        <v>0.61646070277664888</v>
      </c>
      <c r="BT77" s="40">
        <f>BT75/BT76</f>
        <v>0.53241537578886977</v>
      </c>
      <c r="CA77" s="40">
        <f>SUM(C77:F77)</f>
        <v>3.7159155014379124</v>
      </c>
      <c r="CB77" s="40">
        <f>SUM(G77:J77)</f>
        <v>2.9929843633569151</v>
      </c>
      <c r="CC77" s="40">
        <f>SUM(K77:N77)</f>
        <v>3.0385956602991051</v>
      </c>
      <c r="CD77" s="40">
        <f>SUM(O77:R77)</f>
        <v>0.15065212761643554</v>
      </c>
      <c r="CE77" s="40">
        <f>SUM(S77:V77)</f>
        <v>1.2745577652857794</v>
      </c>
      <c r="CF77" s="40">
        <f>SUM(W77:Z77)</f>
        <v>1.1346182765976294</v>
      </c>
      <c r="CG77" s="40">
        <f>SUM(AA77:AD77)</f>
        <v>1.740833834153207</v>
      </c>
      <c r="CH77" s="40">
        <f>SUM(AE77:AH77)</f>
        <v>0.72008824202513977</v>
      </c>
      <c r="CI77" s="40">
        <f>SUM(AI77:AL77)</f>
        <v>0.20371484835812803</v>
      </c>
      <c r="CJ77" s="40">
        <f>SUM(AM77:AP77)</f>
        <v>1.3279518196042575</v>
      </c>
      <c r="CK77" s="40">
        <f>SUM(AQ77:AT77)</f>
        <v>2.0849378487291674</v>
      </c>
      <c r="CL77" s="40">
        <f>SUM(AU77:AX77)</f>
        <v>2.5220422002351093</v>
      </c>
      <c r="CM77" s="40">
        <f>SUM(AY77:BB77)</f>
        <v>3.9810189183618725</v>
      </c>
      <c r="CN77" s="40">
        <f>SUM(BC77:BF77)</f>
        <v>3.9471481015179091</v>
      </c>
      <c r="CO77" s="40">
        <f>SUM(BG77:BJ77)</f>
        <v>3.2886853785732466</v>
      </c>
      <c r="CP77" s="40">
        <f>SUM(BK77:BN77)</f>
        <v>7.7015549178929037</v>
      </c>
      <c r="CQ77" s="40">
        <f t="shared" si="151"/>
        <v>3.7417664067970211</v>
      </c>
    </row>
    <row r="79" spans="2:156">
      <c r="B79" s="37" t="s">
        <v>59</v>
      </c>
      <c r="C79" s="64">
        <f t="shared" ref="C79:AT79" si="281">C63/C61</f>
        <v>0.56300607287449389</v>
      </c>
      <c r="D79" s="64">
        <f t="shared" si="281"/>
        <v>0.58251611095544964</v>
      </c>
      <c r="E79" s="64">
        <f t="shared" si="281"/>
        <v>0.56705706518237931</v>
      </c>
      <c r="F79" s="64">
        <f t="shared" si="281"/>
        <v>0.56949295229860875</v>
      </c>
      <c r="G79" s="64">
        <f t="shared" si="281"/>
        <v>0.56678011015275898</v>
      </c>
      <c r="H79" s="64">
        <f t="shared" si="281"/>
        <v>0.59847042828008157</v>
      </c>
      <c r="I79" s="64">
        <f t="shared" si="281"/>
        <v>0.56872442215689656</v>
      </c>
      <c r="J79" s="64">
        <f t="shared" si="281"/>
        <v>0.59419330243383695</v>
      </c>
      <c r="K79" s="64">
        <f t="shared" si="281"/>
        <v>0.57315724272188295</v>
      </c>
      <c r="L79" s="64">
        <f t="shared" si="281"/>
        <v>0.59750631739858362</v>
      </c>
      <c r="M79" s="64">
        <f t="shared" si="281"/>
        <v>0.59526113663451063</v>
      </c>
      <c r="N79" s="64">
        <f t="shared" si="281"/>
        <v>0.63014358677845239</v>
      </c>
      <c r="O79" s="64">
        <f t="shared" si="281"/>
        <v>0.55349471014629903</v>
      </c>
      <c r="P79" s="64">
        <f t="shared" si="281"/>
        <v>0.55393070220013929</v>
      </c>
      <c r="Q79" s="64">
        <f t="shared" si="281"/>
        <v>0.5272564959732563</v>
      </c>
      <c r="R79" s="64">
        <f t="shared" si="281"/>
        <v>0.47277460636095597</v>
      </c>
      <c r="S79" s="64">
        <f t="shared" si="281"/>
        <v>0.54778728151729272</v>
      </c>
      <c r="T79" s="64">
        <f t="shared" si="281"/>
        <v>0.53268453911127434</v>
      </c>
      <c r="U79" s="64">
        <f t="shared" si="281"/>
        <v>0.53264248704663208</v>
      </c>
      <c r="V79" s="64">
        <f t="shared" si="281"/>
        <v>0.51072854291417169</v>
      </c>
      <c r="W79" s="64">
        <f t="shared" si="281"/>
        <v>0.52176656151419554</v>
      </c>
      <c r="X79" s="64">
        <f t="shared" si="281"/>
        <v>0.54755784061696655</v>
      </c>
      <c r="Y79" s="64">
        <f t="shared" si="281"/>
        <v>0.54341405788541053</v>
      </c>
      <c r="Z79" s="64">
        <f t="shared" si="281"/>
        <v>0.56387169386606639</v>
      </c>
      <c r="AA79" s="64">
        <f t="shared" si="281"/>
        <v>0.57504594649785579</v>
      </c>
      <c r="AB79" s="64">
        <f t="shared" si="281"/>
        <v>0.57098646034816247</v>
      </c>
      <c r="AC79" s="64">
        <f t="shared" si="281"/>
        <v>0.56466019417475732</v>
      </c>
      <c r="AD79" s="64">
        <f t="shared" si="281"/>
        <v>0.5747879722436392</v>
      </c>
      <c r="AE79" s="64">
        <f t="shared" si="281"/>
        <v>0.56192425793244627</v>
      </c>
      <c r="AF79" s="64">
        <f t="shared" si="281"/>
        <v>0.57116069754359644</v>
      </c>
      <c r="AG79" s="64">
        <f t="shared" si="281"/>
        <v>0.56903055450773288</v>
      </c>
      <c r="AH79" s="64">
        <f t="shared" si="281"/>
        <v>0.55334708419276202</v>
      </c>
      <c r="AI79" s="64">
        <f t="shared" si="281"/>
        <v>0.51665351223362277</v>
      </c>
      <c r="AJ79" s="64">
        <f t="shared" si="281"/>
        <v>0.51951182763296666</v>
      </c>
      <c r="AK79" s="64">
        <f t="shared" si="281"/>
        <v>0.57885488358471227</v>
      </c>
      <c r="AL79" s="64">
        <f t="shared" si="281"/>
        <v>0.56753195414415603</v>
      </c>
      <c r="AM79" s="64">
        <f t="shared" si="281"/>
        <v>0.58497970230040597</v>
      </c>
      <c r="AN79" s="64">
        <f t="shared" si="281"/>
        <v>0.57744302819621474</v>
      </c>
      <c r="AO79" s="64">
        <f t="shared" si="281"/>
        <v>0.5864681295715779</v>
      </c>
      <c r="AP79" s="64">
        <f t="shared" si="281"/>
        <v>0.58905344494526723</v>
      </c>
      <c r="AQ79" s="64">
        <f t="shared" si="281"/>
        <v>0.5806237558062376</v>
      </c>
      <c r="AR79" s="64">
        <f t="shared" si="281"/>
        <v>0.5890462463967916</v>
      </c>
      <c r="AS79" s="64">
        <f t="shared" si="281"/>
        <v>0.5842000990589401</v>
      </c>
      <c r="AT79" s="64">
        <f t="shared" si="281"/>
        <v>0.58696175126293004</v>
      </c>
      <c r="AU79" s="64">
        <f t="shared" ref="AU79:BP79" si="282">AU63/AU61</f>
        <v>0.57533005436189488</v>
      </c>
      <c r="AV79" s="64">
        <f t="shared" si="282"/>
        <v>0.55472161572052403</v>
      </c>
      <c r="AW79" s="64">
        <f t="shared" si="282"/>
        <v>0.55201626567265338</v>
      </c>
      <c r="AX79" s="64">
        <f t="shared" si="282"/>
        <v>0.58013269787870292</v>
      </c>
      <c r="AY79" s="64">
        <f t="shared" si="282"/>
        <v>0.57909334353481257</v>
      </c>
      <c r="AZ79" s="64">
        <f t="shared" si="282"/>
        <v>0.51609116697642565</v>
      </c>
      <c r="BA79" s="64">
        <f t="shared" si="282"/>
        <v>0.59525988286969256</v>
      </c>
      <c r="BB79" s="64">
        <f t="shared" si="282"/>
        <v>0.58440878967561916</v>
      </c>
      <c r="BC79" s="64">
        <f t="shared" si="282"/>
        <v>0.58074821353509876</v>
      </c>
      <c r="BD79" s="64">
        <f t="shared" si="282"/>
        <v>0.56178377898196674</v>
      </c>
      <c r="BE79" s="64">
        <f t="shared" si="282"/>
        <v>0.55533141210374637</v>
      </c>
      <c r="BF79" s="64">
        <f t="shared" si="282"/>
        <v>0.54484193836091566</v>
      </c>
      <c r="BG79" s="64">
        <f t="shared" si="282"/>
        <v>0.55565815122601825</v>
      </c>
      <c r="BH79" s="64">
        <f t="shared" si="282"/>
        <v>0.5507115654439767</v>
      </c>
      <c r="BI79" s="64">
        <f t="shared" si="282"/>
        <v>0.54599230996746528</v>
      </c>
      <c r="BJ79" s="64">
        <f t="shared" si="282"/>
        <v>0.55512157015916419</v>
      </c>
      <c r="BK79" s="64">
        <f t="shared" si="282"/>
        <v>0.55208751505419507</v>
      </c>
      <c r="BL79" s="64">
        <f t="shared" si="282"/>
        <v>0.55642285824419391</v>
      </c>
      <c r="BM79" s="64">
        <f t="shared" si="282"/>
        <v>0.55825105782792661</v>
      </c>
      <c r="BN79" s="64">
        <f t="shared" si="282"/>
        <v>0.54966283943867322</v>
      </c>
      <c r="BO79" s="64">
        <f t="shared" si="282"/>
        <v>0.56864259509557835</v>
      </c>
      <c r="BP79" s="64">
        <f t="shared" si="282"/>
        <v>0.56435110393107157</v>
      </c>
      <c r="BQ79" s="64">
        <f>BQ63/BQ61</f>
        <v>0.55361069575160526</v>
      </c>
      <c r="BR79" s="64">
        <f t="shared" ref="BR79" si="283">BR63/BR61</f>
        <v>0.57046862727986736</v>
      </c>
      <c r="BS79" s="64">
        <f>BS63/BS61</f>
        <v>0.56198495163024009</v>
      </c>
      <c r="BT79" s="64">
        <f>BT63/BT61</f>
        <v>0.5771460335106805</v>
      </c>
      <c r="CA79" s="64">
        <f t="shared" ref="CA79:CP79" si="284">CA63/CA61</f>
        <v>0.57063452593394393</v>
      </c>
      <c r="CB79" s="64">
        <f t="shared" si="284"/>
        <v>0.58298333366508659</v>
      </c>
      <c r="CC79" s="64">
        <f t="shared" si="284"/>
        <v>0.59999021899162941</v>
      </c>
      <c r="CD79" s="64">
        <f t="shared" si="284"/>
        <v>0.53285564304461941</v>
      </c>
      <c r="CE79" s="64">
        <f t="shared" si="284"/>
        <v>0.53232945006867782</v>
      </c>
      <c r="CF79" s="64">
        <f t="shared" si="284"/>
        <v>0.5447532390465829</v>
      </c>
      <c r="CG79" s="64">
        <f t="shared" si="284"/>
        <v>0.57133055623621665</v>
      </c>
      <c r="CH79" s="64">
        <f t="shared" si="284"/>
        <v>0.56389967870330404</v>
      </c>
      <c r="CI79" s="64">
        <f t="shared" si="284"/>
        <v>0.54695144213216507</v>
      </c>
      <c r="CJ79" s="64">
        <f t="shared" si="284"/>
        <v>0.58447249656615863</v>
      </c>
      <c r="CK79" s="64">
        <f t="shared" si="284"/>
        <v>0.58528711133400202</v>
      </c>
      <c r="CL79" s="64">
        <f t="shared" si="284"/>
        <v>0.56648751733703195</v>
      </c>
      <c r="CM79" s="64">
        <f t="shared" si="284"/>
        <v>0.56965757399883921</v>
      </c>
      <c r="CN79" s="64">
        <f t="shared" si="284"/>
        <v>0.5614963461846838</v>
      </c>
      <c r="CO79" s="64">
        <f t="shared" si="284"/>
        <v>0.5518462190530804</v>
      </c>
      <c r="CP79" s="64">
        <f t="shared" si="284"/>
        <v>0.55408820023837901</v>
      </c>
      <c r="CQ79" s="64">
        <f t="shared" ref="CQ79" si="285">CQ63/CQ61</f>
        <v>0.56418065331167655</v>
      </c>
      <c r="CR79" s="71">
        <v>0.55500000000000005</v>
      </c>
      <c r="CS79" s="71">
        <v>0.55600000000000005</v>
      </c>
      <c r="CT79" s="71">
        <v>0.55700000000000005</v>
      </c>
      <c r="CU79" s="71">
        <v>0.55800000000000005</v>
      </c>
      <c r="CV79" s="71">
        <v>0.55900000000000005</v>
      </c>
      <c r="CW79" s="71">
        <v>0.56000000000000005</v>
      </c>
      <c r="CX79" s="71">
        <v>0.56000000000000005</v>
      </c>
      <c r="CY79" s="71">
        <v>0.56000000000000005</v>
      </c>
      <c r="CZ79" s="71">
        <v>0.56000000000000005</v>
      </c>
    </row>
    <row r="80" spans="2:156">
      <c r="B80" s="37" t="s">
        <v>60</v>
      </c>
      <c r="C80" s="64">
        <f t="shared" ref="C80:AT80" si="286">C65/C61</f>
        <v>0</v>
      </c>
      <c r="D80" s="64">
        <f t="shared" si="286"/>
        <v>0</v>
      </c>
      <c r="E80" s="64">
        <f t="shared" si="286"/>
        <v>0</v>
      </c>
      <c r="F80" s="64">
        <f t="shared" si="286"/>
        <v>0</v>
      </c>
      <c r="G80" s="64">
        <f t="shared" si="286"/>
        <v>0</v>
      </c>
      <c r="H80" s="64">
        <f t="shared" si="286"/>
        <v>0</v>
      </c>
      <c r="I80" s="64">
        <f t="shared" si="286"/>
        <v>0</v>
      </c>
      <c r="J80" s="64">
        <f t="shared" si="286"/>
        <v>0</v>
      </c>
      <c r="K80" s="64">
        <f t="shared" si="286"/>
        <v>0</v>
      </c>
      <c r="L80" s="64">
        <f t="shared" si="286"/>
        <v>0</v>
      </c>
      <c r="M80" s="64">
        <f t="shared" si="286"/>
        <v>0</v>
      </c>
      <c r="N80" s="64">
        <f t="shared" si="286"/>
        <v>0</v>
      </c>
      <c r="O80" s="64">
        <f t="shared" si="286"/>
        <v>0</v>
      </c>
      <c r="P80" s="64">
        <f t="shared" si="286"/>
        <v>0</v>
      </c>
      <c r="Q80" s="64">
        <f t="shared" si="286"/>
        <v>0</v>
      </c>
      <c r="R80" s="64">
        <f t="shared" si="286"/>
        <v>0</v>
      </c>
      <c r="S80" s="64">
        <f t="shared" si="286"/>
        <v>0</v>
      </c>
      <c r="T80" s="64">
        <f t="shared" si="286"/>
        <v>0</v>
      </c>
      <c r="U80" s="64">
        <f t="shared" si="286"/>
        <v>0</v>
      </c>
      <c r="V80" s="64">
        <f t="shared" si="286"/>
        <v>0</v>
      </c>
      <c r="W80" s="64">
        <f t="shared" si="286"/>
        <v>0</v>
      </c>
      <c r="X80" s="64">
        <f t="shared" si="286"/>
        <v>0</v>
      </c>
      <c r="Y80" s="64">
        <f t="shared" si="286"/>
        <v>0</v>
      </c>
      <c r="Z80" s="64">
        <f t="shared" si="286"/>
        <v>0</v>
      </c>
      <c r="AA80" s="64">
        <f t="shared" si="286"/>
        <v>0</v>
      </c>
      <c r="AB80" s="64">
        <f t="shared" si="286"/>
        <v>0</v>
      </c>
      <c r="AC80" s="64">
        <f t="shared" si="286"/>
        <v>0</v>
      </c>
      <c r="AD80" s="64">
        <f t="shared" si="286"/>
        <v>0</v>
      </c>
      <c r="AE80" s="64">
        <f t="shared" si="286"/>
        <v>0</v>
      </c>
      <c r="AF80" s="64">
        <f t="shared" si="286"/>
        <v>0</v>
      </c>
      <c r="AG80" s="64">
        <f t="shared" si="286"/>
        <v>0</v>
      </c>
      <c r="AH80" s="64">
        <f t="shared" si="286"/>
        <v>0</v>
      </c>
      <c r="AI80" s="64">
        <f t="shared" si="286"/>
        <v>0</v>
      </c>
      <c r="AJ80" s="64">
        <f t="shared" si="286"/>
        <v>0</v>
      </c>
      <c r="AK80" s="64">
        <f t="shared" si="286"/>
        <v>0</v>
      </c>
      <c r="AL80" s="64">
        <f t="shared" si="286"/>
        <v>0</v>
      </c>
      <c r="AM80" s="64">
        <f t="shared" si="286"/>
        <v>0</v>
      </c>
      <c r="AN80" s="64">
        <f t="shared" si="286"/>
        <v>0</v>
      </c>
      <c r="AO80" s="64">
        <f t="shared" si="286"/>
        <v>0</v>
      </c>
      <c r="AP80" s="64">
        <f t="shared" si="286"/>
        <v>0</v>
      </c>
      <c r="AQ80" s="64">
        <f t="shared" si="286"/>
        <v>0</v>
      </c>
      <c r="AR80" s="64">
        <f t="shared" si="286"/>
        <v>0</v>
      </c>
      <c r="AS80" s="64">
        <f t="shared" si="286"/>
        <v>0</v>
      </c>
      <c r="AT80" s="64">
        <f t="shared" si="286"/>
        <v>0</v>
      </c>
      <c r="AU80" s="64">
        <f t="shared" ref="AU80:BP80" si="287">AU65/AU61</f>
        <v>7.4812322029510742E-2</v>
      </c>
      <c r="AV80" s="64">
        <f t="shared" si="287"/>
        <v>7.6965065502183405E-2</v>
      </c>
      <c r="AW80" s="64">
        <f t="shared" si="287"/>
        <v>6.5514514853721909E-2</v>
      </c>
      <c r="AX80" s="64">
        <f t="shared" si="287"/>
        <v>6.5227548827212406E-2</v>
      </c>
      <c r="AY80" s="64">
        <f t="shared" si="287"/>
        <v>6.2547819433817903E-2</v>
      </c>
      <c r="AZ80" s="64">
        <f t="shared" si="287"/>
        <v>6.397339332876846E-2</v>
      </c>
      <c r="BA80" s="64">
        <f t="shared" si="287"/>
        <v>6.149341142020498E-2</v>
      </c>
      <c r="BB80" s="64">
        <f t="shared" si="287"/>
        <v>6.6445762120683635E-2</v>
      </c>
      <c r="BC80" s="64">
        <f t="shared" si="287"/>
        <v>5.8596048759983185E-2</v>
      </c>
      <c r="BD80" s="64">
        <f t="shared" si="287"/>
        <v>6.0762192413609313E-2</v>
      </c>
      <c r="BE80" s="64">
        <f t="shared" si="287"/>
        <v>7.5120076849183481E-2</v>
      </c>
      <c r="BF80" s="64">
        <f t="shared" si="287"/>
        <v>7.1846199583787532E-2</v>
      </c>
      <c r="BG80" s="64">
        <f t="shared" si="287"/>
        <v>6.7097568482610032E-2</v>
      </c>
      <c r="BH80" s="64">
        <f t="shared" si="287"/>
        <v>7.1657646823010623E-2</v>
      </c>
      <c r="BI80" s="64">
        <f t="shared" si="287"/>
        <v>6.6252587991718431E-2</v>
      </c>
      <c r="BJ80" s="64">
        <f t="shared" si="287"/>
        <v>6.8352699931647304E-2</v>
      </c>
      <c r="BK80" s="64">
        <f t="shared" si="287"/>
        <v>6.8647129666800477E-2</v>
      </c>
      <c r="BL80" s="64">
        <f t="shared" si="287"/>
        <v>6.7264141852173082E-2</v>
      </c>
      <c r="BM80" s="64">
        <f t="shared" si="287"/>
        <v>6.7042783262811476E-2</v>
      </c>
      <c r="BN80" s="64">
        <f t="shared" si="287"/>
        <v>6.8252232549662839E-2</v>
      </c>
      <c r="BO80" s="64">
        <f t="shared" si="287"/>
        <v>6.9125313767136515E-2</v>
      </c>
      <c r="BP80" s="64">
        <f t="shared" si="287"/>
        <v>6.5069107880093346E-2</v>
      </c>
      <c r="BQ80" s="64">
        <f>BQ65/BQ61</f>
        <v>6.7376198434338994E-2</v>
      </c>
      <c r="BR80" s="64">
        <f t="shared" ref="BR80" si="288">BR65/BR61</f>
        <v>6.4141722663408673E-2</v>
      </c>
      <c r="BS80" s="64">
        <f>BS65/BS61</f>
        <v>6.8702973844500179E-2</v>
      </c>
      <c r="BT80" s="64">
        <f>BT65/BT61</f>
        <v>7.0833002461685057E-2</v>
      </c>
      <c r="CA80" s="64">
        <f t="shared" ref="CA80:CP80" si="289">CA65/CA61</f>
        <v>0</v>
      </c>
      <c r="CB80" s="64">
        <f t="shared" si="289"/>
        <v>0</v>
      </c>
      <c r="CC80" s="64">
        <f t="shared" si="289"/>
        <v>0</v>
      </c>
      <c r="CD80" s="64">
        <f t="shared" si="289"/>
        <v>0</v>
      </c>
      <c r="CE80" s="64">
        <f t="shared" si="289"/>
        <v>0</v>
      </c>
      <c r="CF80" s="64">
        <f t="shared" si="289"/>
        <v>0</v>
      </c>
      <c r="CG80" s="64">
        <f t="shared" si="289"/>
        <v>0</v>
      </c>
      <c r="CH80" s="64">
        <f t="shared" si="289"/>
        <v>0</v>
      </c>
      <c r="CI80" s="64">
        <f t="shared" si="289"/>
        <v>0</v>
      </c>
      <c r="CJ80" s="64">
        <f t="shared" si="289"/>
        <v>0</v>
      </c>
      <c r="CK80" s="64">
        <f t="shared" si="289"/>
        <v>0</v>
      </c>
      <c r="CL80" s="64">
        <f t="shared" si="289"/>
        <v>6.9926028663892748E-2</v>
      </c>
      <c r="CM80" s="64">
        <f t="shared" si="289"/>
        <v>6.3656413232733605E-2</v>
      </c>
      <c r="CN80" s="64">
        <f t="shared" si="289"/>
        <v>6.6158110553684743E-2</v>
      </c>
      <c r="CO80" s="64">
        <f t="shared" si="289"/>
        <v>6.8338776833129722E-2</v>
      </c>
      <c r="CP80" s="64">
        <f t="shared" si="289"/>
        <v>6.7794994040524428E-2</v>
      </c>
      <c r="CQ80" s="64">
        <f t="shared" ref="CQ80" si="290">CQ65/CQ61</f>
        <v>6.6368886482584377E-2</v>
      </c>
      <c r="CR80" s="71">
        <v>6.8000000000000005E-2</v>
      </c>
      <c r="CS80" s="71">
        <v>6.8000000000000005E-2</v>
      </c>
      <c r="CT80" s="71">
        <v>6.7000000000000004E-2</v>
      </c>
      <c r="CU80" s="71">
        <v>6.7000000000000004E-2</v>
      </c>
      <c r="CV80" s="71">
        <v>6.6000000000000003E-2</v>
      </c>
      <c r="CW80" s="71">
        <v>6.6000000000000003E-2</v>
      </c>
      <c r="CX80" s="71">
        <v>6.5000000000000002E-2</v>
      </c>
      <c r="CY80" s="71">
        <v>6.5000000000000002E-2</v>
      </c>
      <c r="CZ80" s="71">
        <v>6.5000000000000002E-2</v>
      </c>
    </row>
    <row r="81" spans="2:156">
      <c r="B81" s="37" t="s">
        <v>61</v>
      </c>
      <c r="C81" s="64">
        <f t="shared" ref="C81:AT81" si="291">C66/C61</f>
        <v>0</v>
      </c>
      <c r="D81" s="64">
        <f t="shared" si="291"/>
        <v>0</v>
      </c>
      <c r="E81" s="64">
        <f t="shared" si="291"/>
        <v>0</v>
      </c>
      <c r="F81" s="64">
        <f t="shared" si="291"/>
        <v>0</v>
      </c>
      <c r="G81" s="64">
        <f t="shared" si="291"/>
        <v>0</v>
      </c>
      <c r="H81" s="64">
        <f t="shared" si="291"/>
        <v>0</v>
      </c>
      <c r="I81" s="64">
        <f t="shared" si="291"/>
        <v>0</v>
      </c>
      <c r="J81" s="64">
        <f t="shared" si="291"/>
        <v>0</v>
      </c>
      <c r="K81" s="64">
        <f t="shared" si="291"/>
        <v>0</v>
      </c>
      <c r="L81" s="64">
        <f t="shared" si="291"/>
        <v>0</v>
      </c>
      <c r="M81" s="64">
        <f t="shared" si="291"/>
        <v>0</v>
      </c>
      <c r="N81" s="64">
        <f t="shared" si="291"/>
        <v>0</v>
      </c>
      <c r="O81" s="64">
        <f t="shared" si="291"/>
        <v>0</v>
      </c>
      <c r="P81" s="64">
        <f t="shared" si="291"/>
        <v>0</v>
      </c>
      <c r="Q81" s="64">
        <f t="shared" si="291"/>
        <v>0</v>
      </c>
      <c r="R81" s="64">
        <f t="shared" si="291"/>
        <v>0</v>
      </c>
      <c r="S81" s="64">
        <f t="shared" si="291"/>
        <v>0</v>
      </c>
      <c r="T81" s="64">
        <f t="shared" si="291"/>
        <v>0</v>
      </c>
      <c r="U81" s="64">
        <f t="shared" si="291"/>
        <v>0</v>
      </c>
      <c r="V81" s="64">
        <f t="shared" si="291"/>
        <v>0</v>
      </c>
      <c r="W81" s="64">
        <f t="shared" si="291"/>
        <v>0</v>
      </c>
      <c r="X81" s="64">
        <f t="shared" si="291"/>
        <v>0</v>
      </c>
      <c r="Y81" s="64">
        <f t="shared" si="291"/>
        <v>0</v>
      </c>
      <c r="Z81" s="64">
        <f t="shared" si="291"/>
        <v>0</v>
      </c>
      <c r="AA81" s="64">
        <f t="shared" si="291"/>
        <v>0</v>
      </c>
      <c r="AB81" s="64">
        <f t="shared" si="291"/>
        <v>0</v>
      </c>
      <c r="AC81" s="64">
        <f t="shared" si="291"/>
        <v>0</v>
      </c>
      <c r="AD81" s="64">
        <f t="shared" si="291"/>
        <v>0</v>
      </c>
      <c r="AE81" s="64">
        <f t="shared" si="291"/>
        <v>0</v>
      </c>
      <c r="AF81" s="64">
        <f t="shared" si="291"/>
        <v>0</v>
      </c>
      <c r="AG81" s="64">
        <f t="shared" si="291"/>
        <v>0</v>
      </c>
      <c r="AH81" s="64">
        <f t="shared" si="291"/>
        <v>0</v>
      </c>
      <c r="AI81" s="64">
        <f t="shared" si="291"/>
        <v>0</v>
      </c>
      <c r="AJ81" s="64">
        <f t="shared" si="291"/>
        <v>0</v>
      </c>
      <c r="AK81" s="64">
        <f t="shared" si="291"/>
        <v>0</v>
      </c>
      <c r="AL81" s="64">
        <f t="shared" si="291"/>
        <v>0</v>
      </c>
      <c r="AM81" s="64">
        <f t="shared" si="291"/>
        <v>0</v>
      </c>
      <c r="AN81" s="64">
        <f t="shared" si="291"/>
        <v>0</v>
      </c>
      <c r="AO81" s="64">
        <f t="shared" si="291"/>
        <v>0</v>
      </c>
      <c r="AP81" s="64">
        <f t="shared" si="291"/>
        <v>0</v>
      </c>
      <c r="AQ81" s="64">
        <f t="shared" si="291"/>
        <v>0</v>
      </c>
      <c r="AR81" s="64">
        <f t="shared" si="291"/>
        <v>0</v>
      </c>
      <c r="AS81" s="64">
        <f t="shared" si="291"/>
        <v>0</v>
      </c>
      <c r="AT81" s="64">
        <f t="shared" si="291"/>
        <v>0</v>
      </c>
      <c r="AU81" s="64">
        <f t="shared" ref="AU81:BP81" si="292">AU66/AU61</f>
        <v>0.32979549572870825</v>
      </c>
      <c r="AV81" s="64">
        <f t="shared" si="292"/>
        <v>0.31058951965065501</v>
      </c>
      <c r="AW81" s="64">
        <f t="shared" si="292"/>
        <v>0.26002485033322037</v>
      </c>
      <c r="AX81" s="64">
        <f t="shared" si="292"/>
        <v>0.24016447061022334</v>
      </c>
      <c r="AY81" s="64">
        <f t="shared" si="292"/>
        <v>0.26616296863045141</v>
      </c>
      <c r="AZ81" s="64">
        <f t="shared" si="292"/>
        <v>0.26665362418076888</v>
      </c>
      <c r="BA81" s="64">
        <f t="shared" si="292"/>
        <v>0.25320278184480233</v>
      </c>
      <c r="BB81" s="64">
        <f t="shared" si="292"/>
        <v>0.26578304848273454</v>
      </c>
      <c r="BC81" s="64">
        <f t="shared" si="292"/>
        <v>0.23430012610340478</v>
      </c>
      <c r="BD81" s="64">
        <f t="shared" si="292"/>
        <v>0.24491427556187262</v>
      </c>
      <c r="BE81" s="64">
        <f t="shared" si="292"/>
        <v>0.26234390009606146</v>
      </c>
      <c r="BF81" s="64">
        <f t="shared" si="292"/>
        <v>0.29461896739669013</v>
      </c>
      <c r="BG81" s="64">
        <f t="shared" si="292"/>
        <v>0.28336924181799528</v>
      </c>
      <c r="BH81" s="64">
        <f t="shared" si="292"/>
        <v>0.27460412908398479</v>
      </c>
      <c r="BI81" s="64">
        <f t="shared" si="292"/>
        <v>0.26846100759144237</v>
      </c>
      <c r="BJ81" s="64">
        <f t="shared" si="292"/>
        <v>0.26598964944829606</v>
      </c>
      <c r="BK81" s="64">
        <f t="shared" si="292"/>
        <v>0.29696908871938982</v>
      </c>
      <c r="BL81" s="64">
        <f t="shared" si="292"/>
        <v>0.28293341042690567</v>
      </c>
      <c r="BM81" s="64">
        <f t="shared" si="292"/>
        <v>0.27221438645980256</v>
      </c>
      <c r="BN81" s="64">
        <f t="shared" si="292"/>
        <v>0.26489885183160194</v>
      </c>
      <c r="BO81" s="64">
        <f t="shared" si="292"/>
        <v>0.29552037072793974</v>
      </c>
      <c r="BP81" s="64">
        <f t="shared" si="292"/>
        <v>0.2774187758032669</v>
      </c>
      <c r="BQ81" s="64">
        <f>BQ66/BQ61</f>
        <v>0.26836133345061131</v>
      </c>
      <c r="BR81" s="64">
        <f t="shared" ref="BR81" si="293">BR66/BR61</f>
        <v>0.27306047648136833</v>
      </c>
      <c r="BS81" s="64">
        <f>BS66/BS61</f>
        <v>0.3350053744177714</v>
      </c>
      <c r="BT81" s="64">
        <f>BT66/BT61</f>
        <v>0.31962201222901609</v>
      </c>
      <c r="CA81" s="64">
        <f t="shared" ref="CA81:CP81" si="294">CA66/CA61</f>
        <v>0</v>
      </c>
      <c r="CB81" s="64">
        <f t="shared" si="294"/>
        <v>0</v>
      </c>
      <c r="CC81" s="64">
        <f t="shared" si="294"/>
        <v>0</v>
      </c>
      <c r="CD81" s="64">
        <f t="shared" si="294"/>
        <v>0</v>
      </c>
      <c r="CE81" s="64">
        <f t="shared" si="294"/>
        <v>0</v>
      </c>
      <c r="CF81" s="64">
        <f t="shared" si="294"/>
        <v>0</v>
      </c>
      <c r="CG81" s="64">
        <f t="shared" si="294"/>
        <v>0</v>
      </c>
      <c r="CH81" s="64">
        <f t="shared" si="294"/>
        <v>0</v>
      </c>
      <c r="CI81" s="64">
        <f t="shared" si="294"/>
        <v>0</v>
      </c>
      <c r="CJ81" s="64">
        <f t="shared" si="294"/>
        <v>0</v>
      </c>
      <c r="CK81" s="64">
        <f t="shared" si="294"/>
        <v>0</v>
      </c>
      <c r="CL81" s="64">
        <f t="shared" si="294"/>
        <v>0.28016643550624132</v>
      </c>
      <c r="CM81" s="64">
        <f t="shared" si="294"/>
        <v>0.26289030760301801</v>
      </c>
      <c r="CN81" s="64">
        <f t="shared" si="294"/>
        <v>0.25766843057750899</v>
      </c>
      <c r="CO81" s="64">
        <f t="shared" si="294"/>
        <v>0.27298112643047695</v>
      </c>
      <c r="CP81" s="64">
        <f t="shared" si="294"/>
        <v>0.27883194278903456</v>
      </c>
      <c r="CQ81" s="64">
        <f t="shared" ref="CQ81" si="295">CQ66/CQ61</f>
        <v>0.27819888106839918</v>
      </c>
      <c r="CR81" s="71">
        <v>0.33500000000000002</v>
      </c>
      <c r="CS81" s="71">
        <v>0.32</v>
      </c>
      <c r="CT81" s="71">
        <v>0.31</v>
      </c>
      <c r="CU81" s="71">
        <v>0.3</v>
      </c>
      <c r="CV81" s="71">
        <v>0.28999999999999998</v>
      </c>
      <c r="CW81" s="71">
        <v>0.28000000000000003</v>
      </c>
      <c r="CX81" s="71">
        <v>0.27750000000000002</v>
      </c>
      <c r="CY81" s="71">
        <v>0.27500000000000002</v>
      </c>
      <c r="CZ81" s="71">
        <v>0.27400000000000002</v>
      </c>
    </row>
    <row r="82" spans="2:156">
      <c r="B82" s="37" t="s">
        <v>62</v>
      </c>
      <c r="C82" s="64">
        <f t="shared" ref="C82:AT82" si="296">C68/C61</f>
        <v>0.15789473684210523</v>
      </c>
      <c r="D82" s="64">
        <f t="shared" si="296"/>
        <v>0.22300497671750119</v>
      </c>
      <c r="E82" s="64">
        <f t="shared" si="296"/>
        <v>0.21126615386597608</v>
      </c>
      <c r="F82" s="64">
        <f t="shared" si="296"/>
        <v>0.21203399278734036</v>
      </c>
      <c r="G82" s="64">
        <f t="shared" si="296"/>
        <v>0.19101371713602816</v>
      </c>
      <c r="H82" s="64">
        <f t="shared" si="296"/>
        <v>0.18196238386585095</v>
      </c>
      <c r="I82" s="64">
        <f t="shared" si="296"/>
        <v>0.1361692316560032</v>
      </c>
      <c r="J82" s="64">
        <f t="shared" si="296"/>
        <v>0.18358113124260111</v>
      </c>
      <c r="K82" s="64">
        <f t="shared" si="296"/>
        <v>0.14391425537563043</v>
      </c>
      <c r="L82" s="64">
        <f t="shared" si="296"/>
        <v>0.1844160435926499</v>
      </c>
      <c r="M82" s="64">
        <f t="shared" si="296"/>
        <v>6.0610999623091348E-2</v>
      </c>
      <c r="N82" s="64">
        <f t="shared" si="296"/>
        <v>0.2006360219716681</v>
      </c>
      <c r="O82" s="64">
        <f t="shared" si="296"/>
        <v>9.6371860627969E-2</v>
      </c>
      <c r="P82" s="64">
        <f t="shared" si="296"/>
        <v>0.10616754182899522</v>
      </c>
      <c r="Q82" s="64">
        <f t="shared" si="296"/>
        <v>5.8881628931773282E-2</v>
      </c>
      <c r="R82" s="64">
        <f t="shared" si="296"/>
        <v>-7.3709303055016087E-3</v>
      </c>
      <c r="S82" s="64">
        <f t="shared" si="296"/>
        <v>0.11435477872815172</v>
      </c>
      <c r="T82" s="64">
        <f t="shared" si="296"/>
        <v>0.11513037091443261</v>
      </c>
      <c r="U82" s="64">
        <f t="shared" si="296"/>
        <v>9.8031088082901549E-2</v>
      </c>
      <c r="V82" s="64">
        <f t="shared" si="296"/>
        <v>0.10429141716566866</v>
      </c>
      <c r="W82" s="64">
        <f t="shared" si="296"/>
        <v>7.6761303890641425E-2</v>
      </c>
      <c r="X82" s="64">
        <f t="shared" si="296"/>
        <v>0.13387383824401819</v>
      </c>
      <c r="Y82" s="64">
        <f t="shared" si="296"/>
        <v>0.14333530222484742</v>
      </c>
      <c r="Z82" s="64">
        <f t="shared" si="296"/>
        <v>0.15494278746951792</v>
      </c>
      <c r="AA82" s="64">
        <f t="shared" si="296"/>
        <v>0.12456606085358382</v>
      </c>
      <c r="AB82" s="64">
        <f t="shared" si="296"/>
        <v>0.14100580270793037</v>
      </c>
      <c r="AC82" s="64">
        <f t="shared" si="296"/>
        <v>0.13844660194174757</v>
      </c>
      <c r="AD82" s="64">
        <f t="shared" si="296"/>
        <v>0.15709329221279877</v>
      </c>
      <c r="AE82" s="64">
        <f t="shared" si="296"/>
        <v>0.10726714431934493</v>
      </c>
      <c r="AF82" s="64">
        <f t="shared" si="296"/>
        <v>0.15300956309769362</v>
      </c>
      <c r="AG82" s="64">
        <f t="shared" si="296"/>
        <v>0.16918144096567334</v>
      </c>
      <c r="AH82" s="64">
        <f t="shared" si="296"/>
        <v>0.14794674667166699</v>
      </c>
      <c r="AI82" s="64">
        <f t="shared" si="296"/>
        <v>-3.8200473559589582E-2</v>
      </c>
      <c r="AJ82" s="64">
        <f t="shared" si="296"/>
        <v>5.8158806689769471E-2</v>
      </c>
      <c r="AK82" s="64">
        <f t="shared" si="296"/>
        <v>0.11260799531410162</v>
      </c>
      <c r="AL82" s="64">
        <f t="shared" si="296"/>
        <v>8.5782052971405981E-2</v>
      </c>
      <c r="AM82" s="64">
        <f t="shared" si="296"/>
        <v>8.2273342354533152E-2</v>
      </c>
      <c r="AN82" s="64">
        <f t="shared" si="296"/>
        <v>0.11355735805330243</v>
      </c>
      <c r="AO82" s="64">
        <f t="shared" si="296"/>
        <v>0.12996342737722047</v>
      </c>
      <c r="AP82" s="64">
        <f t="shared" si="296"/>
        <v>0.15003219575016097</v>
      </c>
      <c r="AQ82" s="64">
        <f t="shared" si="296"/>
        <v>9.8075646980756465E-2</v>
      </c>
      <c r="AR82" s="64">
        <f t="shared" si="296"/>
        <v>0.15114676024564483</v>
      </c>
      <c r="AS82" s="64">
        <f t="shared" si="296"/>
        <v>0.14834076275383853</v>
      </c>
      <c r="AT82" s="64">
        <f t="shared" si="296"/>
        <v>0.16706759682463315</v>
      </c>
      <c r="AU82" s="64">
        <f t="shared" ref="AU82:BP82" si="297">AU68/AU61</f>
        <v>9.811027698679782E-2</v>
      </c>
      <c r="AV82" s="64">
        <f t="shared" si="297"/>
        <v>9.1703056768558958E-2</v>
      </c>
      <c r="AW82" s="64">
        <f t="shared" si="297"/>
        <v>0.16886930983847284</v>
      </c>
      <c r="AX82" s="64">
        <f t="shared" si="297"/>
        <v>0.22726847958134755</v>
      </c>
      <c r="AY82" s="64">
        <f t="shared" si="297"/>
        <v>0.20170237184391737</v>
      </c>
      <c r="AZ82" s="64">
        <f t="shared" si="297"/>
        <v>0.13616355277315856</v>
      </c>
      <c r="BA82" s="64">
        <f t="shared" si="297"/>
        <v>0.23297950219619326</v>
      </c>
      <c r="BB82" s="64">
        <f t="shared" si="297"/>
        <v>0.20735960934775027</v>
      </c>
      <c r="BC82" s="64">
        <f t="shared" si="297"/>
        <v>0.24480874316939891</v>
      </c>
      <c r="BD82" s="64">
        <f t="shared" si="297"/>
        <v>0.21106866838411656</v>
      </c>
      <c r="BE82" s="64">
        <f t="shared" si="297"/>
        <v>0.17002881844380405</v>
      </c>
      <c r="BF82" s="64">
        <f t="shared" si="297"/>
        <v>0.1292240610444951</v>
      </c>
      <c r="BG82" s="64">
        <f t="shared" si="297"/>
        <v>0.15481686672822406</v>
      </c>
      <c r="BH82" s="64">
        <f t="shared" si="297"/>
        <v>0.15453998797354179</v>
      </c>
      <c r="BI82" s="64">
        <f t="shared" si="297"/>
        <v>0.16237799467613132</v>
      </c>
      <c r="BJ82" s="64">
        <f t="shared" si="297"/>
        <v>0.17381115125476027</v>
      </c>
      <c r="BK82" s="64">
        <f t="shared" si="297"/>
        <v>0.13910076274588518</v>
      </c>
      <c r="BL82" s="64">
        <f t="shared" si="297"/>
        <v>0.16083646525970896</v>
      </c>
      <c r="BM82" s="64">
        <f t="shared" si="297"/>
        <v>0.17480018805829808</v>
      </c>
      <c r="BN82" s="64">
        <f t="shared" si="297"/>
        <v>0.17413887370147621</v>
      </c>
      <c r="BO82" s="64">
        <f t="shared" si="297"/>
        <v>0.16344854218961188</v>
      </c>
      <c r="BP82" s="64">
        <f t="shared" si="297"/>
        <v>0.18416801292407109</v>
      </c>
      <c r="BQ82" s="64">
        <f>BQ68/BQ61</f>
        <v>0.18093060075644296</v>
      </c>
      <c r="BR82" s="64">
        <f t="shared" ref="BR82" si="298">BR68/BR61</f>
        <v>0.1964394798848067</v>
      </c>
      <c r="BS82" s="64">
        <f>BS68/BS61</f>
        <v>0.12047653170906485</v>
      </c>
      <c r="BT82" s="64">
        <f>BT68/BT61</f>
        <v>0.13443976812514888</v>
      </c>
      <c r="CA82" s="64">
        <f t="shared" ref="CA82:CP82" si="299">CA68/CA61</f>
        <v>0.20269009611665323</v>
      </c>
      <c r="CB82" s="64">
        <f t="shared" si="299"/>
        <v>0.17310694492232706</v>
      </c>
      <c r="CC82" s="64">
        <f t="shared" si="299"/>
        <v>0.14804070958641777</v>
      </c>
      <c r="CD82" s="64">
        <f t="shared" si="299"/>
        <v>7.1380577427821515E-2</v>
      </c>
      <c r="CE82" s="64">
        <f t="shared" si="299"/>
        <v>0.10851096301571959</v>
      </c>
      <c r="CF82" s="64">
        <f t="shared" si="299"/>
        <v>0.12837503708831965</v>
      </c>
      <c r="CG82" s="64">
        <f t="shared" si="299"/>
        <v>0.14050477824062729</v>
      </c>
      <c r="CH82" s="64">
        <f t="shared" si="299"/>
        <v>0.14511101520164965</v>
      </c>
      <c r="CI82" s="64">
        <f t="shared" si="299"/>
        <v>5.7101131799926978E-2</v>
      </c>
      <c r="CJ82" s="64">
        <f t="shared" si="299"/>
        <v>0.11936686506638759</v>
      </c>
      <c r="CK82" s="64">
        <f t="shared" si="299"/>
        <v>0.14205115346038114</v>
      </c>
      <c r="CL82" s="64">
        <f t="shared" si="299"/>
        <v>0.15479079981507166</v>
      </c>
      <c r="CM82" s="64">
        <f t="shared" si="299"/>
        <v>0.19558908879860709</v>
      </c>
      <c r="CN82" s="64">
        <f t="shared" si="299"/>
        <v>0.19155613588985865</v>
      </c>
      <c r="CO82" s="64">
        <f t="shared" si="299"/>
        <v>0.16150988556184398</v>
      </c>
      <c r="CP82" s="64">
        <f t="shared" si="299"/>
        <v>0.16269368295589989</v>
      </c>
      <c r="CQ82" s="64">
        <f t="shared" ref="CQ82" si="300">CQ68/CQ61</f>
        <v>0.18166847139505504</v>
      </c>
      <c r="CR82" s="71">
        <f t="shared" ref="CR82:CZ82" si="301">CR68/CR61</f>
        <v>0.12054003210774647</v>
      </c>
      <c r="CS82" s="71">
        <f t="shared" si="301"/>
        <v>0.1416226095815678</v>
      </c>
      <c r="CT82" s="71">
        <f t="shared" si="301"/>
        <v>0.15826664000351842</v>
      </c>
      <c r="CU82" s="71">
        <f t="shared" si="301"/>
        <v>0.17302793451726978</v>
      </c>
      <c r="CV82" s="71">
        <f t="shared" si="301"/>
        <v>0.18813868796142288</v>
      </c>
      <c r="CW82" s="71">
        <f t="shared" si="301"/>
        <v>0.20162100535291072</v>
      </c>
      <c r="CX82" s="71">
        <f t="shared" si="301"/>
        <v>0.2071085168052931</v>
      </c>
      <c r="CY82" s="71">
        <f t="shared" si="301"/>
        <v>0.21117712972601327</v>
      </c>
      <c r="CZ82" s="71">
        <f t="shared" si="301"/>
        <v>0.21345142661268793</v>
      </c>
    </row>
    <row r="83" spans="2:156">
      <c r="B83" s="37" t="s">
        <v>63</v>
      </c>
      <c r="C83" s="64">
        <f t="shared" ref="C83:AT83" si="302">C74/C73</f>
        <v>0.25552393272962487</v>
      </c>
      <c r="D83" s="64">
        <f t="shared" si="302"/>
        <v>0.17798340778557759</v>
      </c>
      <c r="E83" s="64">
        <f t="shared" si="302"/>
        <v>0.2089456527547694</v>
      </c>
      <c r="F83" s="64">
        <f t="shared" si="302"/>
        <v>0.15590542542103236</v>
      </c>
      <c r="G83" s="64">
        <f t="shared" si="302"/>
        <v>0.24141582211465754</v>
      </c>
      <c r="H83" s="64">
        <f t="shared" si="302"/>
        <v>0.17129659331494188</v>
      </c>
      <c r="I83" s="64">
        <f t="shared" si="302"/>
        <v>0.16295460952917962</v>
      </c>
      <c r="J83" s="64">
        <f t="shared" si="302"/>
        <v>0.18497567598144593</v>
      </c>
      <c r="K83" s="64">
        <f t="shared" si="302"/>
        <v>0.19182183961822788</v>
      </c>
      <c r="L83" s="64">
        <f t="shared" si="302"/>
        <v>-0.16016721409375942</v>
      </c>
      <c r="M83" s="64">
        <f t="shared" si="302"/>
        <v>0.39545545146501826</v>
      </c>
      <c r="N83" s="64">
        <f t="shared" si="302"/>
        <v>0.1714431934493347</v>
      </c>
      <c r="O83" s="64">
        <f t="shared" si="302"/>
        <v>0.2421234354769099</v>
      </c>
      <c r="P83" s="64">
        <f t="shared" si="302"/>
        <v>0.22421609369097079</v>
      </c>
      <c r="Q83" s="64">
        <f t="shared" si="302"/>
        <v>-0.46519671422395154</v>
      </c>
      <c r="R83" s="64">
        <f t="shared" si="302"/>
        <v>0.40171709478640172</v>
      </c>
      <c r="S83" s="64">
        <f t="shared" si="302"/>
        <v>1.8050541516245487E-2</v>
      </c>
      <c r="T83" s="64">
        <f t="shared" si="302"/>
        <v>0.20798668885191349</v>
      </c>
      <c r="U83" s="64">
        <f t="shared" si="302"/>
        <v>-0.3388773388773389</v>
      </c>
      <c r="V83" s="64">
        <f t="shared" si="302"/>
        <v>0.2</v>
      </c>
      <c r="W83" s="64">
        <f t="shared" si="302"/>
        <v>0.34310850439882695</v>
      </c>
      <c r="X83" s="64">
        <f t="shared" si="302"/>
        <v>0.35410334346504557</v>
      </c>
      <c r="Y83" s="64">
        <f t="shared" si="302"/>
        <v>0.38881118881118881</v>
      </c>
      <c r="Z83" s="64">
        <f t="shared" si="302"/>
        <v>0.21098626716604243</v>
      </c>
      <c r="AA83" s="64">
        <f t="shared" si="302"/>
        <v>0.18989280245022971</v>
      </c>
      <c r="AB83" s="64">
        <f t="shared" si="302"/>
        <v>0.20283975659229209</v>
      </c>
      <c r="AC83" s="64">
        <f t="shared" si="302"/>
        <v>0.16526610644257703</v>
      </c>
      <c r="AD83" s="64">
        <f t="shared" si="302"/>
        <v>0.16265060240963855</v>
      </c>
      <c r="AE83" s="64">
        <f t="shared" si="302"/>
        <v>-27</v>
      </c>
      <c r="AF83" s="64">
        <f t="shared" si="302"/>
        <v>0.16223776223776223</v>
      </c>
      <c r="AG83" s="64">
        <f t="shared" si="302"/>
        <v>-0.994413407821229</v>
      </c>
      <c r="AH83" s="64">
        <f t="shared" si="302"/>
        <v>0.12571428571428572</v>
      </c>
      <c r="AI83" s="64">
        <f t="shared" si="302"/>
        <v>0.47554347826086957</v>
      </c>
      <c r="AJ83" s="64">
        <f t="shared" si="302"/>
        <v>8.4745762711864403E-2</v>
      </c>
      <c r="AK83" s="64">
        <f t="shared" si="302"/>
        <v>0.10383386581469649</v>
      </c>
      <c r="AL83" s="64">
        <f t="shared" si="302"/>
        <v>2.505226480836237</v>
      </c>
      <c r="AM83" s="64">
        <f t="shared" si="302"/>
        <v>5.1044083526682132E-2</v>
      </c>
      <c r="AN83" s="64">
        <f t="shared" si="302"/>
        <v>7.5933075933075939E-2</v>
      </c>
      <c r="AO83" s="64">
        <f t="shared" si="302"/>
        <v>0.23119777158774374</v>
      </c>
      <c r="AP83" s="64">
        <f t="shared" si="302"/>
        <v>0.30834213305174235</v>
      </c>
      <c r="AQ83" s="64">
        <f t="shared" si="302"/>
        <v>-6.3291139240506333E-2</v>
      </c>
      <c r="AR83" s="64">
        <f t="shared" si="302"/>
        <v>8.7114337568058073E-2</v>
      </c>
      <c r="AS83" s="64">
        <f t="shared" si="302"/>
        <v>0.12964641885766093</v>
      </c>
      <c r="AT83" s="64">
        <f t="shared" si="302"/>
        <v>0.15403225806451612</v>
      </c>
      <c r="AU83" s="64">
        <f t="shared" ref="AU83:BP83" si="303">AU74/AU73</f>
        <v>0.10900473933649289</v>
      </c>
      <c r="AV83" s="64">
        <f t="shared" si="303"/>
        <v>-2.0912547528517109E-2</v>
      </c>
      <c r="AW83" s="64">
        <f t="shared" si="303"/>
        <v>0.13300492610837439</v>
      </c>
      <c r="AX83" s="64">
        <f t="shared" si="303"/>
        <v>0.10469011725293133</v>
      </c>
      <c r="AY83" s="64">
        <f t="shared" si="303"/>
        <v>0.12236906510034264</v>
      </c>
      <c r="AZ83" s="64">
        <f t="shared" si="303"/>
        <v>0.11795252225519288</v>
      </c>
      <c r="BA83" s="64">
        <f t="shared" si="303"/>
        <v>0.15764139590854392</v>
      </c>
      <c r="BB83" s="64">
        <f t="shared" si="303"/>
        <v>0.14525139664804471</v>
      </c>
      <c r="BC83" s="64">
        <f t="shared" si="303"/>
        <v>0.14916550764951322</v>
      </c>
      <c r="BD83" s="64">
        <f t="shared" si="303"/>
        <v>0.14200680272108843</v>
      </c>
      <c r="BE83" s="64">
        <f t="shared" si="303"/>
        <v>0.18373151308304891</v>
      </c>
      <c r="BF83" s="64">
        <f t="shared" si="303"/>
        <v>0.21742424242424244</v>
      </c>
      <c r="BG83" s="64">
        <f t="shared" si="303"/>
        <v>0.15620998719590268</v>
      </c>
      <c r="BH83" s="64">
        <f t="shared" si="303"/>
        <v>0.15953545232273839</v>
      </c>
      <c r="BI83" s="64">
        <f t="shared" si="303"/>
        <v>0.14063435068821065</v>
      </c>
      <c r="BJ83" s="64">
        <f t="shared" si="303"/>
        <v>0.11197771587743732</v>
      </c>
      <c r="BK83" s="64">
        <f t="shared" si="303"/>
        <v>0.14693593314763231</v>
      </c>
      <c r="BL83" s="64">
        <f t="shared" si="303"/>
        <v>0.1897946484131923</v>
      </c>
      <c r="BM83" s="64">
        <f t="shared" si="303"/>
        <v>0.15154639175257731</v>
      </c>
      <c r="BN83" s="64">
        <f t="shared" si="303"/>
        <v>-3.546305418719212</v>
      </c>
      <c r="BO83" s="64">
        <f t="shared" si="303"/>
        <v>0.25478065241844772</v>
      </c>
      <c r="BP83" s="64">
        <f t="shared" si="303"/>
        <v>0.17255813953488372</v>
      </c>
      <c r="BQ83" s="64">
        <f>BQ74/BQ73</f>
        <v>0.24587155963302754</v>
      </c>
      <c r="BR83" s="64">
        <f t="shared" ref="BR83" si="304">BR74/BR73</f>
        <v>0.24681933842239187</v>
      </c>
      <c r="BS83" s="64">
        <f>BS74/BS73</f>
        <v>0.25672877846790892</v>
      </c>
      <c r="BT83" s="64">
        <f>BT74/BT73</f>
        <v>0.39107611548556431</v>
      </c>
      <c r="CA83" s="64">
        <f t="shared" ref="CA83:CP83" si="305">CA74/CA73</f>
        <v>0.20127333639156486</v>
      </c>
      <c r="CB83" s="64">
        <f t="shared" si="305"/>
        <v>0.19020445315782103</v>
      </c>
      <c r="CC83" s="64">
        <f t="shared" si="305"/>
        <v>9.0442208928811885E-2</v>
      </c>
      <c r="CD83" s="64">
        <f t="shared" si="305"/>
        <v>2.0749318801089918</v>
      </c>
      <c r="CE83" s="64">
        <f t="shared" si="305"/>
        <v>2.5967662910338071E-2</v>
      </c>
      <c r="CF83" s="64">
        <f t="shared" si="305"/>
        <v>0.31689860834990058</v>
      </c>
      <c r="CG83" s="64">
        <f t="shared" si="305"/>
        <v>0.18127552623311341</v>
      </c>
      <c r="CH83" s="64">
        <f t="shared" si="305"/>
        <v>0.24769992922859166</v>
      </c>
      <c r="CI83" s="64">
        <f t="shared" si="305"/>
        <v>0.84177498879426271</v>
      </c>
      <c r="CJ83" s="64">
        <f t="shared" si="305"/>
        <v>0.18760877131917855</v>
      </c>
      <c r="CK83" s="64">
        <f t="shared" si="305"/>
        <v>9.5658572479764531E-2</v>
      </c>
      <c r="CL83" s="64">
        <f t="shared" si="305"/>
        <v>0.1000402576489533</v>
      </c>
      <c r="CM83" s="64">
        <f t="shared" si="305"/>
        <v>0.13883814395323346</v>
      </c>
      <c r="CN83" s="64">
        <f t="shared" si="305"/>
        <v>0.16530219118709366</v>
      </c>
      <c r="CO83" s="64">
        <f t="shared" si="305"/>
        <v>0.14120648259303722</v>
      </c>
      <c r="CP83" s="64">
        <f t="shared" si="305"/>
        <v>-0.91102238699557969</v>
      </c>
      <c r="CQ83" s="64">
        <f t="shared" ref="CQ83" si="306">CQ74/CQ73</f>
        <v>0.22938814079848807</v>
      </c>
      <c r="CR83" s="71">
        <v>0.23</v>
      </c>
      <c r="CS83" s="71">
        <v>0.23</v>
      </c>
      <c r="CT83" s="71">
        <v>0.23</v>
      </c>
      <c r="CU83" s="71">
        <v>0.23</v>
      </c>
      <c r="CV83" s="71">
        <v>0.23</v>
      </c>
      <c r="CW83" s="71">
        <v>0.23</v>
      </c>
      <c r="CX83" s="71">
        <v>0.23</v>
      </c>
      <c r="CY83" s="71">
        <v>0.23</v>
      </c>
      <c r="CZ83" s="71">
        <v>0.23</v>
      </c>
    </row>
    <row r="84" spans="2:156">
      <c r="B84" s="37" t="s">
        <v>64</v>
      </c>
      <c r="C84" s="64">
        <f t="shared" ref="C84:AT84" si="307">C75/C61</f>
        <v>0.21414324839247439</v>
      </c>
      <c r="D84" s="64">
        <f t="shared" si="307"/>
        <v>0.17186353386969799</v>
      </c>
      <c r="E84" s="64">
        <f t="shared" si="307"/>
        <v>0.19072835736281296</v>
      </c>
      <c r="F84" s="64">
        <f t="shared" si="307"/>
        <v>0.1750492030807386</v>
      </c>
      <c r="G84" s="64">
        <f t="shared" si="307"/>
        <v>0.13028681284422727</v>
      </c>
      <c r="H84" s="64">
        <f t="shared" si="307"/>
        <v>0.1463516881939724</v>
      </c>
      <c r="I84" s="64">
        <f t="shared" si="307"/>
        <v>0.1026802697561819</v>
      </c>
      <c r="J84" s="64">
        <f t="shared" si="307"/>
        <v>0.14454543630490171</v>
      </c>
      <c r="K84" s="64">
        <f t="shared" si="307"/>
        <v>9.5533581099017717E-2</v>
      </c>
      <c r="L84" s="64">
        <f t="shared" si="307"/>
        <v>0.20202156754676948</v>
      </c>
      <c r="M84" s="64">
        <f t="shared" si="307"/>
        <v>3.0896329723838035E-2</v>
      </c>
      <c r="N84" s="64">
        <f t="shared" si="307"/>
        <v>0.156018116989496</v>
      </c>
      <c r="O84" s="64">
        <f t="shared" si="307"/>
        <v>6.6468573158960542E-2</v>
      </c>
      <c r="P84" s="64">
        <f t="shared" si="307"/>
        <v>7.7296595336231774E-2</v>
      </c>
      <c r="Q84" s="64">
        <f t="shared" si="307"/>
        <v>6.4370916274122461E-2</v>
      </c>
      <c r="R84" s="64">
        <f t="shared" si="307"/>
        <v>-0.27103067561633531</v>
      </c>
      <c r="S84" s="64">
        <f t="shared" si="307"/>
        <v>0.10115284492376347</v>
      </c>
      <c r="T84" s="64">
        <f t="shared" si="307"/>
        <v>8.7403598971722368E-2</v>
      </c>
      <c r="U84" s="64">
        <f t="shared" si="307"/>
        <v>0.13347150259067359</v>
      </c>
      <c r="V84" s="64">
        <f t="shared" si="307"/>
        <v>8.0838323353293412E-2</v>
      </c>
      <c r="W84" s="64">
        <f t="shared" si="307"/>
        <v>4.7108307045215563E-2</v>
      </c>
      <c r="X84" s="64">
        <f t="shared" si="307"/>
        <v>8.4041922088194582E-2</v>
      </c>
      <c r="Y84" s="64">
        <f t="shared" si="307"/>
        <v>8.6040559165190003E-2</v>
      </c>
      <c r="Z84" s="64">
        <f t="shared" si="307"/>
        <v>0.11855186644156819</v>
      </c>
      <c r="AA84" s="64">
        <f t="shared" si="307"/>
        <v>0.10802532162548499</v>
      </c>
      <c r="AB84" s="64">
        <f t="shared" si="307"/>
        <v>0.15203094777562862</v>
      </c>
      <c r="AC84" s="64">
        <f t="shared" si="307"/>
        <v>0.11572815533980582</v>
      </c>
      <c r="AD84" s="64">
        <f t="shared" si="307"/>
        <v>0.13396299151888974</v>
      </c>
      <c r="AE84" s="64">
        <f t="shared" si="307"/>
        <v>1.1463664278403275E-2</v>
      </c>
      <c r="AF84" s="64">
        <f t="shared" si="307"/>
        <v>0.11231951996999813</v>
      </c>
      <c r="AG84" s="64">
        <f t="shared" si="307"/>
        <v>-6.7333081855903434E-2</v>
      </c>
      <c r="AH84" s="64">
        <f t="shared" si="307"/>
        <v>0.14344646540408776</v>
      </c>
      <c r="AI84" s="64">
        <f t="shared" si="307"/>
        <v>6.0931333859510654E-2</v>
      </c>
      <c r="AJ84" s="64">
        <f t="shared" si="307"/>
        <v>4.0681030586108183E-2</v>
      </c>
      <c r="AK84" s="64">
        <f t="shared" si="307"/>
        <v>8.2149655879338118E-2</v>
      </c>
      <c r="AL84" s="64">
        <f t="shared" si="307"/>
        <v>-0.11384899196205034</v>
      </c>
      <c r="AM84" s="64">
        <f t="shared" si="307"/>
        <v>5.5345060893098784E-2</v>
      </c>
      <c r="AN84" s="64">
        <f t="shared" si="307"/>
        <v>9.2442384447019438E-2</v>
      </c>
      <c r="AO84" s="64">
        <f t="shared" si="307"/>
        <v>7.2100313479623826E-2</v>
      </c>
      <c r="AP84" s="64">
        <f t="shared" si="307"/>
        <v>8.4352865421764331E-2</v>
      </c>
      <c r="AQ84" s="64">
        <f t="shared" si="307"/>
        <v>8.9183808891838093E-2</v>
      </c>
      <c r="AR84" s="64">
        <f t="shared" si="307"/>
        <v>0.12608096252663242</v>
      </c>
      <c r="AS84" s="64">
        <f t="shared" si="307"/>
        <v>0.1188707280832095</v>
      </c>
      <c r="AT84" s="64">
        <f t="shared" si="307"/>
        <v>0.12617272071205196</v>
      </c>
      <c r="AU84" s="64">
        <f t="shared" ref="AU84:BP84" si="308">AU75/AU61</f>
        <v>7.3000258866166193E-2</v>
      </c>
      <c r="AV84" s="64">
        <f t="shared" si="308"/>
        <v>7.328056768558952E-2</v>
      </c>
      <c r="AW84" s="64">
        <f t="shared" si="308"/>
        <v>0.13916186603411274</v>
      </c>
      <c r="AX84" s="64">
        <f t="shared" si="308"/>
        <v>0.19979441173722082</v>
      </c>
      <c r="AY84" s="64">
        <f t="shared" si="308"/>
        <v>0.1714804896710023</v>
      </c>
      <c r="AZ84" s="64">
        <f t="shared" si="308"/>
        <v>0.11630636799373961</v>
      </c>
      <c r="BA84" s="64">
        <f t="shared" si="308"/>
        <v>0.19216691068814057</v>
      </c>
      <c r="BB84" s="64">
        <f t="shared" si="308"/>
        <v>0.17343913498430416</v>
      </c>
      <c r="BC84" s="64">
        <f t="shared" si="308"/>
        <v>0.20571668768390081</v>
      </c>
      <c r="BD84" s="64">
        <f t="shared" si="308"/>
        <v>0.17926623434307543</v>
      </c>
      <c r="BE84" s="64">
        <f t="shared" si="308"/>
        <v>0.1378482228626321</v>
      </c>
      <c r="BF84" s="64">
        <f t="shared" si="308"/>
        <v>0.10236844713110693</v>
      </c>
      <c r="BG84" s="64">
        <f t="shared" si="308"/>
        <v>0.13522109366984714</v>
      </c>
      <c r="BH84" s="64">
        <f t="shared" si="308"/>
        <v>0.13780316696732811</v>
      </c>
      <c r="BI84" s="64">
        <f t="shared" si="308"/>
        <v>0.14157547076801735</v>
      </c>
      <c r="BJ84" s="64">
        <f t="shared" si="308"/>
        <v>0.15564886241577972</v>
      </c>
      <c r="BK84" s="64">
        <f t="shared" si="308"/>
        <v>0.12294259333600964</v>
      </c>
      <c r="BL84" s="64">
        <f t="shared" si="308"/>
        <v>0.12546978895634575</v>
      </c>
      <c r="BM84" s="64">
        <f t="shared" si="308"/>
        <v>0.15477197931358722</v>
      </c>
      <c r="BN84" s="64">
        <f t="shared" si="308"/>
        <v>0.84098778932021145</v>
      </c>
      <c r="BO84" s="64">
        <f t="shared" si="308"/>
        <v>0.1279204479629272</v>
      </c>
      <c r="BP84" s="64">
        <f t="shared" si="308"/>
        <v>0.1596661281637049</v>
      </c>
      <c r="BQ84" s="64">
        <f>BQ75/BQ61</f>
        <v>0.14460374703140119</v>
      </c>
      <c r="BR84" s="64">
        <f t="shared" ref="BR84" si="309">BR75/BR61</f>
        <v>0.15498734619076709</v>
      </c>
      <c r="BS84" s="64">
        <f>BS75/BS61</f>
        <v>9.6470798996775353E-2</v>
      </c>
      <c r="BT84" s="64">
        <f>BT75/BT61</f>
        <v>7.3691733502739623E-2</v>
      </c>
      <c r="CA84" s="64">
        <f t="shared" ref="CA84:CP84" si="310">CA75/CA61</f>
        <v>0.18676600129369053</v>
      </c>
      <c r="CB84" s="64">
        <f t="shared" si="310"/>
        <v>0.13155058620797513</v>
      </c>
      <c r="CC84" s="64">
        <f t="shared" si="310"/>
        <v>0.12171435337238871</v>
      </c>
      <c r="CD84" s="64">
        <f t="shared" si="310"/>
        <v>1.2425196850393703E-2</v>
      </c>
      <c r="CE84" s="64">
        <f t="shared" si="310"/>
        <v>0.10113445591901105</v>
      </c>
      <c r="CF84" s="64">
        <f t="shared" si="310"/>
        <v>8.4956977549203838E-2</v>
      </c>
      <c r="CG84" s="64">
        <f t="shared" si="310"/>
        <v>0.12771379563832394</v>
      </c>
      <c r="CH84" s="64">
        <f t="shared" si="310"/>
        <v>5.0975878770440707E-2</v>
      </c>
      <c r="CI84" s="64">
        <f t="shared" si="310"/>
        <v>1.2887915297553851E-2</v>
      </c>
      <c r="CJ84" s="64">
        <f t="shared" si="310"/>
        <v>7.6329387141081825E-2</v>
      </c>
      <c r="CK84" s="64">
        <f t="shared" si="310"/>
        <v>0.11556544633901705</v>
      </c>
      <c r="CL84" s="64">
        <f t="shared" si="310"/>
        <v>0.12918978270920017</v>
      </c>
      <c r="CM84" s="64">
        <f t="shared" si="310"/>
        <v>0.16415554265815438</v>
      </c>
      <c r="CN84" s="64">
        <f t="shared" si="310"/>
        <v>0.15882069960827436</v>
      </c>
      <c r="CO84" s="64">
        <f t="shared" si="310"/>
        <v>0.14268618015906653</v>
      </c>
      <c r="CP84" s="64">
        <f t="shared" si="310"/>
        <v>0.3194755661501788</v>
      </c>
      <c r="CQ84" s="64">
        <f t="shared" ref="CQ84" si="311">CQ75/CQ61</f>
        <v>0.14717560007218913</v>
      </c>
      <c r="CR84" s="71">
        <f t="shared" ref="CR84:CZ84" si="312">CR75/CR61</f>
        <v>0.10794129223096217</v>
      </c>
      <c r="CS84" s="71">
        <f t="shared" si="312"/>
        <v>0.13207208659271849</v>
      </c>
      <c r="CT84" s="71">
        <f t="shared" si="312"/>
        <v>0.1534713727841954</v>
      </c>
      <c r="CU84" s="71">
        <f t="shared" si="312"/>
        <v>0.17413293532106791</v>
      </c>
      <c r="CV84" s="71">
        <f t="shared" si="312"/>
        <v>0.19582330695614553</v>
      </c>
      <c r="CW84" s="71">
        <f t="shared" si="312"/>
        <v>0.21748877664635044</v>
      </c>
      <c r="CX84" s="71">
        <f t="shared" si="312"/>
        <v>0.23434218062463746</v>
      </c>
      <c r="CY84" s="71">
        <f t="shared" si="312"/>
        <v>0.25151907555866243</v>
      </c>
      <c r="CZ84" s="71">
        <f t="shared" si="312"/>
        <v>0.26861794304723141</v>
      </c>
    </row>
    <row r="86" spans="2:156">
      <c r="B86" s="1" t="s">
        <v>65</v>
      </c>
      <c r="BF86" s="1">
        <v>9882</v>
      </c>
      <c r="BG86" s="1">
        <v>9161</v>
      </c>
      <c r="BH86" s="1">
        <v>7835</v>
      </c>
      <c r="BI86" s="1">
        <v>6709</v>
      </c>
      <c r="BJ86" s="1">
        <v>6896</v>
      </c>
      <c r="BK86" s="1">
        <v>6284</v>
      </c>
      <c r="BL86" s="1">
        <v>6987</v>
      </c>
      <c r="BM86" s="1">
        <v>7558</v>
      </c>
      <c r="BN86" s="1">
        <v>7616</v>
      </c>
      <c r="BO86" s="1">
        <v>6532</v>
      </c>
      <c r="BP86" s="1">
        <v>6951</v>
      </c>
      <c r="BQ86" s="1">
        <v>7511</v>
      </c>
      <c r="BR86" s="1">
        <v>8522</v>
      </c>
      <c r="BS86" s="1">
        <v>6803</v>
      </c>
      <c r="BT86" s="1">
        <v>5104</v>
      </c>
      <c r="CN86" s="1">
        <f>BF86</f>
        <v>9882</v>
      </c>
      <c r="CO86" s="1">
        <f>BJ86</f>
        <v>6896</v>
      </c>
      <c r="CP86" s="1">
        <f>BN86</f>
        <v>7616</v>
      </c>
      <c r="CQ86" s="67">
        <f>BR86</f>
        <v>8522</v>
      </c>
      <c r="CR86" s="69">
        <f t="shared" ref="CR86:CZ86" si="313">CQ86+CR75</f>
        <v>13715.95088828</v>
      </c>
      <c r="CS86" s="69">
        <f t="shared" si="313"/>
        <v>20537.613280247046</v>
      </c>
      <c r="CT86" s="69">
        <f t="shared" si="313"/>
        <v>29196.339817158223</v>
      </c>
      <c r="CU86" s="69">
        <f t="shared" si="313"/>
        <v>39888.832403175162</v>
      </c>
      <c r="CV86" s="69">
        <f t="shared" si="313"/>
        <v>52976.003071915664</v>
      </c>
      <c r="CW86" s="69">
        <f t="shared" si="313"/>
        <v>68680.807169809661</v>
      </c>
      <c r="CX86" s="69">
        <f t="shared" si="313"/>
        <v>86823.280142951815</v>
      </c>
      <c r="CY86" s="69">
        <f t="shared" si="313"/>
        <v>107464.10750406557</v>
      </c>
      <c r="CZ86" s="69">
        <f t="shared" si="313"/>
        <v>130652.93094865585</v>
      </c>
    </row>
    <row r="87" spans="2:156">
      <c r="B87" s="1" t="s">
        <v>66</v>
      </c>
      <c r="BF87" s="1">
        <v>288</v>
      </c>
      <c r="BG87" s="1">
        <v>371</v>
      </c>
      <c r="BH87" s="1">
        <v>320</v>
      </c>
      <c r="BI87" s="1">
        <v>338</v>
      </c>
      <c r="BJ87" s="1">
        <v>383</v>
      </c>
      <c r="BK87" s="1">
        <v>367</v>
      </c>
      <c r="BL87" s="1">
        <v>232</v>
      </c>
      <c r="BM87" s="1">
        <v>230</v>
      </c>
      <c r="BN87" s="1">
        <v>351</v>
      </c>
      <c r="BO87" s="1">
        <v>312</v>
      </c>
      <c r="BP87" s="1">
        <v>331</v>
      </c>
      <c r="BQ87" s="1">
        <v>222</v>
      </c>
      <c r="BR87" s="1">
        <v>417</v>
      </c>
      <c r="BS87" s="1">
        <v>492</v>
      </c>
      <c r="BT87" s="1">
        <v>499</v>
      </c>
      <c r="CN87" s="1">
        <f t="shared" ref="CN87:CN96" si="314">BF87</f>
        <v>288</v>
      </c>
      <c r="CO87" s="1">
        <f t="shared" ref="CO87:CO96" si="315">BJ87</f>
        <v>383</v>
      </c>
      <c r="CP87" s="1">
        <f t="shared" ref="CP87:CP96" si="316">BN87</f>
        <v>351</v>
      </c>
      <c r="CQ87" s="67">
        <f t="shared" ref="CQ87:CQ108" si="317">BR87</f>
        <v>417</v>
      </c>
    </row>
    <row r="88" spans="2:156">
      <c r="B88" s="1" t="s">
        <v>1467</v>
      </c>
      <c r="BF88" s="1">
        <v>6218</v>
      </c>
      <c r="BG88" s="1">
        <v>6020</v>
      </c>
      <c r="BH88" s="1">
        <v>6172</v>
      </c>
      <c r="BI88" s="1">
        <v>6499</v>
      </c>
      <c r="BJ88" s="1">
        <v>6565</v>
      </c>
      <c r="BK88" s="1">
        <v>6605</v>
      </c>
      <c r="BL88" s="1">
        <v>6854</v>
      </c>
      <c r="BM88" s="1">
        <v>7051</v>
      </c>
      <c r="BN88" s="1">
        <v>6925</v>
      </c>
      <c r="BO88" s="1">
        <v>7327</v>
      </c>
      <c r="BP88" s="1">
        <v>7972</v>
      </c>
      <c r="BQ88" s="1">
        <v>8138</v>
      </c>
      <c r="BR88" s="1">
        <v>7929</v>
      </c>
      <c r="BS88" s="1">
        <v>8210</v>
      </c>
      <c r="BT88" s="1">
        <v>8599</v>
      </c>
      <c r="CN88" s="1">
        <f t="shared" si="314"/>
        <v>6218</v>
      </c>
      <c r="CO88" s="1">
        <f t="shared" si="315"/>
        <v>6565</v>
      </c>
      <c r="CP88" s="1">
        <f t="shared" si="316"/>
        <v>6925</v>
      </c>
      <c r="CQ88" s="67">
        <f t="shared" si="317"/>
        <v>7929</v>
      </c>
      <c r="DD88" s="45"/>
      <c r="DE88" s="46"/>
      <c r="DF88" s="46"/>
      <c r="DG88" s="45"/>
      <c r="DH88" s="46"/>
      <c r="DI88" s="47"/>
      <c r="DJ88" s="46"/>
      <c r="DK88" s="48"/>
      <c r="DM88" s="46"/>
    </row>
    <row r="89" spans="2:156" ht="13.5" customHeight="1">
      <c r="B89" s="1" t="s">
        <v>1468</v>
      </c>
      <c r="BF89" s="1">
        <v>6173</v>
      </c>
      <c r="BG89" s="1">
        <v>6673</v>
      </c>
      <c r="BH89" s="1">
        <v>6871</v>
      </c>
      <c r="BI89" s="1">
        <v>6650</v>
      </c>
      <c r="BJ89" s="1">
        <v>6570</v>
      </c>
      <c r="BK89" s="1">
        <v>6827</v>
      </c>
      <c r="BL89" s="1">
        <v>6814</v>
      </c>
      <c r="BM89" s="1">
        <v>6813</v>
      </c>
      <c r="BN89" s="1">
        <v>6194</v>
      </c>
      <c r="BO89" s="1">
        <v>6639</v>
      </c>
      <c r="BP89" s="1">
        <v>6954</v>
      </c>
      <c r="BQ89" s="1">
        <v>6708</v>
      </c>
      <c r="BR89" s="1">
        <v>6488</v>
      </c>
      <c r="BS89" s="1">
        <v>6989</v>
      </c>
      <c r="BT89" s="1">
        <v>7315</v>
      </c>
      <c r="CN89" s="1">
        <f t="shared" si="314"/>
        <v>6173</v>
      </c>
      <c r="CO89" s="1">
        <f t="shared" si="315"/>
        <v>6570</v>
      </c>
      <c r="CP89" s="1">
        <f t="shared" si="316"/>
        <v>6194</v>
      </c>
      <c r="CQ89" s="67">
        <f t="shared" si="317"/>
        <v>6488</v>
      </c>
      <c r="CS89" s="96" t="s">
        <v>109</v>
      </c>
      <c r="CV89" s="45" t="s">
        <v>2262</v>
      </c>
      <c r="CW89" s="46"/>
      <c r="CX89" s="97" t="s">
        <v>108</v>
      </c>
      <c r="CY89" s="46"/>
      <c r="CZ89" s="48" t="s">
        <v>110</v>
      </c>
      <c r="DA89" s="49">
        <v>0.105</v>
      </c>
      <c r="DB89" s="46"/>
      <c r="DD89" s="46"/>
      <c r="DE89" s="46"/>
      <c r="DF89" s="46"/>
      <c r="DG89" s="46"/>
      <c r="DH89" s="46"/>
      <c r="DI89" s="47"/>
      <c r="DJ89" s="46"/>
      <c r="DK89" s="48"/>
      <c r="DM89" s="46"/>
    </row>
    <row r="90" spans="2:156" ht="13.5" customHeight="1">
      <c r="B90" s="1" t="s">
        <v>1469</v>
      </c>
      <c r="BF90" s="1">
        <v>2663</v>
      </c>
      <c r="BG90" s="1">
        <v>2152</v>
      </c>
      <c r="BH90" s="1">
        <v>2307</v>
      </c>
      <c r="BI90" s="1">
        <v>2468</v>
      </c>
      <c r="BJ90" s="1">
        <v>2256</v>
      </c>
      <c r="BK90" s="1">
        <v>2293</v>
      </c>
      <c r="BL90" s="1">
        <v>2232</v>
      </c>
      <c r="BM90" s="1">
        <v>2150</v>
      </c>
      <c r="BN90" s="1">
        <v>2570</v>
      </c>
      <c r="BO90" s="1">
        <v>2343</v>
      </c>
      <c r="BP90" s="1">
        <v>2260</v>
      </c>
      <c r="BQ90" s="1">
        <v>2260</v>
      </c>
      <c r="BR90" s="1">
        <v>2640</v>
      </c>
      <c r="BS90" s="1">
        <v>3014</v>
      </c>
      <c r="BT90" s="1">
        <v>3000</v>
      </c>
      <c r="CN90" s="1">
        <f t="shared" si="314"/>
        <v>2663</v>
      </c>
      <c r="CO90" s="1">
        <f t="shared" si="315"/>
        <v>2256</v>
      </c>
      <c r="CP90" s="1">
        <f t="shared" si="316"/>
        <v>2570</v>
      </c>
      <c r="CQ90" s="67">
        <f t="shared" si="317"/>
        <v>2640</v>
      </c>
      <c r="CS90" s="46">
        <v>2024</v>
      </c>
      <c r="CT90" s="46">
        <v>2025</v>
      </c>
      <c r="CV90" s="45" t="s">
        <v>2263</v>
      </c>
      <c r="CW90" s="46"/>
      <c r="CX90" s="46">
        <v>2025</v>
      </c>
      <c r="CY90" s="46"/>
      <c r="CZ90" s="48" t="s">
        <v>111</v>
      </c>
      <c r="DA90" s="49">
        <v>5.0000000000000001E-3</v>
      </c>
      <c r="DB90" s="46"/>
      <c r="DE90" s="46"/>
      <c r="DH90" s="46"/>
      <c r="DJ90" s="46"/>
      <c r="DK90" s="48"/>
      <c r="DM90" s="46"/>
    </row>
    <row r="91" spans="2:156" ht="13.5" customHeight="1">
      <c r="B91" s="1" t="s">
        <v>1470</v>
      </c>
      <c r="BF91" s="1">
        <v>766</v>
      </c>
      <c r="BG91" s="1">
        <v>776</v>
      </c>
      <c r="BH91" s="1">
        <v>799</v>
      </c>
      <c r="BI91" s="1">
        <v>788</v>
      </c>
      <c r="BJ91" s="1">
        <v>799</v>
      </c>
      <c r="BK91" s="1">
        <v>818</v>
      </c>
      <c r="BL91" s="1">
        <v>877</v>
      </c>
      <c r="BM91" s="1">
        <v>912</v>
      </c>
      <c r="BN91" s="1">
        <v>886</v>
      </c>
      <c r="BO91" s="1">
        <v>907</v>
      </c>
      <c r="BP91" s="1">
        <v>958</v>
      </c>
      <c r="BQ91" s="1">
        <v>951</v>
      </c>
      <c r="BR91" s="1">
        <v>918</v>
      </c>
      <c r="BS91" s="1">
        <v>1090</v>
      </c>
      <c r="BT91" s="1">
        <v>1111</v>
      </c>
      <c r="CN91" s="1">
        <f t="shared" si="314"/>
        <v>766</v>
      </c>
      <c r="CO91" s="1">
        <f t="shared" si="315"/>
        <v>799</v>
      </c>
      <c r="CP91" s="1">
        <f t="shared" si="316"/>
        <v>886</v>
      </c>
      <c r="CQ91" s="67">
        <f t="shared" si="317"/>
        <v>918</v>
      </c>
      <c r="CS91" s="51">
        <f>SUM(CP86:CP89)-CP98+CP92+CP94+CP93</f>
        <v>57304</v>
      </c>
      <c r="CT91" s="51">
        <f>SUM(CQ86:CQ89)-CQ98+CQ92+CQ94+CQ93</f>
        <v>60493</v>
      </c>
      <c r="CV91" s="51">
        <f>AVERAGE(CS91:CT91)</f>
        <v>58898.5</v>
      </c>
      <c r="CW91" s="46"/>
      <c r="CX91" s="50">
        <f>AVERAGE(CQ68)*(1-CQ83)</f>
        <v>6205.7373021497751</v>
      </c>
      <c r="CY91" s="46"/>
      <c r="CZ91" s="48" t="s">
        <v>112</v>
      </c>
      <c r="DA91" s="49">
        <v>4.2099999999999999E-2</v>
      </c>
      <c r="DB91" s="46"/>
      <c r="DE91" s="46"/>
      <c r="DF91" s="46"/>
      <c r="DG91" s="46"/>
      <c r="DH91" s="46"/>
      <c r="DI91" s="46"/>
      <c r="DJ91" s="46"/>
      <c r="DK91" s="48"/>
      <c r="DM91" s="46"/>
    </row>
    <row r="92" spans="2:156" ht="13.5" customHeight="1">
      <c r="B92" s="1" t="s">
        <v>1471</v>
      </c>
      <c r="BF92" s="1">
        <v>9162</v>
      </c>
      <c r="BG92" s="1">
        <v>9282</v>
      </c>
      <c r="BH92" s="1">
        <v>9449</v>
      </c>
      <c r="BI92" s="1">
        <v>9552</v>
      </c>
      <c r="BJ92" s="1">
        <v>10154</v>
      </c>
      <c r="BK92" s="1">
        <v>10107</v>
      </c>
      <c r="BL92" s="1">
        <v>10233</v>
      </c>
      <c r="BM92" s="1">
        <v>10621</v>
      </c>
      <c r="BN92" s="1">
        <v>10658</v>
      </c>
      <c r="BO92" s="1">
        <v>10932</v>
      </c>
      <c r="BP92" s="1">
        <v>11395</v>
      </c>
      <c r="BQ92" s="1">
        <v>11504</v>
      </c>
      <c r="BR92" s="1">
        <v>11816</v>
      </c>
      <c r="BS92" s="1">
        <v>12377</v>
      </c>
      <c r="BT92" s="1">
        <v>12812</v>
      </c>
      <c r="CN92" s="1">
        <f t="shared" si="314"/>
        <v>9162</v>
      </c>
      <c r="CO92" s="1">
        <f t="shared" si="315"/>
        <v>10154</v>
      </c>
      <c r="CP92" s="1">
        <f t="shared" si="316"/>
        <v>10658</v>
      </c>
      <c r="CQ92" s="67">
        <f t="shared" si="317"/>
        <v>11816</v>
      </c>
      <c r="CT92" s="46"/>
      <c r="CU92" s="46"/>
      <c r="CV92" s="46"/>
      <c r="CW92" s="46"/>
      <c r="CX92" s="52">
        <f>CX91/CV91</f>
        <v>0.10536324867610848</v>
      </c>
      <c r="CY92" s="46"/>
      <c r="CZ92" s="48" t="s">
        <v>113</v>
      </c>
      <c r="DA92" s="49">
        <f>9.5%-DA91</f>
        <v>5.2900000000000003E-2</v>
      </c>
      <c r="DB92" s="46"/>
      <c r="DD92" s="46"/>
      <c r="DE92" s="46"/>
      <c r="DF92" s="46"/>
      <c r="DG92" s="46"/>
      <c r="DH92" s="46"/>
      <c r="DI92" s="46"/>
      <c r="DJ92" s="46"/>
      <c r="DK92" s="48"/>
      <c r="DM92" s="46"/>
    </row>
    <row r="93" spans="2:156" ht="13.5" customHeight="1">
      <c r="B93" s="1" t="s">
        <v>1473</v>
      </c>
      <c r="BF93" s="1">
        <v>10454</v>
      </c>
      <c r="BG93" s="1">
        <v>10006</v>
      </c>
      <c r="BH93" s="1">
        <v>9834</v>
      </c>
      <c r="BI93" s="1">
        <v>9282</v>
      </c>
      <c r="BJ93" s="1">
        <v>8815</v>
      </c>
      <c r="BK93" s="1">
        <v>8296</v>
      </c>
      <c r="BL93" s="1">
        <v>7827</v>
      </c>
      <c r="BM93" s="1">
        <v>7352</v>
      </c>
      <c r="BN93" s="1">
        <v>6647</v>
      </c>
      <c r="BO93" s="1">
        <v>6261</v>
      </c>
      <c r="BP93" s="1">
        <v>5920</v>
      </c>
      <c r="BQ93" s="1">
        <v>5598</v>
      </c>
      <c r="BR93" s="1">
        <v>5526</v>
      </c>
      <c r="BS93" s="1">
        <v>17875</v>
      </c>
      <c r="BT93" s="1">
        <v>17211</v>
      </c>
      <c r="CN93" s="1">
        <f t="shared" si="314"/>
        <v>10454</v>
      </c>
      <c r="CO93" s="1">
        <f t="shared" si="315"/>
        <v>8815</v>
      </c>
      <c r="CP93" s="1">
        <f t="shared" si="316"/>
        <v>6647</v>
      </c>
      <c r="CQ93" s="67">
        <f t="shared" si="317"/>
        <v>5526</v>
      </c>
      <c r="CS93" s="53" t="s">
        <v>2264</v>
      </c>
      <c r="CT93" s="46"/>
      <c r="CU93" s="46"/>
      <c r="CW93" s="46"/>
      <c r="CX93" s="46"/>
      <c r="CY93" s="46"/>
      <c r="CZ93" s="48" t="s">
        <v>114</v>
      </c>
      <c r="DA93" s="46">
        <f>'Notes | Quant Analysis'!K279</f>
        <v>0.71</v>
      </c>
      <c r="DB93" s="46"/>
      <c r="DD93" s="46"/>
      <c r="DE93" s="46"/>
      <c r="DF93" s="46"/>
      <c r="DG93" s="46"/>
      <c r="DH93" s="46"/>
      <c r="DI93" s="46"/>
      <c r="DJ93" s="46"/>
      <c r="DK93" s="48"/>
      <c r="DM93" s="53"/>
    </row>
    <row r="94" spans="2:156" ht="13.5" customHeight="1">
      <c r="B94" s="1" t="s">
        <v>1472</v>
      </c>
      <c r="BF94" s="1">
        <v>22799</v>
      </c>
      <c r="BG94" s="1">
        <v>22927</v>
      </c>
      <c r="BH94" s="1">
        <v>23258</v>
      </c>
      <c r="BI94" s="1">
        <v>23277</v>
      </c>
      <c r="BJ94" s="1">
        <v>23679</v>
      </c>
      <c r="BK94" s="1">
        <v>23383</v>
      </c>
      <c r="BL94" s="1">
        <v>23308</v>
      </c>
      <c r="BM94" s="1">
        <v>23658</v>
      </c>
      <c r="BN94" s="1">
        <v>23108</v>
      </c>
      <c r="BO94" s="1">
        <v>23359</v>
      </c>
      <c r="BP94" s="1">
        <v>23952</v>
      </c>
      <c r="BQ94" s="1">
        <v>23971</v>
      </c>
      <c r="BR94" s="1">
        <v>24035</v>
      </c>
      <c r="BS94" s="1">
        <v>35221</v>
      </c>
      <c r="BT94" s="1">
        <v>35244</v>
      </c>
      <c r="CN94" s="1">
        <f t="shared" si="314"/>
        <v>22799</v>
      </c>
      <c r="CO94" s="1">
        <f t="shared" si="315"/>
        <v>23679</v>
      </c>
      <c r="CP94" s="1">
        <f t="shared" si="316"/>
        <v>23108</v>
      </c>
      <c r="CQ94" s="67">
        <f t="shared" si="317"/>
        <v>24035</v>
      </c>
      <c r="CS94" s="98" t="s">
        <v>2265</v>
      </c>
      <c r="CV94" s="50">
        <f>Main!C5</f>
        <v>178194.84134000001</v>
      </c>
      <c r="CW94" s="46"/>
      <c r="CY94" s="46"/>
      <c r="CZ94" s="48" t="s">
        <v>115</v>
      </c>
      <c r="DA94" s="49">
        <f>+DA91+(DA92*DA93)</f>
        <v>7.9659000000000008E-2</v>
      </c>
      <c r="DB94" s="46"/>
      <c r="DD94" s="53"/>
      <c r="DE94" s="53"/>
      <c r="DF94" s="53"/>
      <c r="DG94" s="53"/>
      <c r="DH94" s="53"/>
      <c r="DI94" s="53"/>
      <c r="DJ94" s="53"/>
      <c r="DK94" s="48"/>
      <c r="DL94" s="46"/>
      <c r="DM94" s="46"/>
    </row>
    <row r="95" spans="2:156" ht="13.5" customHeight="1">
      <c r="B95" s="1" t="s">
        <v>1474</v>
      </c>
      <c r="BF95" s="1">
        <v>6033</v>
      </c>
      <c r="BG95" s="1">
        <v>6426</v>
      </c>
      <c r="BH95" s="1">
        <v>6509</v>
      </c>
      <c r="BI95" s="1">
        <v>6527</v>
      </c>
      <c r="BJ95" s="1">
        <v>7097</v>
      </c>
      <c r="BK95" s="1">
        <v>7487</v>
      </c>
      <c r="BL95" s="1">
        <v>7653</v>
      </c>
      <c r="BM95" s="1">
        <v>8011</v>
      </c>
      <c r="BN95" s="1">
        <v>16459</v>
      </c>
      <c r="BO95" s="1">
        <v>16836</v>
      </c>
      <c r="BP95" s="1">
        <v>17306</v>
      </c>
      <c r="BQ95" s="1">
        <v>17318</v>
      </c>
      <c r="BR95" s="1">
        <v>18422</v>
      </c>
      <c r="BS95" s="1">
        <v>18358</v>
      </c>
      <c r="BT95" s="1">
        <v>18320</v>
      </c>
      <c r="CN95" s="1">
        <f t="shared" si="314"/>
        <v>6033</v>
      </c>
      <c r="CO95" s="1">
        <f t="shared" si="315"/>
        <v>7097</v>
      </c>
      <c r="CP95" s="1">
        <f t="shared" si="316"/>
        <v>16459</v>
      </c>
      <c r="CQ95" s="67">
        <f t="shared" si="317"/>
        <v>18422</v>
      </c>
      <c r="CS95" s="98" t="s">
        <v>2266</v>
      </c>
      <c r="CV95" s="99">
        <f>Main!C7/(Main!C7+CV94)</f>
        <v>5.331751124605582E-2</v>
      </c>
      <c r="CW95" s="53"/>
      <c r="CY95" s="46"/>
      <c r="CZ95" s="48"/>
      <c r="DA95" s="46"/>
      <c r="DB95" s="46"/>
      <c r="DD95" s="46"/>
      <c r="DE95" s="46"/>
      <c r="DF95" s="46"/>
      <c r="DG95" s="46"/>
      <c r="DH95" s="46"/>
      <c r="DI95" s="46"/>
      <c r="DJ95" s="46"/>
      <c r="DK95" s="48"/>
      <c r="DM95" s="46"/>
    </row>
    <row r="96" spans="2:156" s="2" customFormat="1" ht="13.5" customHeight="1">
      <c r="B96" s="2" t="s">
        <v>1475</v>
      </c>
      <c r="BF96" s="2">
        <f t="shared" ref="BF96" si="318">SUM(BF86:BF95)</f>
        <v>74438</v>
      </c>
      <c r="BG96" s="2">
        <f t="shared" ref="BG96:BP96" si="319">SUM(BG86:BG95)</f>
        <v>73794</v>
      </c>
      <c r="BH96" s="2">
        <f t="shared" si="319"/>
        <v>73354</v>
      </c>
      <c r="BI96" s="2">
        <f t="shared" si="319"/>
        <v>72090</v>
      </c>
      <c r="BJ96" s="2">
        <f t="shared" si="319"/>
        <v>73214</v>
      </c>
      <c r="BK96" s="2">
        <f t="shared" si="319"/>
        <v>72467</v>
      </c>
      <c r="BL96" s="2">
        <f t="shared" si="319"/>
        <v>73017</v>
      </c>
      <c r="BM96" s="2">
        <f t="shared" si="319"/>
        <v>74356</v>
      </c>
      <c r="BN96" s="2">
        <f t="shared" si="319"/>
        <v>81414</v>
      </c>
      <c r="BO96" s="2">
        <f t="shared" si="319"/>
        <v>81448</v>
      </c>
      <c r="BP96" s="2">
        <f t="shared" si="319"/>
        <v>83999</v>
      </c>
      <c r="BQ96" s="2">
        <f>SUM(BQ86:BQ95)</f>
        <v>84181</v>
      </c>
      <c r="BR96" s="2">
        <f t="shared" ref="BR96" si="320">SUM(BR86:BR95)</f>
        <v>86713</v>
      </c>
      <c r="BS96" s="2">
        <f>SUM(BS86:BS95)</f>
        <v>110429</v>
      </c>
      <c r="BT96" s="2">
        <f>SUM(BT86:BT95)</f>
        <v>109215</v>
      </c>
      <c r="BU96" s="34"/>
      <c r="BV96" s="34"/>
      <c r="CN96" s="2">
        <f t="shared" si="314"/>
        <v>74438</v>
      </c>
      <c r="CO96" s="2">
        <f t="shared" si="315"/>
        <v>73214</v>
      </c>
      <c r="CP96" s="2">
        <f t="shared" si="316"/>
        <v>81414</v>
      </c>
      <c r="CQ96" s="66">
        <f t="shared" si="317"/>
        <v>86713</v>
      </c>
      <c r="CS96" s="98" t="s">
        <v>2267</v>
      </c>
      <c r="CT96" s="35"/>
      <c r="CU96" s="35"/>
      <c r="CV96" s="99">
        <f>CV94/(CV94+Main!C7)</f>
        <v>0.94668248875394423</v>
      </c>
      <c r="CW96" s="46"/>
      <c r="CX96" s="35"/>
      <c r="CY96" s="46"/>
      <c r="CZ96" s="48" t="s">
        <v>116</v>
      </c>
      <c r="DA96" s="50">
        <f>NPV(DA94,CQ75:EX75)</f>
        <v>218994.40531414509</v>
      </c>
      <c r="DB96" s="46"/>
      <c r="DC96" s="34"/>
      <c r="DD96" s="53"/>
      <c r="DE96" s="53"/>
      <c r="DF96" s="53"/>
      <c r="DG96" s="53"/>
      <c r="DH96" s="53"/>
      <c r="DI96" s="53"/>
      <c r="DJ96" s="53"/>
      <c r="DK96" s="48"/>
      <c r="DM96" s="54"/>
      <c r="DN96" s="34"/>
      <c r="DO96" s="34"/>
      <c r="DP96" s="34"/>
      <c r="DQ96" s="34"/>
      <c r="DR96" s="34"/>
      <c r="DS96" s="34"/>
      <c r="DT96" s="34"/>
      <c r="DU96" s="34"/>
      <c r="DV96" s="34"/>
      <c r="DW96" s="34"/>
      <c r="DX96" s="34"/>
      <c r="DY96" s="34"/>
      <c r="DZ96" s="34"/>
      <c r="EA96" s="34"/>
      <c r="EB96" s="34"/>
      <c r="EC96" s="34"/>
      <c r="ED96" s="34"/>
      <c r="EE96" s="34"/>
      <c r="EF96" s="34"/>
      <c r="EG96" s="34"/>
      <c r="EH96" s="34"/>
      <c r="EI96" s="34"/>
      <c r="EJ96" s="34"/>
      <c r="EK96" s="34"/>
      <c r="EL96" s="34"/>
      <c r="EM96" s="34"/>
      <c r="EN96" s="34"/>
      <c r="EO96" s="34"/>
      <c r="EP96" s="34"/>
      <c r="EQ96" s="34"/>
      <c r="ER96" s="34"/>
      <c r="ES96" s="34"/>
      <c r="ET96" s="34"/>
      <c r="EU96" s="34"/>
      <c r="EV96" s="34"/>
      <c r="EW96" s="34"/>
      <c r="EX96" s="34"/>
      <c r="EY96" s="34"/>
      <c r="EZ96" s="34"/>
    </row>
    <row r="97" spans="2:156" ht="13.5" customHeight="1">
      <c r="CS97" s="100" t="s">
        <v>2268</v>
      </c>
      <c r="CT97" s="34"/>
      <c r="CU97" s="34"/>
      <c r="CV97" s="101">
        <f>CQ104/CQ107</f>
        <v>0.18752724034033844</v>
      </c>
      <c r="CW97" s="46"/>
      <c r="CX97" s="46"/>
      <c r="CY97" s="46"/>
      <c r="CZ97" s="48" t="s">
        <v>77</v>
      </c>
      <c r="DA97" s="51">
        <f>Main!C4</f>
        <v>1730.383</v>
      </c>
      <c r="DB97" s="102"/>
      <c r="DD97" s="46"/>
      <c r="DE97" s="46"/>
      <c r="DF97" s="46"/>
      <c r="DG97" s="46"/>
      <c r="DH97" s="46"/>
      <c r="DI97" s="46"/>
      <c r="DJ97" s="46"/>
      <c r="DK97" s="48"/>
      <c r="DM97" s="45"/>
    </row>
    <row r="98" spans="2:156" ht="13.5" customHeight="1">
      <c r="B98" s="1" t="s">
        <v>1476</v>
      </c>
      <c r="BF98" s="1">
        <v>4607</v>
      </c>
      <c r="BG98" s="1">
        <v>4167</v>
      </c>
      <c r="BH98" s="1">
        <v>4211</v>
      </c>
      <c r="BI98" s="1">
        <v>3961</v>
      </c>
      <c r="BJ98" s="1">
        <v>4295</v>
      </c>
      <c r="BK98" s="1">
        <v>4178</v>
      </c>
      <c r="BL98" s="1">
        <v>4125</v>
      </c>
      <c r="BM98" s="1">
        <v>4034</v>
      </c>
      <c r="BN98" s="1">
        <v>4195</v>
      </c>
      <c r="BO98" s="1">
        <v>4214</v>
      </c>
      <c r="BP98" s="1">
        <v>4306</v>
      </c>
      <c r="BQ98" s="1">
        <v>4123</v>
      </c>
      <c r="BR98" s="1">
        <v>4240</v>
      </c>
      <c r="BS98" s="1">
        <v>4679</v>
      </c>
      <c r="BT98" s="1">
        <v>4794</v>
      </c>
      <c r="CN98" s="1">
        <f t="shared" ref="CN98:CN108" si="321">BF98</f>
        <v>4607</v>
      </c>
      <c r="CO98" s="1">
        <f t="shared" ref="CO98:CO108" si="322">BJ98</f>
        <v>4295</v>
      </c>
      <c r="CP98" s="1">
        <f t="shared" ref="CP98:CP108" si="323">BN98</f>
        <v>4195</v>
      </c>
      <c r="CQ98" s="67">
        <f t="shared" si="317"/>
        <v>4240</v>
      </c>
      <c r="CW98" s="46"/>
      <c r="CX98" s="46"/>
      <c r="CY98" s="46"/>
      <c r="CZ98" s="48" t="s">
        <v>117</v>
      </c>
      <c r="DA98" s="55">
        <f>DA96/DA97</f>
        <v>126.55834304552523</v>
      </c>
      <c r="DB98" s="45"/>
      <c r="DD98" s="46"/>
      <c r="DE98" s="46"/>
      <c r="DF98" s="46"/>
      <c r="DG98" s="46"/>
      <c r="DH98" s="46"/>
      <c r="DI98" s="46"/>
      <c r="DJ98" s="46"/>
      <c r="DK98" s="48"/>
      <c r="DM98" s="56"/>
    </row>
    <row r="99" spans="2:156" ht="13.5" customHeight="1">
      <c r="B99" s="1" t="s">
        <v>1477</v>
      </c>
      <c r="BF99" s="1">
        <v>1556</v>
      </c>
      <c r="BG99" s="1">
        <v>1098</v>
      </c>
      <c r="BH99" s="1">
        <v>1362</v>
      </c>
      <c r="BI99" s="1">
        <v>1479</v>
      </c>
      <c r="BJ99" s="1">
        <v>1597</v>
      </c>
      <c r="BK99" s="1">
        <v>1092</v>
      </c>
      <c r="BL99" s="1">
        <v>1389</v>
      </c>
      <c r="BM99" s="1">
        <v>1618</v>
      </c>
      <c r="BN99" s="1">
        <v>1701</v>
      </c>
      <c r="BO99" s="1">
        <v>1167</v>
      </c>
      <c r="BP99" s="1">
        <v>1550</v>
      </c>
      <c r="BQ99" s="1">
        <v>1735</v>
      </c>
      <c r="BR99" s="1">
        <v>1745</v>
      </c>
      <c r="BS99" s="1">
        <v>1212</v>
      </c>
      <c r="BT99" s="1">
        <v>1619</v>
      </c>
      <c r="CN99" s="1">
        <f t="shared" si="321"/>
        <v>1556</v>
      </c>
      <c r="CO99" s="1">
        <f t="shared" si="322"/>
        <v>1597</v>
      </c>
      <c r="CP99" s="1">
        <f t="shared" si="323"/>
        <v>1701</v>
      </c>
      <c r="CQ99" s="67">
        <f t="shared" si="317"/>
        <v>1745</v>
      </c>
      <c r="CS99" s="34" t="s">
        <v>2269</v>
      </c>
      <c r="CV99" s="46"/>
      <c r="CW99" s="53"/>
      <c r="CX99" s="53"/>
      <c r="CY99" s="53"/>
      <c r="CZ99" s="48" t="s">
        <v>118</v>
      </c>
      <c r="DA99" s="55">
        <f>Main!C3</f>
        <v>102.98</v>
      </c>
      <c r="DB99" s="56"/>
      <c r="DD99" s="53"/>
      <c r="DE99" s="53"/>
      <c r="DF99" s="53"/>
      <c r="DG99" s="53"/>
      <c r="DH99" s="53"/>
      <c r="DI99" s="53"/>
      <c r="DJ99" s="53"/>
      <c r="DK99" s="48"/>
    </row>
    <row r="100" spans="2:156" ht="13.5" customHeight="1">
      <c r="B100" s="1" t="s">
        <v>1478</v>
      </c>
      <c r="BF100" s="1">
        <v>5845</v>
      </c>
      <c r="BG100" s="1">
        <v>5758</v>
      </c>
      <c r="BH100" s="1">
        <v>5334</v>
      </c>
      <c r="BI100" s="1">
        <v>5347</v>
      </c>
      <c r="BJ100" s="1">
        <v>5422</v>
      </c>
      <c r="BK100" s="1">
        <v>5220</v>
      </c>
      <c r="BL100" s="1">
        <v>5071</v>
      </c>
      <c r="BM100" s="1">
        <v>5427</v>
      </c>
      <c r="BN100" s="1">
        <v>5143</v>
      </c>
      <c r="BO100" s="1">
        <v>5600</v>
      </c>
      <c r="BP100" s="1">
        <v>5656</v>
      </c>
      <c r="BQ100" s="1">
        <v>5880</v>
      </c>
      <c r="BR100" s="1">
        <v>5812</v>
      </c>
      <c r="BS100" s="1">
        <v>6379</v>
      </c>
      <c r="BT100" s="1">
        <v>6892</v>
      </c>
      <c r="CN100" s="1">
        <f t="shared" si="321"/>
        <v>5845</v>
      </c>
      <c r="CO100" s="1">
        <f t="shared" si="322"/>
        <v>5422</v>
      </c>
      <c r="CP100" s="1">
        <f t="shared" si="323"/>
        <v>5143</v>
      </c>
      <c r="CQ100" s="67">
        <f t="shared" si="317"/>
        <v>5812</v>
      </c>
      <c r="CS100" s="103" t="s">
        <v>112</v>
      </c>
      <c r="CV100" s="99">
        <v>4.0899999999999999E-2</v>
      </c>
      <c r="CW100" s="46"/>
      <c r="CX100" s="46"/>
      <c r="CY100" s="46"/>
      <c r="CZ100" s="48" t="s">
        <v>119</v>
      </c>
      <c r="DA100" s="49">
        <f>DA98/DA99-1</f>
        <v>0.22896041023038682</v>
      </c>
      <c r="DB100" s="57" t="str">
        <f>IF(DA100&gt;0,"Upside","Downside")</f>
        <v>Upside</v>
      </c>
    </row>
    <row r="101" spans="2:156" ht="13.5" customHeight="1">
      <c r="B101" s="1" t="s">
        <v>1479</v>
      </c>
      <c r="BF101" s="1">
        <v>887</v>
      </c>
      <c r="BG101" s="1">
        <v>888</v>
      </c>
      <c r="BH101" s="1">
        <v>886</v>
      </c>
      <c r="BI101" s="1">
        <v>886</v>
      </c>
      <c r="BJ101" s="1">
        <v>955</v>
      </c>
      <c r="BK101" s="1">
        <v>959</v>
      </c>
      <c r="BL101" s="1">
        <v>959</v>
      </c>
      <c r="BM101" s="1">
        <v>956</v>
      </c>
      <c r="BN101" s="1">
        <v>1024</v>
      </c>
      <c r="BO101" s="1">
        <v>1032</v>
      </c>
      <c r="BP101" s="1">
        <v>1030</v>
      </c>
      <c r="BQ101" s="1">
        <v>1030</v>
      </c>
      <c r="BR101" s="1">
        <v>1097</v>
      </c>
      <c r="BS101" s="1">
        <v>1100</v>
      </c>
      <c r="BT101" s="1">
        <v>1093</v>
      </c>
      <c r="CN101" s="1">
        <f t="shared" si="321"/>
        <v>887</v>
      </c>
      <c r="CO101" s="1">
        <f t="shared" si="322"/>
        <v>955</v>
      </c>
      <c r="CP101" s="1">
        <f t="shared" si="323"/>
        <v>1024</v>
      </c>
      <c r="CQ101" s="67">
        <f t="shared" si="317"/>
        <v>1097</v>
      </c>
      <c r="CS101" s="103" t="s">
        <v>114</v>
      </c>
      <c r="CV101" s="46">
        <f>'Notes | Quant Analysis'!K279</f>
        <v>0.71</v>
      </c>
      <c r="CZ101" s="114" t="str" cm="1">
        <f t="array" ref="CZ101">_xlfn.IFS(DA100&gt;=25%,"Strong Buy",DA100&gt;=10.00001%,"Buy",AND(DA100&lt;=10%,DA100&gt;=-4.9999%),"Hold",AND(DA100&lt;=-5%,DA100&gt;=-14.999999%),"Sell",DA100&lt;=-15%,"Strong Sell")</f>
        <v>Buy</v>
      </c>
      <c r="DA101" s="114"/>
    </row>
    <row r="102" spans="2:156" ht="13.5" customHeight="1">
      <c r="B102" s="1" t="s">
        <v>1480</v>
      </c>
      <c r="BF102" s="1">
        <v>343</v>
      </c>
      <c r="BG102" s="1">
        <v>334</v>
      </c>
      <c r="BH102" s="1">
        <v>273</v>
      </c>
      <c r="BI102" s="1">
        <v>318</v>
      </c>
      <c r="BJ102" s="1">
        <v>492</v>
      </c>
      <c r="BK102" s="1">
        <v>562</v>
      </c>
      <c r="BL102" s="1">
        <v>601</v>
      </c>
      <c r="BM102" s="1">
        <v>713</v>
      </c>
      <c r="BN102" s="1">
        <v>594</v>
      </c>
      <c r="BO102" s="1">
        <v>485</v>
      </c>
      <c r="BP102" s="1">
        <v>390</v>
      </c>
      <c r="BQ102" s="1">
        <v>469</v>
      </c>
      <c r="BR102" s="1">
        <v>569</v>
      </c>
      <c r="BS102" s="1">
        <v>598</v>
      </c>
      <c r="BT102" s="1">
        <v>411</v>
      </c>
      <c r="CN102" s="1">
        <f t="shared" si="321"/>
        <v>343</v>
      </c>
      <c r="CO102" s="1">
        <f t="shared" si="322"/>
        <v>492</v>
      </c>
      <c r="CP102" s="1">
        <f t="shared" si="323"/>
        <v>594</v>
      </c>
      <c r="CQ102" s="67">
        <f t="shared" si="317"/>
        <v>569</v>
      </c>
      <c r="CS102" s="98" t="s">
        <v>2270</v>
      </c>
      <c r="CV102" s="99">
        <v>0.14330000000000001</v>
      </c>
    </row>
    <row r="103" spans="2:156" ht="13.5" customHeight="1">
      <c r="B103" s="1" t="s">
        <v>1481</v>
      </c>
      <c r="BF103" s="1">
        <v>2251</v>
      </c>
      <c r="BG103" s="1">
        <v>2285</v>
      </c>
      <c r="BH103" s="1">
        <v>2284</v>
      </c>
      <c r="BI103" s="1">
        <v>1051</v>
      </c>
      <c r="BJ103" s="1">
        <v>1080</v>
      </c>
      <c r="BK103" s="1">
        <v>2010</v>
      </c>
      <c r="BL103" s="1">
        <v>1615</v>
      </c>
      <c r="BM103" s="1">
        <v>2154</v>
      </c>
      <c r="BN103" s="1">
        <v>1500</v>
      </c>
      <c r="BO103" s="1">
        <v>506</v>
      </c>
      <c r="BP103" s="1">
        <v>507</v>
      </c>
      <c r="BQ103" s="1">
        <v>1345</v>
      </c>
      <c r="BR103" s="1">
        <v>3033</v>
      </c>
      <c r="BS103" s="1">
        <v>4409</v>
      </c>
      <c r="BT103" s="1">
        <v>3005</v>
      </c>
      <c r="CN103" s="1">
        <f t="shared" si="321"/>
        <v>2251</v>
      </c>
      <c r="CO103" s="1">
        <f t="shared" si="322"/>
        <v>1080</v>
      </c>
      <c r="CP103" s="1">
        <f t="shared" si="323"/>
        <v>1500</v>
      </c>
      <c r="CQ103" s="67">
        <f t="shared" si="317"/>
        <v>3033</v>
      </c>
      <c r="CS103" s="100" t="s">
        <v>2271</v>
      </c>
      <c r="CT103" s="46"/>
      <c r="CU103" s="2"/>
      <c r="CV103" s="101">
        <f>(CV100+CV101)*(CV102-CV100)</f>
        <v>7.6892160000000015E-2</v>
      </c>
    </row>
    <row r="104" spans="2:156" ht="13.5" customHeight="1">
      <c r="B104" s="1" t="s">
        <v>1482</v>
      </c>
      <c r="BF104" s="1">
        <v>14522</v>
      </c>
      <c r="BG104" s="1">
        <v>14615</v>
      </c>
      <c r="BH104" s="1">
        <v>14562</v>
      </c>
      <c r="BI104" s="1">
        <v>14477</v>
      </c>
      <c r="BJ104" s="1">
        <v>13599</v>
      </c>
      <c r="BK104" s="1">
        <v>12576</v>
      </c>
      <c r="BL104" s="1">
        <v>13139</v>
      </c>
      <c r="BM104" s="1">
        <v>12825</v>
      </c>
      <c r="BN104" s="1">
        <v>12625</v>
      </c>
      <c r="BO104" s="1">
        <v>12736</v>
      </c>
      <c r="BP104" s="1">
        <v>12930</v>
      </c>
      <c r="BQ104" s="1">
        <v>11596</v>
      </c>
      <c r="BR104" s="1">
        <v>9896</v>
      </c>
      <c r="BS104" s="1">
        <v>29638</v>
      </c>
      <c r="BT104" s="1">
        <v>29603</v>
      </c>
      <c r="CN104" s="1">
        <f t="shared" si="321"/>
        <v>14522</v>
      </c>
      <c r="CO104" s="1">
        <f t="shared" si="322"/>
        <v>13599</v>
      </c>
      <c r="CP104" s="1">
        <f t="shared" si="323"/>
        <v>12625</v>
      </c>
      <c r="CQ104" s="67">
        <f t="shared" si="317"/>
        <v>9896</v>
      </c>
      <c r="CS104" s="69"/>
    </row>
    <row r="105" spans="2:156" ht="13.5" customHeight="1">
      <c r="B105" s="1" t="s">
        <v>1483</v>
      </c>
      <c r="BF105" s="1">
        <v>7522</v>
      </c>
      <c r="BG105" s="1">
        <v>7417</v>
      </c>
      <c r="BH105" s="1">
        <v>7038</v>
      </c>
      <c r="BI105" s="1">
        <v>6877</v>
      </c>
      <c r="BJ105" s="1">
        <v>6947</v>
      </c>
      <c r="BK105" s="1">
        <v>6827</v>
      </c>
      <c r="BL105" s="1">
        <v>6558</v>
      </c>
      <c r="BM105" s="1">
        <v>6601</v>
      </c>
      <c r="BN105" s="1">
        <v>6731</v>
      </c>
      <c r="BO105" s="1">
        <v>6644</v>
      </c>
      <c r="BP105" s="1">
        <v>6801</v>
      </c>
      <c r="BQ105" s="1">
        <v>6739</v>
      </c>
      <c r="BR105" s="1">
        <v>7550</v>
      </c>
      <c r="BS105" s="1">
        <v>9713</v>
      </c>
      <c r="BT105" s="1">
        <v>10036</v>
      </c>
      <c r="CN105" s="1">
        <f t="shared" si="321"/>
        <v>7522</v>
      </c>
      <c r="CO105" s="1">
        <f t="shared" si="322"/>
        <v>6947</v>
      </c>
      <c r="CP105" s="1">
        <f t="shared" si="323"/>
        <v>6731</v>
      </c>
      <c r="CQ105" s="67">
        <f t="shared" si="317"/>
        <v>7550</v>
      </c>
      <c r="CS105" s="34" t="s">
        <v>2272</v>
      </c>
      <c r="CT105" s="104"/>
      <c r="CV105" s="105"/>
    </row>
    <row r="106" spans="2:156" s="2" customFormat="1" ht="15">
      <c r="B106" s="2" t="s">
        <v>1484</v>
      </c>
      <c r="BF106" s="2">
        <f t="shared" ref="BF106" si="324">SUM(BF98:BF105)</f>
        <v>37533</v>
      </c>
      <c r="BG106" s="2">
        <f t="shared" ref="BG106:BP106" si="325">SUM(BG98:BG105)</f>
        <v>36562</v>
      </c>
      <c r="BH106" s="2">
        <f t="shared" si="325"/>
        <v>35950</v>
      </c>
      <c r="BI106" s="2">
        <f t="shared" si="325"/>
        <v>34396</v>
      </c>
      <c r="BJ106" s="2">
        <f t="shared" si="325"/>
        <v>34387</v>
      </c>
      <c r="BK106" s="2">
        <f t="shared" si="325"/>
        <v>33424</v>
      </c>
      <c r="BL106" s="2">
        <f t="shared" si="325"/>
        <v>33457</v>
      </c>
      <c r="BM106" s="2">
        <f t="shared" si="325"/>
        <v>34328</v>
      </c>
      <c r="BN106" s="2">
        <f t="shared" si="325"/>
        <v>33513</v>
      </c>
      <c r="BO106" s="2">
        <f t="shared" si="325"/>
        <v>32384</v>
      </c>
      <c r="BP106" s="2">
        <f t="shared" si="325"/>
        <v>33170</v>
      </c>
      <c r="BQ106" s="2">
        <f>SUM(BQ98:BQ105)</f>
        <v>32917</v>
      </c>
      <c r="BR106" s="2">
        <f t="shared" ref="BR106" si="326">SUM(BR98:BR105)</f>
        <v>33942</v>
      </c>
      <c r="BS106" s="2">
        <f>SUM(BS98:BS105)</f>
        <v>57728</v>
      </c>
      <c r="BT106" s="2">
        <f>SUM(BT98:BT105)</f>
        <v>57453</v>
      </c>
      <c r="BU106" s="34"/>
      <c r="BV106" s="34"/>
      <c r="CN106" s="2">
        <f t="shared" si="321"/>
        <v>37533</v>
      </c>
      <c r="CO106" s="2">
        <f t="shared" si="322"/>
        <v>34387</v>
      </c>
      <c r="CP106" s="2">
        <f t="shared" si="323"/>
        <v>33513</v>
      </c>
      <c r="CQ106" s="66">
        <f t="shared" si="317"/>
        <v>33942</v>
      </c>
      <c r="CR106" s="34"/>
      <c r="CS106" s="106" t="s">
        <v>2272</v>
      </c>
      <c r="CT106" s="35"/>
      <c r="CU106" s="35"/>
      <c r="CV106" s="107">
        <v>5.5E-2</v>
      </c>
      <c r="CW106" s="35"/>
      <c r="CX106" s="108"/>
      <c r="CY106" s="35"/>
      <c r="CZ106" s="48"/>
      <c r="DA106" s="35"/>
      <c r="DB106" s="35"/>
      <c r="DC106" s="34"/>
      <c r="DD106" s="34"/>
      <c r="DE106" s="34"/>
      <c r="DF106" s="34"/>
      <c r="DG106" s="34"/>
      <c r="DH106" s="34"/>
      <c r="DI106" s="34"/>
      <c r="DJ106" s="34"/>
      <c r="DK106" s="34"/>
      <c r="DL106" s="34"/>
      <c r="DM106" s="34"/>
      <c r="DN106" s="34"/>
      <c r="DO106" s="34"/>
      <c r="DP106" s="34"/>
      <c r="DQ106" s="34"/>
      <c r="DR106" s="34"/>
      <c r="DS106" s="34"/>
      <c r="DT106" s="34"/>
      <c r="DU106" s="34"/>
      <c r="DV106" s="34"/>
      <c r="DW106" s="34"/>
      <c r="DX106" s="34"/>
      <c r="DY106" s="34"/>
      <c r="DZ106" s="34"/>
      <c r="EA106" s="34"/>
      <c r="EB106" s="34"/>
      <c r="EC106" s="34"/>
      <c r="ED106" s="34"/>
      <c r="EE106" s="34"/>
      <c r="EF106" s="34"/>
      <c r="EG106" s="34"/>
      <c r="EH106" s="34"/>
      <c r="EI106" s="34"/>
      <c r="EJ106" s="34"/>
      <c r="EK106" s="34"/>
      <c r="EL106" s="34"/>
      <c r="EM106" s="34"/>
      <c r="EN106" s="34"/>
      <c r="EO106" s="34"/>
      <c r="EP106" s="34"/>
      <c r="EQ106" s="34"/>
      <c r="ER106" s="34"/>
      <c r="ES106" s="34"/>
      <c r="ET106" s="34"/>
      <c r="EU106" s="34"/>
      <c r="EV106" s="34"/>
      <c r="EW106" s="34"/>
      <c r="EX106" s="34"/>
      <c r="EY106" s="34"/>
      <c r="EZ106" s="34"/>
    </row>
    <row r="107" spans="2:156" ht="15">
      <c r="B107" s="1" t="s">
        <v>1485</v>
      </c>
      <c r="BF107" s="1">
        <v>36905</v>
      </c>
      <c r="BG107" s="1">
        <v>3723</v>
      </c>
      <c r="BH107" s="1">
        <v>37404</v>
      </c>
      <c r="BI107" s="1">
        <v>37694</v>
      </c>
      <c r="BJ107" s="1">
        <v>38827</v>
      </c>
      <c r="BK107" s="1">
        <v>39043</v>
      </c>
      <c r="BL107" s="1">
        <v>39560</v>
      </c>
      <c r="BM107" s="1">
        <v>40028</v>
      </c>
      <c r="BN107" s="1">
        <v>47901</v>
      </c>
      <c r="BO107" s="1">
        <v>49064</v>
      </c>
      <c r="BP107" s="1">
        <v>50829</v>
      </c>
      <c r="BQ107" s="1">
        <v>51264</v>
      </c>
      <c r="BR107" s="1">
        <v>52771</v>
      </c>
      <c r="BS107" s="1">
        <v>52701</v>
      </c>
      <c r="BT107" s="1">
        <v>51762</v>
      </c>
      <c r="CN107" s="1">
        <f t="shared" si="321"/>
        <v>36905</v>
      </c>
      <c r="CO107" s="1">
        <f t="shared" si="322"/>
        <v>38827</v>
      </c>
      <c r="CP107" s="1">
        <f t="shared" si="323"/>
        <v>47901</v>
      </c>
      <c r="CQ107" s="67">
        <f t="shared" si="317"/>
        <v>52771</v>
      </c>
      <c r="CS107" s="98" t="s">
        <v>2273</v>
      </c>
      <c r="CV107" s="99">
        <v>0.23</v>
      </c>
      <c r="CX107" s="108"/>
      <c r="CY107" s="99"/>
      <c r="CZ107" s="48"/>
      <c r="DA107" s="2"/>
      <c r="DB107" s="2"/>
    </row>
    <row r="108" spans="2:156" s="2" customFormat="1" ht="15">
      <c r="B108" s="2" t="s">
        <v>1486</v>
      </c>
      <c r="BF108" s="2">
        <f t="shared" ref="BF108" si="327">BF106+BF107</f>
        <v>74438</v>
      </c>
      <c r="BG108" s="2">
        <f t="shared" ref="BG108:BP108" si="328">BG106+BG107</f>
        <v>40285</v>
      </c>
      <c r="BH108" s="2">
        <f t="shared" si="328"/>
        <v>73354</v>
      </c>
      <c r="BI108" s="2">
        <f t="shared" si="328"/>
        <v>72090</v>
      </c>
      <c r="BJ108" s="2">
        <f t="shared" si="328"/>
        <v>73214</v>
      </c>
      <c r="BK108" s="2">
        <f t="shared" si="328"/>
        <v>72467</v>
      </c>
      <c r="BL108" s="2">
        <f t="shared" si="328"/>
        <v>73017</v>
      </c>
      <c r="BM108" s="2">
        <f t="shared" si="328"/>
        <v>74356</v>
      </c>
      <c r="BN108" s="2">
        <f t="shared" si="328"/>
        <v>81414</v>
      </c>
      <c r="BO108" s="2">
        <f t="shared" si="328"/>
        <v>81448</v>
      </c>
      <c r="BP108" s="2">
        <f t="shared" si="328"/>
        <v>83999</v>
      </c>
      <c r="BQ108" s="2">
        <f>BQ106+BQ107</f>
        <v>84181</v>
      </c>
      <c r="BR108" s="2">
        <f t="shared" ref="BR108" si="329">BR106+BR107</f>
        <v>86713</v>
      </c>
      <c r="BS108" s="2">
        <f>BS106+BS107</f>
        <v>110429</v>
      </c>
      <c r="BT108" s="2">
        <f>BT106+BT107</f>
        <v>109215</v>
      </c>
      <c r="BU108" s="34"/>
      <c r="BV108" s="34"/>
      <c r="CN108" s="2">
        <f t="shared" si="321"/>
        <v>74438</v>
      </c>
      <c r="CO108" s="2">
        <f t="shared" si="322"/>
        <v>73214</v>
      </c>
      <c r="CP108" s="2">
        <f t="shared" si="323"/>
        <v>81414</v>
      </c>
      <c r="CQ108" s="66">
        <f t="shared" si="317"/>
        <v>86713</v>
      </c>
      <c r="CR108" s="34"/>
      <c r="CS108" s="109" t="s">
        <v>2274</v>
      </c>
      <c r="CT108" s="35"/>
      <c r="CU108" s="35"/>
      <c r="CV108" s="101">
        <f>CV106*(1-CV107)</f>
        <v>4.2349999999999999E-2</v>
      </c>
      <c r="CW108" s="35"/>
      <c r="CX108" s="35"/>
      <c r="CY108" s="35"/>
      <c r="CZ108" s="48"/>
      <c r="DA108" s="35"/>
      <c r="DB108" s="35"/>
      <c r="DC108" s="34"/>
      <c r="DD108" s="34"/>
      <c r="DE108" s="34"/>
      <c r="DF108" s="34"/>
      <c r="DG108" s="34"/>
      <c r="DH108" s="34"/>
      <c r="DI108" s="34"/>
      <c r="DJ108" s="34"/>
      <c r="DK108" s="34"/>
      <c r="DL108" s="34"/>
      <c r="DM108" s="34"/>
      <c r="DN108" s="34"/>
      <c r="DO108" s="34"/>
      <c r="DP108" s="34"/>
      <c r="DQ108" s="34"/>
      <c r="DR108" s="34"/>
      <c r="DS108" s="34"/>
      <c r="DT108" s="34"/>
      <c r="DU108" s="34"/>
      <c r="DV108" s="34"/>
      <c r="DW108" s="34"/>
      <c r="DX108" s="34"/>
      <c r="DY108" s="34"/>
      <c r="DZ108" s="34"/>
      <c r="EA108" s="34"/>
      <c r="EB108" s="34"/>
      <c r="EC108" s="34"/>
      <c r="ED108" s="34"/>
      <c r="EE108" s="34"/>
      <c r="EF108" s="34"/>
      <c r="EG108" s="34"/>
      <c r="EH108" s="34"/>
      <c r="EI108" s="34"/>
      <c r="EJ108" s="34"/>
      <c r="EK108" s="34"/>
      <c r="EL108" s="34"/>
      <c r="EM108" s="34"/>
      <c r="EN108" s="34"/>
      <c r="EO108" s="34"/>
      <c r="EP108" s="34"/>
      <c r="EQ108" s="34"/>
      <c r="ER108" s="34"/>
      <c r="ES108" s="34"/>
      <c r="ET108" s="34"/>
      <c r="EU108" s="34"/>
      <c r="EV108" s="34"/>
      <c r="EW108" s="34"/>
      <c r="EX108" s="34"/>
      <c r="EY108" s="34"/>
      <c r="EZ108" s="34"/>
    </row>
    <row r="109" spans="2:156">
      <c r="CZ109" s="48"/>
    </row>
    <row r="110" spans="2:156" ht="15">
      <c r="B110" s="1" t="s">
        <v>67</v>
      </c>
      <c r="BF110" s="92">
        <f t="shared" ref="BF110:BP110" si="330">SUM(BF86:BF90)/SUM(BF98:BF102)</f>
        <v>1.9054237800271945</v>
      </c>
      <c r="BG110" s="92">
        <f t="shared" si="330"/>
        <v>1.9907717435688035</v>
      </c>
      <c r="BH110" s="92">
        <f t="shared" si="330"/>
        <v>1.9480358030830434</v>
      </c>
      <c r="BI110" s="92">
        <f t="shared" si="330"/>
        <v>1.8900842298390459</v>
      </c>
      <c r="BJ110" s="92">
        <f t="shared" si="330"/>
        <v>1.7765065433743437</v>
      </c>
      <c r="BK110" s="92">
        <f t="shared" si="330"/>
        <v>1.8629589542918992</v>
      </c>
      <c r="BL110" s="92">
        <f t="shared" si="330"/>
        <v>1.9035817208727872</v>
      </c>
      <c r="BM110" s="92">
        <f t="shared" si="330"/>
        <v>1.8671164104173203</v>
      </c>
      <c r="BN110" s="92">
        <f t="shared" si="330"/>
        <v>1.8690052935134709</v>
      </c>
      <c r="BO110" s="92">
        <f t="shared" si="330"/>
        <v>1.8525364058249321</v>
      </c>
      <c r="BP110" s="92">
        <f t="shared" si="330"/>
        <v>1.8920507268790596</v>
      </c>
      <c r="BQ110" s="92">
        <f>SUM(BQ86:BQ90)/SUM(BQ98:BQ102)</f>
        <v>1.8764825866888268</v>
      </c>
      <c r="BR110" s="92">
        <f t="shared" ref="BR110" si="331">SUM(BR86:BR90)/SUM(BR98:BR102)</f>
        <v>1.9309217856347025</v>
      </c>
      <c r="BS110" s="92">
        <f>SUM(BS86:BS90)/SUM(BS98:BS102)</f>
        <v>1.8261741122565864</v>
      </c>
      <c r="BT110" s="92">
        <f>SUM(BT86:BT90)/SUM(BT98:BT102)</f>
        <v>1.6555473023161591</v>
      </c>
      <c r="CN110" s="92">
        <f t="shared" ref="CN110:CP110" si="332">SUM(CN86:CN90)/SUM(CN98:CN102)</f>
        <v>1.9054237800271945</v>
      </c>
      <c r="CO110" s="92">
        <f t="shared" si="332"/>
        <v>1.7765065433743437</v>
      </c>
      <c r="CP110" s="92">
        <f t="shared" si="332"/>
        <v>1.8690052935134709</v>
      </c>
      <c r="CQ110" s="92">
        <f t="shared" ref="CQ110" si="333">SUM(CQ86:CQ90)/SUM(CQ98:CQ102)</f>
        <v>1.9309217856347025</v>
      </c>
      <c r="CS110" s="34" t="s">
        <v>2275</v>
      </c>
      <c r="CV110" s="101">
        <f>(CV96*CV103)+(CV95*CV108*(1-CV107))</f>
        <v>7.4531118777444741E-2</v>
      </c>
      <c r="CZ110" s="48"/>
      <c r="DA110" s="110"/>
    </row>
    <row r="111" spans="2:156">
      <c r="B111" s="1" t="s">
        <v>68</v>
      </c>
      <c r="BF111" s="92">
        <f t="shared" ref="BF111:BP111" si="334">(SUM(BF86:BF90)-BF89)/SUM(BF98:BF102)</f>
        <v>1.4391146698897115</v>
      </c>
      <c r="BG111" s="92">
        <f t="shared" si="334"/>
        <v>1.4458146182115148</v>
      </c>
      <c r="BH111" s="92">
        <f t="shared" si="334"/>
        <v>1.3785844521796784</v>
      </c>
      <c r="BI111" s="92">
        <f t="shared" si="334"/>
        <v>1.3355016262196648</v>
      </c>
      <c r="BJ111" s="92">
        <f t="shared" si="334"/>
        <v>1.2616566099835436</v>
      </c>
      <c r="BK111" s="92">
        <f t="shared" si="334"/>
        <v>1.2945633169594539</v>
      </c>
      <c r="BL111" s="92">
        <f t="shared" si="334"/>
        <v>1.3425277892136682</v>
      </c>
      <c r="BM111" s="92">
        <f t="shared" si="334"/>
        <v>1.3326796360213367</v>
      </c>
      <c r="BN111" s="92">
        <f t="shared" si="334"/>
        <v>1.3796318242869559</v>
      </c>
      <c r="BO111" s="92">
        <f t="shared" si="334"/>
        <v>1.3213314130260843</v>
      </c>
      <c r="BP111" s="92">
        <f t="shared" si="334"/>
        <v>1.3543148778224559</v>
      </c>
      <c r="BQ111" s="92">
        <f>(SUM(BQ86:BQ90)-BQ89)/SUM(BQ98:BQ102)</f>
        <v>1.3697212359295914</v>
      </c>
      <c r="BR111" s="92">
        <f t="shared" ref="BR111" si="335">(SUM(BR86:BR90)-BR89)/SUM(BR98:BR102)</f>
        <v>1.4490083933744335</v>
      </c>
      <c r="BS111" s="92">
        <f>(SUM(BS86:BS90)-BS89)/SUM(BS98:BS102)</f>
        <v>1.3258161512027491</v>
      </c>
      <c r="BT111" s="92">
        <f>(SUM(BT86:BT90)-BT89)/SUM(BT98:BT102)</f>
        <v>1.161590924437842</v>
      </c>
      <c r="CN111" s="92">
        <f t="shared" ref="CN111:CP111" si="336">(SUM(CN86:CN90)-CN89)/SUM(CN98:CN102)</f>
        <v>1.4391146698897115</v>
      </c>
      <c r="CO111" s="92">
        <f t="shared" si="336"/>
        <v>1.2616566099835436</v>
      </c>
      <c r="CP111" s="92">
        <f t="shared" si="336"/>
        <v>1.3796318242869559</v>
      </c>
      <c r="CQ111" s="92">
        <f t="shared" ref="CQ111" si="337">(SUM(CQ86:CQ90)-CQ89)/SUM(CQ98:CQ102)</f>
        <v>1.4490083933744335</v>
      </c>
    </row>
    <row r="112" spans="2:156">
      <c r="B112" s="1" t="s">
        <v>69</v>
      </c>
      <c r="BF112" s="92">
        <f t="shared" ref="BF112:BP112" si="338">SUM(BF86:BF87)/SUM(BF98:BF102)</f>
        <v>0.76824293699954671</v>
      </c>
      <c r="BG112" s="92">
        <f t="shared" si="338"/>
        <v>0.77844017966516943</v>
      </c>
      <c r="BH112" s="92">
        <f t="shared" si="338"/>
        <v>0.67586606994861598</v>
      </c>
      <c r="BI112" s="92">
        <f t="shared" si="338"/>
        <v>0.58769076807605702</v>
      </c>
      <c r="BJ112" s="92">
        <f t="shared" si="338"/>
        <v>0.5704098424888332</v>
      </c>
      <c r="BK112" s="92">
        <f t="shared" si="338"/>
        <v>0.5537424027974357</v>
      </c>
      <c r="BL112" s="92">
        <f t="shared" si="338"/>
        <v>0.59440098806093045</v>
      </c>
      <c r="BM112" s="92">
        <f t="shared" si="338"/>
        <v>0.61091935989959212</v>
      </c>
      <c r="BN112" s="92">
        <f t="shared" si="338"/>
        <v>0.62945405704353319</v>
      </c>
      <c r="BO112" s="92">
        <f t="shared" si="338"/>
        <v>0.54760761721875495</v>
      </c>
      <c r="BP112" s="92">
        <f t="shared" si="338"/>
        <v>0.5630992885864522</v>
      </c>
      <c r="BQ112" s="92">
        <f>SUM(BQ86:BQ87)/SUM(BQ98:BQ102)</f>
        <v>0.58419581476165294</v>
      </c>
      <c r="BR112" s="92">
        <f t="shared" ref="BR112" si="339">SUM(BR86:BR87)/SUM(BR98:BR102)</f>
        <v>0.66396791205526262</v>
      </c>
      <c r="BS112" s="92">
        <f>SUM(BS86:BS87)/SUM(BS98:BS102)</f>
        <v>0.52226517754868274</v>
      </c>
      <c r="BT112" s="92">
        <f>SUM(BT86:BT87)/SUM(BT98:BT102)</f>
        <v>0.37835100276858669</v>
      </c>
      <c r="CN112" s="92">
        <f t="shared" ref="CN112:CP112" si="340">SUM(CN86:CN87)/SUM(CN98:CN102)</f>
        <v>0.76824293699954671</v>
      </c>
      <c r="CO112" s="92">
        <f t="shared" si="340"/>
        <v>0.5704098424888332</v>
      </c>
      <c r="CP112" s="92">
        <f t="shared" si="340"/>
        <v>0.62945405704353319</v>
      </c>
      <c r="CQ112" s="92">
        <f t="shared" ref="CQ112" si="341">SUM(CQ86:CQ87)/SUM(CQ98:CQ102)</f>
        <v>0.66396791205526262</v>
      </c>
    </row>
    <row r="113" spans="2:156">
      <c r="B113" s="1" t="s">
        <v>2247</v>
      </c>
      <c r="BF113" s="92">
        <f t="shared" ref="BF113:BP113" si="342">BF61/SUM(BF92)</f>
        <v>1.1013970748744815</v>
      </c>
      <c r="BG113" s="92">
        <f t="shared" si="342"/>
        <v>1.0500969618616678</v>
      </c>
      <c r="BH113" s="92">
        <f t="shared" si="342"/>
        <v>1.0559847602920944</v>
      </c>
      <c r="BI113" s="92">
        <f t="shared" si="342"/>
        <v>1.0618718592964824</v>
      </c>
      <c r="BJ113" s="92">
        <f t="shared" si="342"/>
        <v>1.0085680519992122</v>
      </c>
      <c r="BK113" s="92">
        <f t="shared" si="342"/>
        <v>0.98585139012565548</v>
      </c>
      <c r="BL113" s="92">
        <f t="shared" si="342"/>
        <v>1.0140721196130167</v>
      </c>
      <c r="BM113" s="92">
        <f t="shared" si="342"/>
        <v>1.0013181433010074</v>
      </c>
      <c r="BN113" s="92">
        <f t="shared" si="342"/>
        <v>1.0296490898855319</v>
      </c>
      <c r="BO113" s="92">
        <f t="shared" si="342"/>
        <v>0.94749359678009515</v>
      </c>
      <c r="BP113" s="92">
        <f t="shared" si="342"/>
        <v>0.97779727950855644</v>
      </c>
      <c r="BQ113" s="92">
        <f>BQ61/SUM(BQ92)</f>
        <v>0.98826495132127956</v>
      </c>
      <c r="BR113" s="92">
        <f t="shared" ref="BR113" si="343">BR61/SUM(BR92)</f>
        <v>0.96978672985781988</v>
      </c>
      <c r="BS113" s="92">
        <f>BS61/SUM(BS92)</f>
        <v>0.90199563706875652</v>
      </c>
      <c r="BT113" s="92">
        <f>BT61/SUM(BT92)</f>
        <v>0.98290665001561039</v>
      </c>
      <c r="CN113" s="92">
        <f t="shared" ref="CN113:CP113" si="344">CN61/SUM(CN92)</f>
        <v>4.7645710543549447</v>
      </c>
      <c r="CO113" s="92">
        <f t="shared" si="344"/>
        <v>3.950068938349419</v>
      </c>
      <c r="CP113" s="92">
        <f t="shared" si="344"/>
        <v>3.9360105085381871</v>
      </c>
      <c r="CQ113" s="92">
        <f t="shared" ref="CQ113" si="345">CQ61/SUM(CQ92)</f>
        <v>3.7515233581584293</v>
      </c>
    </row>
    <row r="114" spans="2:156">
      <c r="B114" s="1" t="s">
        <v>2248</v>
      </c>
      <c r="BF114" s="92">
        <f t="shared" ref="BF114:BP114" si="346">BF61/BF96</f>
        <v>0.1355624815282517</v>
      </c>
      <c r="BG114" s="92">
        <f t="shared" si="346"/>
        <v>0.13208390926091551</v>
      </c>
      <c r="BH114" s="92">
        <f t="shared" si="346"/>
        <v>0.13602530196035661</v>
      </c>
      <c r="BI114" s="92">
        <f t="shared" si="346"/>
        <v>0.14069912609238452</v>
      </c>
      <c r="BJ114" s="92">
        <f t="shared" si="346"/>
        <v>0.13987761903461088</v>
      </c>
      <c r="BK114" s="92">
        <f t="shared" si="346"/>
        <v>0.13749706763078368</v>
      </c>
      <c r="BL114" s="92">
        <f t="shared" si="346"/>
        <v>0.14211758905460373</v>
      </c>
      <c r="BM114" s="92">
        <f t="shared" si="346"/>
        <v>0.14302813491850019</v>
      </c>
      <c r="BN114" s="92">
        <f t="shared" si="346"/>
        <v>0.13479254182327363</v>
      </c>
      <c r="BO114" s="92">
        <f t="shared" si="346"/>
        <v>0.12717316570081524</v>
      </c>
      <c r="BP114" s="92">
        <f t="shared" si="346"/>
        <v>0.13264443624328862</v>
      </c>
      <c r="BQ114" s="92">
        <f>BQ61/BQ96</f>
        <v>0.13505422838882883</v>
      </c>
      <c r="BR114" s="92">
        <f t="shared" ref="BR114" si="347">BR61/BR96</f>
        <v>0.13214858210418276</v>
      </c>
      <c r="BS114" s="92">
        <f>BS61/BS96</f>
        <v>0.10109663222523069</v>
      </c>
      <c r="BT114" s="92">
        <f>BT61/BT96</f>
        <v>0.11530467426635535</v>
      </c>
      <c r="CN114" s="92">
        <f t="shared" ref="CN114:CP114" si="348">CN61/CN96</f>
        <v>0.58643434804803996</v>
      </c>
      <c r="CO114" s="92">
        <f t="shared" si="348"/>
        <v>0.54783238178490457</v>
      </c>
      <c r="CP114" s="92">
        <f t="shared" si="348"/>
        <v>0.51526764438548656</v>
      </c>
      <c r="CQ114" s="92">
        <f t="shared" ref="CQ114" si="349">CQ61/CQ96</f>
        <v>0.51120362575392386</v>
      </c>
    </row>
    <row r="115" spans="2:156">
      <c r="B115" s="1" t="s">
        <v>70</v>
      </c>
      <c r="BF115" s="92">
        <f t="shared" ref="BF115:BR115" si="350">BF62/AVERAGE(BC89:BF89)</f>
        <v>0.74404665478697551</v>
      </c>
      <c r="BG115" s="92">
        <f t="shared" si="350"/>
        <v>0.67429550054491671</v>
      </c>
      <c r="BH115" s="92">
        <f t="shared" si="350"/>
        <v>0.6821017396155602</v>
      </c>
      <c r="BI115" s="92">
        <f t="shared" si="350"/>
        <v>0.69860052338149958</v>
      </c>
      <c r="BJ115" s="92">
        <f t="shared" si="350"/>
        <v>0.68091466148557767</v>
      </c>
      <c r="BK115" s="92">
        <f t="shared" si="350"/>
        <v>0.66319934616241916</v>
      </c>
      <c r="BL115" s="92">
        <f t="shared" si="350"/>
        <v>0.68545474852015931</v>
      </c>
      <c r="BM115" s="92">
        <f t="shared" si="350"/>
        <v>0.69538188277087032</v>
      </c>
      <c r="BN115" s="92">
        <f t="shared" si="350"/>
        <v>0.74181927349144405</v>
      </c>
      <c r="BO115" s="92">
        <f t="shared" si="350"/>
        <v>0.6754346182917611</v>
      </c>
      <c r="BP115" s="92">
        <f t="shared" si="350"/>
        <v>0.7299248120300752</v>
      </c>
      <c r="BQ115" s="92">
        <f>BQ62/AVERAGE(BN89:BQ89)</f>
        <v>0.76618229854689568</v>
      </c>
      <c r="BR115" s="92">
        <f t="shared" si="350"/>
        <v>0.73492851543543991</v>
      </c>
      <c r="BS115" s="92">
        <f>BS62/AVERAGE(BP89:BS89)</f>
        <v>0.72073399904196911</v>
      </c>
      <c r="BT115" s="92">
        <f>BT62/AVERAGE(BQ89:BT89)</f>
        <v>0.77454545454545454</v>
      </c>
      <c r="CN115" s="92">
        <f t="shared" ref="CN115:CQ115" si="351">CN62/AVERAGE(CK89:CN89)</f>
        <v>3.1009233759922243</v>
      </c>
      <c r="CO115" s="92">
        <f t="shared" si="351"/>
        <v>2.821156713489759</v>
      </c>
      <c r="CP115" s="92">
        <f t="shared" si="351"/>
        <v>2.9634049743887627</v>
      </c>
      <c r="CQ115" s="92">
        <f t="shared" si="351"/>
        <v>3.0393706981317599</v>
      </c>
    </row>
    <row r="116" spans="2:156">
      <c r="B116" s="1" t="s">
        <v>71</v>
      </c>
      <c r="BF116" s="93">
        <f t="shared" ref="BF116:BP116" si="352">BF75/BF96</f>
        <v>1.3877320723286493E-2</v>
      </c>
      <c r="BG116" s="93">
        <f t="shared" si="352"/>
        <v>1.7860530666449846E-2</v>
      </c>
      <c r="BH116" s="93">
        <f t="shared" si="352"/>
        <v>1.874471739782425E-2</v>
      </c>
      <c r="BI116" s="93">
        <f t="shared" si="352"/>
        <v>1.9919545013177973E-2</v>
      </c>
      <c r="BJ116" s="93">
        <f t="shared" si="352"/>
        <v>2.1771792280164997E-2</v>
      </c>
      <c r="BK116" s="93">
        <f t="shared" si="352"/>
        <v>1.690424607062525E-2</v>
      </c>
      <c r="BL116" s="93">
        <f t="shared" si="352"/>
        <v>1.7831463905665805E-2</v>
      </c>
      <c r="BM116" s="93">
        <f t="shared" si="352"/>
        <v>2.2136747538867071E-2</v>
      </c>
      <c r="BN116" s="93">
        <f t="shared" si="352"/>
        <v>0.11335888176480703</v>
      </c>
      <c r="BO116" s="93">
        <f t="shared" si="352"/>
        <v>1.6268048325311854E-2</v>
      </c>
      <c r="BP116" s="93">
        <f t="shared" si="352"/>
        <v>2.1178823557423301E-2</v>
      </c>
      <c r="BQ116" s="93">
        <f>BQ75/BQ96</f>
        <v>1.9529347477459283E-2</v>
      </c>
      <c r="BR116" s="93">
        <f t="shared" ref="BR116" si="353">BR75/BR96</f>
        <v>2.048135804319998E-2</v>
      </c>
      <c r="BS116" s="93">
        <f>BS75/BS96</f>
        <v>9.752872886651151E-3</v>
      </c>
      <c r="BT116" s="93">
        <f>BT75/BT96</f>
        <v>8.4970013276564581E-3</v>
      </c>
      <c r="CN116" s="93">
        <f t="shared" ref="CN116:CP116" si="354">CN75/CN96</f>
        <v>9.3137913431311961E-2</v>
      </c>
      <c r="CO116" s="93">
        <f t="shared" si="354"/>
        <v>7.8168109924331416E-2</v>
      </c>
      <c r="CP116" s="93">
        <f t="shared" si="354"/>
        <v>0.1646154224089223</v>
      </c>
      <c r="CQ116" s="93">
        <f t="shared" ref="CQ116" si="355">CQ75/CQ96</f>
        <v>7.5236700379412547E-2</v>
      </c>
    </row>
    <row r="117" spans="2:156">
      <c r="B117" s="1" t="s">
        <v>72</v>
      </c>
      <c r="BF117" s="93">
        <f t="shared" ref="BF117:BP117" si="356">BF75/BF107</f>
        <v>2.7990787156211894E-2</v>
      </c>
      <c r="BG117" s="93">
        <f t="shared" si="356"/>
        <v>0.35401557883427343</v>
      </c>
      <c r="BH117" s="93">
        <f t="shared" si="356"/>
        <v>3.6760774248743452E-2</v>
      </c>
      <c r="BI117" s="93">
        <f t="shared" si="356"/>
        <v>3.8096248739852498E-2</v>
      </c>
      <c r="BJ117" s="93">
        <f t="shared" si="356"/>
        <v>4.1053905787209931E-2</v>
      </c>
      <c r="BK117" s="93">
        <f t="shared" si="356"/>
        <v>3.1375662730835231E-2</v>
      </c>
      <c r="BL117" s="93">
        <f t="shared" si="356"/>
        <v>3.2912032355915069E-2</v>
      </c>
      <c r="BM117" s="93">
        <f t="shared" si="356"/>
        <v>4.1121215149395422E-2</v>
      </c>
      <c r="BN117" s="93">
        <f t="shared" si="356"/>
        <v>0.19266821151959249</v>
      </c>
      <c r="BO117" s="93">
        <f t="shared" si="356"/>
        <v>2.7005543779553238E-2</v>
      </c>
      <c r="BP117" s="93">
        <f t="shared" si="356"/>
        <v>3.4999704892876113E-2</v>
      </c>
      <c r="BQ117" s="93">
        <f>BQ75/BQ107</f>
        <v>3.2069288389513111E-2</v>
      </c>
      <c r="BR117" s="93">
        <f t="shared" ref="BR117" si="357">BR75/BR107</f>
        <v>3.365484830683519E-2</v>
      </c>
      <c r="BS117" s="93">
        <f>BS75/BS107</f>
        <v>2.0436044856833837E-2</v>
      </c>
      <c r="BT117" s="93">
        <f>BT75/BT107</f>
        <v>1.7928209883698466E-2</v>
      </c>
      <c r="CN117" s="93">
        <f t="shared" ref="CN117:CP117" si="358">CN75/CN107</f>
        <v>0.18786072347920335</v>
      </c>
      <c r="CO117" s="93">
        <f t="shared" si="358"/>
        <v>0.14739742962371546</v>
      </c>
      <c r="CP117" s="93">
        <f t="shared" si="358"/>
        <v>0.27978539070165548</v>
      </c>
      <c r="CQ117" s="93">
        <f t="shared" ref="CQ117" si="359">CQ75/CQ107</f>
        <v>0.12362850808209054</v>
      </c>
    </row>
    <row r="119" spans="2:156">
      <c r="B119" s="1" t="s">
        <v>73</v>
      </c>
      <c r="C119" s="67">
        <f t="shared" ref="C119:BJ119" si="360">C75</f>
        <v>1438.6999999999998</v>
      </c>
      <c r="D119" s="67">
        <f t="shared" si="360"/>
        <v>1288.0999999999995</v>
      </c>
      <c r="E119" s="67">
        <f t="shared" si="360"/>
        <v>1480.3000000000002</v>
      </c>
      <c r="F119" s="67">
        <f t="shared" si="360"/>
        <v>1538.7000000000005</v>
      </c>
      <c r="G119" s="67">
        <f t="shared" si="360"/>
        <v>1002.9999999999991</v>
      </c>
      <c r="H119" s="67">
        <f t="shared" si="360"/>
        <v>1291.7000000000005</v>
      </c>
      <c r="I119" s="67">
        <f t="shared" si="360"/>
        <v>890.69999999999993</v>
      </c>
      <c r="J119" s="67">
        <f t="shared" si="360"/>
        <v>1440.7999999999993</v>
      </c>
      <c r="K119" s="67">
        <f t="shared" si="360"/>
        <v>863.69999999999936</v>
      </c>
      <c r="L119" s="67">
        <f t="shared" si="360"/>
        <v>1942.6999999999991</v>
      </c>
      <c r="M119" s="67">
        <f t="shared" si="360"/>
        <v>303.30000000000086</v>
      </c>
      <c r="N119" s="67">
        <f t="shared" si="360"/>
        <v>1619</v>
      </c>
      <c r="O119" s="67">
        <f t="shared" si="360"/>
        <v>351.19999999999982</v>
      </c>
      <c r="P119" s="67">
        <f t="shared" si="360"/>
        <v>410.70000000000033</v>
      </c>
      <c r="Q119" s="67">
        <f t="shared" si="360"/>
        <v>338.9</v>
      </c>
      <c r="R119" s="67">
        <f t="shared" si="360"/>
        <v>-864.10000000000014</v>
      </c>
      <c r="S119" s="67">
        <f t="shared" si="360"/>
        <v>544</v>
      </c>
      <c r="T119" s="67">
        <f t="shared" si="360"/>
        <v>476</v>
      </c>
      <c r="U119" s="67">
        <f t="shared" si="360"/>
        <v>644</v>
      </c>
      <c r="V119" s="67">
        <f t="shared" si="360"/>
        <v>324</v>
      </c>
      <c r="W119" s="67">
        <f t="shared" si="360"/>
        <v>224</v>
      </c>
      <c r="X119" s="67">
        <f t="shared" si="360"/>
        <v>425</v>
      </c>
      <c r="Y119" s="67">
        <f t="shared" si="360"/>
        <v>437</v>
      </c>
      <c r="Z119" s="67">
        <f t="shared" si="360"/>
        <v>632</v>
      </c>
      <c r="AA119" s="67">
        <f t="shared" si="360"/>
        <v>529</v>
      </c>
      <c r="AB119" s="67">
        <f t="shared" si="360"/>
        <v>786</v>
      </c>
      <c r="AC119" s="67">
        <f t="shared" si="360"/>
        <v>596</v>
      </c>
      <c r="AD119" s="67">
        <f t="shared" si="360"/>
        <v>695</v>
      </c>
      <c r="AE119" s="67">
        <f t="shared" si="360"/>
        <v>56</v>
      </c>
      <c r="AF119" s="67">
        <f t="shared" si="360"/>
        <v>599</v>
      </c>
      <c r="AG119" s="67">
        <f t="shared" si="360"/>
        <v>-357</v>
      </c>
      <c r="AH119" s="67">
        <f t="shared" si="360"/>
        <v>765</v>
      </c>
      <c r="AI119" s="67">
        <f t="shared" si="360"/>
        <v>386</v>
      </c>
      <c r="AJ119" s="67">
        <f t="shared" si="360"/>
        <v>270</v>
      </c>
      <c r="AK119" s="67">
        <f t="shared" si="360"/>
        <v>561</v>
      </c>
      <c r="AL119" s="67">
        <f t="shared" si="360"/>
        <v>-864</v>
      </c>
      <c r="AM119" s="67">
        <f t="shared" si="360"/>
        <v>409</v>
      </c>
      <c r="AN119" s="67">
        <f t="shared" si="360"/>
        <v>718</v>
      </c>
      <c r="AO119" s="67">
        <f t="shared" si="360"/>
        <v>552</v>
      </c>
      <c r="AP119" s="67">
        <f t="shared" si="360"/>
        <v>655</v>
      </c>
      <c r="AQ119" s="67">
        <f t="shared" si="360"/>
        <v>672</v>
      </c>
      <c r="AR119" s="67">
        <f t="shared" si="360"/>
        <v>1006</v>
      </c>
      <c r="AS119" s="67">
        <f t="shared" si="360"/>
        <v>960</v>
      </c>
      <c r="AT119" s="67">
        <f t="shared" si="360"/>
        <v>1049</v>
      </c>
      <c r="AU119" s="67">
        <f t="shared" si="360"/>
        <v>564</v>
      </c>
      <c r="AV119" s="67">
        <f t="shared" si="360"/>
        <v>537</v>
      </c>
      <c r="AW119" s="67">
        <f t="shared" si="360"/>
        <v>1232</v>
      </c>
      <c r="AX119" s="67">
        <f t="shared" si="360"/>
        <v>2138</v>
      </c>
      <c r="AY119" s="67">
        <f t="shared" si="360"/>
        <v>1793</v>
      </c>
      <c r="AZ119" s="67">
        <f t="shared" si="360"/>
        <v>1189</v>
      </c>
      <c r="BA119" s="67">
        <f t="shared" si="360"/>
        <v>2100</v>
      </c>
      <c r="BB119" s="67">
        <f t="shared" si="360"/>
        <v>1989</v>
      </c>
      <c r="BC119" s="67">
        <f t="shared" si="360"/>
        <v>2447</v>
      </c>
      <c r="BD119" s="67">
        <f t="shared" si="360"/>
        <v>2018</v>
      </c>
      <c r="BE119" s="67">
        <f t="shared" si="360"/>
        <v>1435</v>
      </c>
      <c r="BF119" s="67">
        <f t="shared" si="360"/>
        <v>1033</v>
      </c>
      <c r="BG119" s="67">
        <f t="shared" si="360"/>
        <v>1318</v>
      </c>
      <c r="BH119" s="67">
        <f t="shared" si="360"/>
        <v>1375</v>
      </c>
      <c r="BI119" s="67">
        <f t="shared" si="360"/>
        <v>1436</v>
      </c>
      <c r="BJ119" s="67">
        <f t="shared" si="360"/>
        <v>1594</v>
      </c>
      <c r="BK119" s="67">
        <f t="shared" ref="BK119:BP119" si="361">BK75</f>
        <v>1225</v>
      </c>
      <c r="BL119" s="67">
        <f t="shared" si="361"/>
        <v>1302</v>
      </c>
      <c r="BM119" s="67">
        <f t="shared" si="361"/>
        <v>1646</v>
      </c>
      <c r="BN119" s="67">
        <f t="shared" si="361"/>
        <v>9229</v>
      </c>
      <c r="BO119" s="67">
        <f t="shared" si="361"/>
        <v>1325</v>
      </c>
      <c r="BP119" s="67">
        <f t="shared" si="361"/>
        <v>1779</v>
      </c>
      <c r="BQ119" s="67">
        <f>BQ75</f>
        <v>1644</v>
      </c>
      <c r="BR119" s="67">
        <f t="shared" ref="BR119" si="362">BR75</f>
        <v>1776</v>
      </c>
      <c r="BS119" s="67">
        <f>BS75</f>
        <v>1077</v>
      </c>
      <c r="BT119" s="67">
        <f>BT75</f>
        <v>928</v>
      </c>
      <c r="CA119" s="67">
        <f t="shared" ref="CA119:CA124" si="363">SUM(C119:F119)</f>
        <v>5745.8</v>
      </c>
      <c r="CB119" s="67">
        <f t="shared" ref="CB119:CB124" si="364">SUM(G119:J119)</f>
        <v>4626.1999999999989</v>
      </c>
      <c r="CC119" s="67">
        <f t="shared" ref="CC119:CC124" si="365">SUM(K119:N119)</f>
        <v>4728.7</v>
      </c>
      <c r="CD119" s="67">
        <f t="shared" ref="CD119:CD124" si="366">SUM(O119:R119)</f>
        <v>236.70000000000005</v>
      </c>
      <c r="CE119" s="67">
        <f t="shared" ref="CE119:CE124" si="367">SUM(S119:V119)</f>
        <v>1988</v>
      </c>
      <c r="CF119" s="67">
        <f t="shared" ref="CF119:CF124" si="368">SUM(W119:Z119)</f>
        <v>1718</v>
      </c>
      <c r="CG119" s="67">
        <f t="shared" ref="CG119:CG124" si="369">SUM(AA119:AD119)</f>
        <v>2606</v>
      </c>
      <c r="CH119" s="67">
        <f t="shared" ref="CH119:CH124" si="370">SUM(AE119:AH119)</f>
        <v>1063</v>
      </c>
      <c r="CI119" s="67">
        <f t="shared" ref="CI119:CI124" si="371">SUM(AI119:AL119)</f>
        <v>353</v>
      </c>
      <c r="CJ119" s="67">
        <f t="shared" ref="CJ119:CJ124" si="372">SUM(AM119:AP119)</f>
        <v>2334</v>
      </c>
      <c r="CK119" s="67">
        <f t="shared" ref="CK119:CK124" si="373">SUM(AQ119:AT119)</f>
        <v>3687</v>
      </c>
      <c r="CL119" s="67">
        <f t="shared" ref="CL119:CL124" si="374">SUM(AU119:AX119)</f>
        <v>4471</v>
      </c>
      <c r="CM119" s="67">
        <f t="shared" ref="CM119:CM124" si="375">SUM(AY119:BB119)</f>
        <v>7071</v>
      </c>
      <c r="CN119" s="67">
        <f t="shared" ref="CN119:CN124" si="376">SUM(BC119:BF119)</f>
        <v>6933</v>
      </c>
      <c r="CO119" s="67">
        <f t="shared" ref="CO119:CO124" si="377">SUM(BG119:BJ119)</f>
        <v>5723</v>
      </c>
      <c r="CP119" s="67">
        <f t="shared" ref="CP119:CP124" si="378">SUM(BK119:BN119)</f>
        <v>13402</v>
      </c>
      <c r="CQ119" s="1">
        <f t="shared" ref="CQ119:CQ124" si="379">SUM(BO119:BR119)</f>
        <v>6524</v>
      </c>
    </row>
    <row r="120" spans="2:156" s="2" customFormat="1" ht="15">
      <c r="B120" s="2" t="s">
        <v>74</v>
      </c>
      <c r="C120" s="66">
        <v>698.7</v>
      </c>
      <c r="D120" s="66">
        <v>1713.8</v>
      </c>
      <c r="E120" s="66">
        <v>3030</v>
      </c>
      <c r="F120" s="66">
        <v>2772</v>
      </c>
      <c r="G120" s="66">
        <v>1522.8</v>
      </c>
      <c r="H120" s="66">
        <v>2348.3000000000002</v>
      </c>
      <c r="I120" s="66">
        <v>2548.4</v>
      </c>
      <c r="J120" s="66">
        <v>-2622.9</v>
      </c>
      <c r="K120" s="66">
        <v>1147.3</v>
      </c>
      <c r="L120" s="66">
        <v>287.89999999999998</v>
      </c>
      <c r="M120" s="66">
        <v>6133.5</v>
      </c>
      <c r="N120" s="66">
        <v>1401.3</v>
      </c>
      <c r="O120" s="66">
        <v>2224.9</v>
      </c>
      <c r="P120" s="66">
        <v>2066.8000000000002</v>
      </c>
      <c r="Q120" s="66">
        <v>3519.5</v>
      </c>
      <c r="R120" s="66">
        <v>1502.7</v>
      </c>
      <c r="S120" s="66">
        <v>460</v>
      </c>
      <c r="T120" s="66">
        <v>717</v>
      </c>
      <c r="U120" s="66">
        <v>522</v>
      </c>
      <c r="V120" s="66">
        <v>1625</v>
      </c>
      <c r="W120" s="66">
        <v>336</v>
      </c>
      <c r="X120" s="66">
        <v>900</v>
      </c>
      <c r="Y120" s="66">
        <v>1201</v>
      </c>
      <c r="Z120" s="66">
        <v>1238</v>
      </c>
      <c r="AA120" s="66">
        <v>2</v>
      </c>
      <c r="AB120" s="66">
        <v>941</v>
      </c>
      <c r="AC120" s="66">
        <v>1195</v>
      </c>
      <c r="AD120" s="66">
        <v>828</v>
      </c>
      <c r="AE120" s="66">
        <v>-93</v>
      </c>
      <c r="AF120" s="66">
        <v>909</v>
      </c>
      <c r="AG120" s="66">
        <v>1217</v>
      </c>
      <c r="AH120" s="66">
        <v>1170</v>
      </c>
      <c r="AI120" s="66">
        <v>574</v>
      </c>
      <c r="AJ120" s="66">
        <v>1351</v>
      </c>
      <c r="AK120" s="66">
        <v>2005</v>
      </c>
      <c r="AL120" s="66">
        <v>1640</v>
      </c>
      <c r="AM120" s="66">
        <v>1108</v>
      </c>
      <c r="AN120" s="66">
        <v>1244</v>
      </c>
      <c r="AO120" s="66">
        <v>2183</v>
      </c>
      <c r="AP120" s="66">
        <v>1765</v>
      </c>
      <c r="AQ120" s="66">
        <v>712</v>
      </c>
      <c r="AR120" s="66">
        <v>1060</v>
      </c>
      <c r="AS120" s="66">
        <v>1948</v>
      </c>
      <c r="AT120" s="66">
        <v>2416</v>
      </c>
      <c r="AU120" s="66">
        <v>715</v>
      </c>
      <c r="AV120" s="66">
        <v>1322</v>
      </c>
      <c r="AW120" s="66">
        <v>2066</v>
      </c>
      <c r="AX120" s="66">
        <v>3798</v>
      </c>
      <c r="AY120" s="66">
        <v>2637</v>
      </c>
      <c r="AZ120" s="66">
        <v>2128</v>
      </c>
      <c r="BA120" s="66">
        <v>2701</v>
      </c>
      <c r="BB120" s="66">
        <v>3067</v>
      </c>
      <c r="BC120" s="66">
        <v>2065</v>
      </c>
      <c r="BD120" s="66">
        <v>2410</v>
      </c>
      <c r="BE120" s="66">
        <v>2780</v>
      </c>
      <c r="BF120" s="66">
        <v>2326</v>
      </c>
      <c r="BG120" s="66">
        <v>1143</v>
      </c>
      <c r="BH120" s="66">
        <v>1203</v>
      </c>
      <c r="BI120" s="66">
        <v>1877</v>
      </c>
      <c r="BJ120" s="66">
        <v>3038</v>
      </c>
      <c r="BK120" s="66">
        <v>1025</v>
      </c>
      <c r="BL120" s="66">
        <v>1960</v>
      </c>
      <c r="BM120" s="66">
        <v>2705</v>
      </c>
      <c r="BN120" s="66">
        <v>2868</v>
      </c>
      <c r="BO120" s="66">
        <v>1417</v>
      </c>
      <c r="BP120" s="66">
        <v>2047</v>
      </c>
      <c r="BQ120" s="66">
        <v>2787</v>
      </c>
      <c r="BR120" s="66">
        <f>9566-SUM(BO120:BQ120)</f>
        <v>3315</v>
      </c>
      <c r="BS120" s="66">
        <v>1315</v>
      </c>
      <c r="BT120" s="66">
        <v>2488</v>
      </c>
      <c r="BU120" s="34"/>
      <c r="BV120" s="34"/>
      <c r="CA120" s="66">
        <f t="shared" si="363"/>
        <v>8214.5</v>
      </c>
      <c r="CB120" s="66">
        <f t="shared" si="364"/>
        <v>3796.6</v>
      </c>
      <c r="CC120" s="66">
        <f t="shared" si="365"/>
        <v>8970</v>
      </c>
      <c r="CD120" s="66">
        <f t="shared" si="366"/>
        <v>9313.9000000000015</v>
      </c>
      <c r="CE120" s="66">
        <f t="shared" si="367"/>
        <v>3324</v>
      </c>
      <c r="CF120" s="66">
        <f t="shared" si="368"/>
        <v>3675</v>
      </c>
      <c r="CG120" s="66">
        <f t="shared" si="369"/>
        <v>2966</v>
      </c>
      <c r="CH120" s="66">
        <f t="shared" si="370"/>
        <v>3203</v>
      </c>
      <c r="CI120" s="66">
        <f t="shared" si="371"/>
        <v>5570</v>
      </c>
      <c r="CJ120" s="66">
        <f t="shared" si="372"/>
        <v>6300</v>
      </c>
      <c r="CK120" s="66">
        <f t="shared" si="373"/>
        <v>6136</v>
      </c>
      <c r="CL120" s="66">
        <f t="shared" si="374"/>
        <v>7901</v>
      </c>
      <c r="CM120" s="66">
        <f t="shared" si="375"/>
        <v>10533</v>
      </c>
      <c r="CN120" s="66">
        <f t="shared" si="376"/>
        <v>9581</v>
      </c>
      <c r="CO120" s="66">
        <f t="shared" si="377"/>
        <v>7261</v>
      </c>
      <c r="CP120" s="66">
        <f t="shared" si="378"/>
        <v>8558</v>
      </c>
      <c r="CQ120" s="2">
        <f t="shared" si="379"/>
        <v>9566</v>
      </c>
      <c r="CR120" s="34"/>
      <c r="CS120" s="34"/>
      <c r="CT120" s="34"/>
      <c r="CU120" s="34"/>
      <c r="CV120" s="34"/>
      <c r="CW120" s="34"/>
      <c r="CX120" s="34"/>
      <c r="CY120" s="34"/>
      <c r="CZ120" s="34"/>
      <c r="DA120" s="34"/>
      <c r="DB120" s="34"/>
      <c r="DC120" s="34"/>
      <c r="DD120" s="34"/>
      <c r="DE120" s="34"/>
      <c r="DF120" s="34"/>
      <c r="DG120" s="34"/>
      <c r="DH120" s="34"/>
      <c r="DI120" s="34"/>
      <c r="DJ120" s="34"/>
      <c r="DK120" s="34"/>
      <c r="DL120" s="34"/>
      <c r="DM120" s="34"/>
      <c r="DN120" s="34"/>
      <c r="DO120" s="34"/>
      <c r="DP120" s="34"/>
      <c r="DQ120" s="34"/>
      <c r="DR120" s="34"/>
      <c r="DS120" s="34"/>
      <c r="DT120" s="34"/>
      <c r="DU120" s="34"/>
      <c r="DV120" s="34"/>
      <c r="DW120" s="34"/>
      <c r="DX120" s="34"/>
      <c r="DY120" s="34"/>
      <c r="DZ120" s="34"/>
      <c r="EA120" s="34"/>
      <c r="EB120" s="34"/>
      <c r="EC120" s="34"/>
      <c r="ED120" s="34"/>
      <c r="EE120" s="34"/>
      <c r="EF120" s="34"/>
      <c r="EG120" s="34"/>
      <c r="EH120" s="34"/>
      <c r="EI120" s="34"/>
      <c r="EJ120" s="34"/>
      <c r="EK120" s="34"/>
      <c r="EL120" s="34"/>
      <c r="EM120" s="34"/>
      <c r="EN120" s="34"/>
      <c r="EO120" s="34"/>
      <c r="EP120" s="34"/>
      <c r="EQ120" s="34"/>
      <c r="ER120" s="34"/>
      <c r="ES120" s="34"/>
      <c r="ET120" s="34"/>
      <c r="EU120" s="34"/>
      <c r="EV120" s="34"/>
      <c r="EW120" s="34"/>
      <c r="EX120" s="34"/>
      <c r="EY120" s="34"/>
      <c r="EZ120" s="34"/>
    </row>
    <row r="121" spans="2:156">
      <c r="B121" s="1" t="s">
        <v>75</v>
      </c>
      <c r="C121" s="67">
        <v>0</v>
      </c>
      <c r="D121" s="67">
        <v>0</v>
      </c>
      <c r="E121" s="67">
        <v>0</v>
      </c>
      <c r="F121" s="67">
        <v>0</v>
      </c>
      <c r="G121" s="67">
        <v>0</v>
      </c>
      <c r="H121" s="67">
        <v>0</v>
      </c>
      <c r="I121" s="67">
        <v>0</v>
      </c>
      <c r="J121" s="67">
        <v>0</v>
      </c>
      <c r="K121" s="67">
        <v>0</v>
      </c>
      <c r="L121" s="67">
        <v>0</v>
      </c>
      <c r="M121" s="67">
        <v>0</v>
      </c>
      <c r="N121" s="67">
        <v>0</v>
      </c>
      <c r="O121" s="67">
        <v>0</v>
      </c>
      <c r="P121" s="67">
        <v>0</v>
      </c>
      <c r="Q121" s="67">
        <v>0</v>
      </c>
      <c r="R121" s="67">
        <v>0</v>
      </c>
      <c r="S121" s="67">
        <v>0</v>
      </c>
      <c r="T121" s="67">
        <v>0</v>
      </c>
      <c r="U121" s="67">
        <v>0</v>
      </c>
      <c r="V121" s="67">
        <v>0</v>
      </c>
      <c r="W121" s="67">
        <v>-255</v>
      </c>
      <c r="X121" s="67">
        <v>-258</v>
      </c>
      <c r="Y121" s="67">
        <v>-277</v>
      </c>
      <c r="Z121" s="67">
        <v>-287</v>
      </c>
      <c r="AA121" s="67">
        <v>-235</v>
      </c>
      <c r="AB121" s="67">
        <v>-216</v>
      </c>
      <c r="AC121" s="67">
        <v>-411</v>
      </c>
      <c r="AD121" s="67">
        <v>-248</v>
      </c>
      <c r="AE121" s="67">
        <v>-243</v>
      </c>
      <c r="AF121" s="67">
        <v>-247</v>
      </c>
      <c r="AG121" s="67">
        <v>-312</v>
      </c>
      <c r="AH121" s="67">
        <v>-319</v>
      </c>
      <c r="AI121" s="67">
        <v>-272</v>
      </c>
      <c r="AJ121" s="67">
        <v>-255</v>
      </c>
      <c r="AK121" s="67">
        <v>-263</v>
      </c>
      <c r="AL121" s="67">
        <v>-345</v>
      </c>
      <c r="AM121" s="67">
        <v>-275</v>
      </c>
      <c r="AN121" s="67">
        <v>-298</v>
      </c>
      <c r="AO121" s="67">
        <v>-354</v>
      </c>
      <c r="AP121" s="67">
        <v>-467</v>
      </c>
      <c r="AQ121" s="67">
        <v>-335</v>
      </c>
      <c r="AR121" s="67">
        <v>-468</v>
      </c>
      <c r="AS121" s="67">
        <v>-401</v>
      </c>
      <c r="AT121" s="67">
        <v>-434</v>
      </c>
      <c r="AU121" s="67">
        <v>-360</v>
      </c>
      <c r="AV121" s="67">
        <v>-642</v>
      </c>
      <c r="AW121" s="67">
        <v>-496</v>
      </c>
      <c r="AX121" s="67">
        <v>-679</v>
      </c>
      <c r="AY121" s="67">
        <v>-397</v>
      </c>
      <c r="AZ121" s="67">
        <v>-413</v>
      </c>
      <c r="BA121" s="67">
        <v>-461</v>
      </c>
      <c r="BB121" s="67">
        <v>-614</v>
      </c>
      <c r="BC121" s="67">
        <v>-321</v>
      </c>
      <c r="BD121" s="67">
        <v>-379</v>
      </c>
      <c r="BE121" s="67">
        <v>-467</v>
      </c>
      <c r="BF121" s="67">
        <v>-610</v>
      </c>
      <c r="BG121" s="67">
        <v>-380</v>
      </c>
      <c r="BH121" s="67">
        <v>-507</v>
      </c>
      <c r="BI121" s="67">
        <v>-560</v>
      </c>
      <c r="BJ121" s="67">
        <v>-755</v>
      </c>
      <c r="BK121" s="67">
        <v>-398</v>
      </c>
      <c r="BL121" s="67">
        <v>-533</v>
      </c>
      <c r="BM121" s="67">
        <v>-556</v>
      </c>
      <c r="BN121" s="67">
        <v>-720</v>
      </c>
      <c r="BO121" s="67">
        <v>-484</v>
      </c>
      <c r="BP121" s="67">
        <v>-502</v>
      </c>
      <c r="BQ121" s="67">
        <v>-496</v>
      </c>
      <c r="BR121" s="67">
        <f>-2171-SUM(BO121:BQ121)</f>
        <v>-689</v>
      </c>
      <c r="BS121" s="67">
        <v>-399</v>
      </c>
      <c r="BT121" s="67">
        <v>-497</v>
      </c>
      <c r="CA121" s="67">
        <f t="shared" si="363"/>
        <v>0</v>
      </c>
      <c r="CB121" s="67">
        <f t="shared" si="364"/>
        <v>0</v>
      </c>
      <c r="CC121" s="67">
        <f t="shared" si="365"/>
        <v>0</v>
      </c>
      <c r="CD121" s="67">
        <f t="shared" si="366"/>
        <v>0</v>
      </c>
      <c r="CE121" s="67">
        <f t="shared" si="367"/>
        <v>0</v>
      </c>
      <c r="CF121" s="67">
        <f t="shared" si="368"/>
        <v>-1077</v>
      </c>
      <c r="CG121" s="67">
        <f t="shared" si="369"/>
        <v>-1110</v>
      </c>
      <c r="CH121" s="67">
        <f t="shared" si="370"/>
        <v>-1121</v>
      </c>
      <c r="CI121" s="67">
        <f t="shared" si="371"/>
        <v>-1135</v>
      </c>
      <c r="CJ121" s="67">
        <f t="shared" si="372"/>
        <v>-1394</v>
      </c>
      <c r="CK121" s="67">
        <f t="shared" si="373"/>
        <v>-1638</v>
      </c>
      <c r="CL121" s="67">
        <f t="shared" si="374"/>
        <v>-2177</v>
      </c>
      <c r="CM121" s="67">
        <f t="shared" si="375"/>
        <v>-1885</v>
      </c>
      <c r="CN121" s="67">
        <f t="shared" si="376"/>
        <v>-1777</v>
      </c>
      <c r="CO121" s="67">
        <f t="shared" si="377"/>
        <v>-2202</v>
      </c>
      <c r="CP121" s="67">
        <f t="shared" si="378"/>
        <v>-2207</v>
      </c>
      <c r="CQ121" s="1">
        <f t="shared" si="379"/>
        <v>-2171</v>
      </c>
    </row>
    <row r="122" spans="2:156" s="2" customFormat="1" ht="15">
      <c r="B122" s="2" t="s">
        <v>76</v>
      </c>
      <c r="C122" s="66">
        <f t="shared" ref="C122:BJ122" si="380">C120+C121</f>
        <v>698.7</v>
      </c>
      <c r="D122" s="66">
        <f t="shared" si="380"/>
        <v>1713.8</v>
      </c>
      <c r="E122" s="66">
        <f t="shared" si="380"/>
        <v>3030</v>
      </c>
      <c r="F122" s="66">
        <f t="shared" si="380"/>
        <v>2772</v>
      </c>
      <c r="G122" s="66">
        <f t="shared" si="380"/>
        <v>1522.8</v>
      </c>
      <c r="H122" s="66">
        <f t="shared" si="380"/>
        <v>2348.3000000000002</v>
      </c>
      <c r="I122" s="66">
        <f t="shared" si="380"/>
        <v>2548.4</v>
      </c>
      <c r="J122" s="66">
        <f t="shared" si="380"/>
        <v>-2622.9</v>
      </c>
      <c r="K122" s="66">
        <f t="shared" si="380"/>
        <v>1147.3</v>
      </c>
      <c r="L122" s="66">
        <f t="shared" si="380"/>
        <v>287.89999999999998</v>
      </c>
      <c r="M122" s="66">
        <f t="shared" si="380"/>
        <v>6133.5</v>
      </c>
      <c r="N122" s="66">
        <f t="shared" si="380"/>
        <v>1401.3</v>
      </c>
      <c r="O122" s="66">
        <f t="shared" si="380"/>
        <v>2224.9</v>
      </c>
      <c r="P122" s="66">
        <f t="shared" si="380"/>
        <v>2066.8000000000002</v>
      </c>
      <c r="Q122" s="66">
        <f t="shared" si="380"/>
        <v>3519.5</v>
      </c>
      <c r="R122" s="66">
        <f t="shared" si="380"/>
        <v>1502.7</v>
      </c>
      <c r="S122" s="66">
        <f t="shared" si="380"/>
        <v>460</v>
      </c>
      <c r="T122" s="66">
        <f t="shared" si="380"/>
        <v>717</v>
      </c>
      <c r="U122" s="66">
        <f t="shared" si="380"/>
        <v>522</v>
      </c>
      <c r="V122" s="66">
        <f t="shared" si="380"/>
        <v>1625</v>
      </c>
      <c r="W122" s="66">
        <f t="shared" si="380"/>
        <v>81</v>
      </c>
      <c r="X122" s="66">
        <f t="shared" si="380"/>
        <v>642</v>
      </c>
      <c r="Y122" s="66">
        <f t="shared" si="380"/>
        <v>924</v>
      </c>
      <c r="Z122" s="66">
        <f t="shared" si="380"/>
        <v>951</v>
      </c>
      <c r="AA122" s="66">
        <f t="shared" si="380"/>
        <v>-233</v>
      </c>
      <c r="AB122" s="66">
        <f t="shared" si="380"/>
        <v>725</v>
      </c>
      <c r="AC122" s="66">
        <f t="shared" si="380"/>
        <v>784</v>
      </c>
      <c r="AD122" s="66">
        <f t="shared" si="380"/>
        <v>580</v>
      </c>
      <c r="AE122" s="66">
        <f t="shared" si="380"/>
        <v>-336</v>
      </c>
      <c r="AF122" s="66">
        <f t="shared" si="380"/>
        <v>662</v>
      </c>
      <c r="AG122" s="66">
        <f t="shared" si="380"/>
        <v>905</v>
      </c>
      <c r="AH122" s="66">
        <f t="shared" si="380"/>
        <v>851</v>
      </c>
      <c r="AI122" s="66">
        <f t="shared" si="380"/>
        <v>302</v>
      </c>
      <c r="AJ122" s="66">
        <f t="shared" si="380"/>
        <v>1096</v>
      </c>
      <c r="AK122" s="66">
        <f t="shared" si="380"/>
        <v>1742</v>
      </c>
      <c r="AL122" s="66">
        <f t="shared" si="380"/>
        <v>1295</v>
      </c>
      <c r="AM122" s="66">
        <f t="shared" si="380"/>
        <v>833</v>
      </c>
      <c r="AN122" s="66">
        <f t="shared" si="380"/>
        <v>946</v>
      </c>
      <c r="AO122" s="66">
        <f t="shared" si="380"/>
        <v>1829</v>
      </c>
      <c r="AP122" s="66">
        <f t="shared" si="380"/>
        <v>1298</v>
      </c>
      <c r="AQ122" s="66">
        <f t="shared" si="380"/>
        <v>377</v>
      </c>
      <c r="AR122" s="66">
        <f t="shared" si="380"/>
        <v>592</v>
      </c>
      <c r="AS122" s="66">
        <f t="shared" si="380"/>
        <v>1547</v>
      </c>
      <c r="AT122" s="66">
        <f t="shared" si="380"/>
        <v>1982</v>
      </c>
      <c r="AU122" s="66">
        <f t="shared" si="380"/>
        <v>355</v>
      </c>
      <c r="AV122" s="66">
        <f t="shared" si="380"/>
        <v>680</v>
      </c>
      <c r="AW122" s="66">
        <f t="shared" si="380"/>
        <v>1570</v>
      </c>
      <c r="AX122" s="66">
        <f t="shared" si="380"/>
        <v>3119</v>
      </c>
      <c r="AY122" s="66">
        <f t="shared" si="380"/>
        <v>2240</v>
      </c>
      <c r="AZ122" s="66">
        <f t="shared" si="380"/>
        <v>1715</v>
      </c>
      <c r="BA122" s="66">
        <f t="shared" si="380"/>
        <v>2240</v>
      </c>
      <c r="BB122" s="66">
        <f t="shared" si="380"/>
        <v>2453</v>
      </c>
      <c r="BC122" s="66">
        <f t="shared" si="380"/>
        <v>1744</v>
      </c>
      <c r="BD122" s="66">
        <f t="shared" si="380"/>
        <v>2031</v>
      </c>
      <c r="BE122" s="66">
        <f t="shared" si="380"/>
        <v>2313</v>
      </c>
      <c r="BF122" s="66">
        <f t="shared" si="380"/>
        <v>1716</v>
      </c>
      <c r="BG122" s="66">
        <f t="shared" si="380"/>
        <v>763</v>
      </c>
      <c r="BH122" s="66">
        <f t="shared" si="380"/>
        <v>696</v>
      </c>
      <c r="BI122" s="66">
        <f t="shared" si="380"/>
        <v>1317</v>
      </c>
      <c r="BJ122" s="66">
        <f t="shared" si="380"/>
        <v>2283</v>
      </c>
      <c r="BK122" s="66">
        <f t="shared" ref="BK122:BP122" si="381">BK120+BK121</f>
        <v>627</v>
      </c>
      <c r="BL122" s="66">
        <f t="shared" si="381"/>
        <v>1427</v>
      </c>
      <c r="BM122" s="66">
        <f t="shared" si="381"/>
        <v>2149</v>
      </c>
      <c r="BN122" s="66">
        <f t="shared" si="381"/>
        <v>2148</v>
      </c>
      <c r="BO122" s="66">
        <f t="shared" si="381"/>
        <v>933</v>
      </c>
      <c r="BP122" s="66">
        <f t="shared" si="381"/>
        <v>1545</v>
      </c>
      <c r="BQ122" s="66">
        <f>BQ120+BQ121</f>
        <v>2291</v>
      </c>
      <c r="BR122" s="66">
        <f t="shared" ref="BR122" si="382">BR120+BR121</f>
        <v>2626</v>
      </c>
      <c r="BS122" s="66">
        <f>BS120+BS121</f>
        <v>916</v>
      </c>
      <c r="BT122" s="66">
        <f>BT120+BT121</f>
        <v>1991</v>
      </c>
      <c r="BU122" s="34"/>
      <c r="BV122" s="34"/>
      <c r="CA122" s="66">
        <f t="shared" si="363"/>
        <v>8214.5</v>
      </c>
      <c r="CB122" s="66">
        <f t="shared" si="364"/>
        <v>3796.6</v>
      </c>
      <c r="CC122" s="66">
        <f t="shared" si="365"/>
        <v>8970</v>
      </c>
      <c r="CD122" s="66">
        <f t="shared" si="366"/>
        <v>9313.9000000000015</v>
      </c>
      <c r="CE122" s="66">
        <f t="shared" si="367"/>
        <v>3324</v>
      </c>
      <c r="CF122" s="66">
        <f t="shared" si="368"/>
        <v>2598</v>
      </c>
      <c r="CG122" s="66">
        <f t="shared" si="369"/>
        <v>1856</v>
      </c>
      <c r="CH122" s="66">
        <f t="shared" si="370"/>
        <v>2082</v>
      </c>
      <c r="CI122" s="66">
        <f t="shared" si="371"/>
        <v>4435</v>
      </c>
      <c r="CJ122" s="66">
        <f t="shared" si="372"/>
        <v>4906</v>
      </c>
      <c r="CK122" s="66">
        <f t="shared" si="373"/>
        <v>4498</v>
      </c>
      <c r="CL122" s="66">
        <f t="shared" si="374"/>
        <v>5724</v>
      </c>
      <c r="CM122" s="66">
        <f t="shared" si="375"/>
        <v>8648</v>
      </c>
      <c r="CN122" s="66">
        <f t="shared" si="376"/>
        <v>7804</v>
      </c>
      <c r="CO122" s="66">
        <f t="shared" si="377"/>
        <v>5059</v>
      </c>
      <c r="CP122" s="66">
        <f t="shared" si="378"/>
        <v>6351</v>
      </c>
      <c r="CQ122" s="2">
        <f t="shared" si="379"/>
        <v>7395</v>
      </c>
      <c r="CR122" s="34"/>
      <c r="CS122" s="34"/>
      <c r="CT122" s="34"/>
      <c r="CU122" s="34"/>
      <c r="CV122" s="34"/>
      <c r="CW122" s="34"/>
      <c r="CX122" s="34"/>
      <c r="CY122" s="34"/>
      <c r="CZ122" s="34"/>
      <c r="DA122" s="34"/>
      <c r="DB122" s="34"/>
      <c r="DC122" s="34"/>
      <c r="DD122" s="34"/>
      <c r="DE122" s="34"/>
      <c r="DF122" s="34"/>
      <c r="DG122" s="34"/>
      <c r="DH122" s="34"/>
      <c r="DI122" s="34"/>
      <c r="DJ122" s="34"/>
      <c r="DK122" s="34"/>
      <c r="DL122" s="34"/>
      <c r="DM122" s="34"/>
      <c r="DN122" s="34"/>
      <c r="DO122" s="34"/>
      <c r="DP122" s="34"/>
      <c r="DQ122" s="34"/>
      <c r="DR122" s="34"/>
      <c r="DS122" s="34"/>
      <c r="DT122" s="34"/>
      <c r="DU122" s="34"/>
      <c r="DV122" s="34"/>
      <c r="DW122" s="34"/>
      <c r="DX122" s="34"/>
      <c r="DY122" s="34"/>
      <c r="DZ122" s="34"/>
      <c r="EA122" s="34"/>
      <c r="EB122" s="34"/>
      <c r="EC122" s="34"/>
      <c r="ED122" s="34"/>
      <c r="EE122" s="34"/>
      <c r="EF122" s="34"/>
      <c r="EG122" s="34"/>
      <c r="EH122" s="34"/>
      <c r="EI122" s="34"/>
      <c r="EJ122" s="34"/>
      <c r="EK122" s="34"/>
      <c r="EL122" s="34"/>
      <c r="EM122" s="34"/>
      <c r="EN122" s="34"/>
      <c r="EO122" s="34"/>
      <c r="EP122" s="34"/>
      <c r="EQ122" s="34"/>
      <c r="ER122" s="34"/>
      <c r="ES122" s="34"/>
      <c r="ET122" s="34"/>
      <c r="EU122" s="34"/>
      <c r="EV122" s="34"/>
      <c r="EW122" s="34"/>
      <c r="EX122" s="34"/>
      <c r="EY122" s="34"/>
      <c r="EZ122" s="34"/>
    </row>
    <row r="123" spans="2:156">
      <c r="B123" s="1" t="s">
        <v>77</v>
      </c>
      <c r="C123" s="67">
        <f t="shared" ref="C123:BJ123" si="383">C76</f>
        <v>1546</v>
      </c>
      <c r="D123" s="67">
        <f t="shared" si="383"/>
        <v>1546</v>
      </c>
      <c r="E123" s="67">
        <f t="shared" si="383"/>
        <v>1546</v>
      </c>
      <c r="F123" s="67">
        <f t="shared" si="383"/>
        <v>1547</v>
      </c>
      <c r="G123" s="67">
        <f t="shared" si="383"/>
        <v>1548</v>
      </c>
      <c r="H123" s="67">
        <f t="shared" si="383"/>
        <v>1544</v>
      </c>
      <c r="I123" s="67">
        <f t="shared" si="383"/>
        <v>1545</v>
      </c>
      <c r="J123" s="67">
        <f t="shared" si="383"/>
        <v>1546</v>
      </c>
      <c r="K123" s="67">
        <f t="shared" si="383"/>
        <v>1552</v>
      </c>
      <c r="L123" s="67">
        <f t="shared" si="383"/>
        <v>1557</v>
      </c>
      <c r="M123" s="67">
        <f t="shared" si="383"/>
        <v>1559</v>
      </c>
      <c r="N123" s="67">
        <f t="shared" si="383"/>
        <v>1557</v>
      </c>
      <c r="O123" s="67">
        <f t="shared" si="383"/>
        <v>1574</v>
      </c>
      <c r="P123" s="67">
        <f t="shared" si="383"/>
        <v>1572</v>
      </c>
      <c r="Q123" s="67">
        <f t="shared" si="383"/>
        <v>1577</v>
      </c>
      <c r="R123" s="67">
        <f t="shared" si="383"/>
        <v>1575</v>
      </c>
      <c r="S123" s="67">
        <f t="shared" si="383"/>
        <v>1569</v>
      </c>
      <c r="T123" s="67">
        <f t="shared" si="383"/>
        <v>1561</v>
      </c>
      <c r="U123" s="67">
        <f t="shared" si="383"/>
        <v>1552</v>
      </c>
      <c r="V123" s="67">
        <f t="shared" si="383"/>
        <v>1558</v>
      </c>
      <c r="W123" s="67">
        <f t="shared" si="383"/>
        <v>1533</v>
      </c>
      <c r="X123" s="67">
        <f t="shared" si="383"/>
        <v>1507</v>
      </c>
      <c r="Y123" s="67">
        <f t="shared" si="383"/>
        <v>1509</v>
      </c>
      <c r="Z123" s="67">
        <f t="shared" si="383"/>
        <v>1516</v>
      </c>
      <c r="AA123" s="67">
        <f t="shared" si="383"/>
        <v>1505</v>
      </c>
      <c r="AB123" s="67">
        <f t="shared" si="383"/>
        <v>1494</v>
      </c>
      <c r="AC123" s="67">
        <f t="shared" si="383"/>
        <v>1495</v>
      </c>
      <c r="AD123" s="67">
        <f t="shared" si="383"/>
        <v>1496</v>
      </c>
      <c r="AE123" s="67">
        <f t="shared" si="383"/>
        <v>1477</v>
      </c>
      <c r="AF123" s="67">
        <f t="shared" si="383"/>
        <v>1475</v>
      </c>
      <c r="AG123" s="67">
        <f t="shared" si="383"/>
        <v>1476</v>
      </c>
      <c r="AH123" s="67">
        <f t="shared" si="383"/>
        <v>1477</v>
      </c>
      <c r="AI123" s="67">
        <f t="shared" si="383"/>
        <v>1727</v>
      </c>
      <c r="AJ123" s="67">
        <f t="shared" si="383"/>
        <v>1741</v>
      </c>
      <c r="AK123" s="67">
        <f t="shared" si="383"/>
        <v>1744</v>
      </c>
      <c r="AL123" s="67">
        <f t="shared" si="383"/>
        <v>1740</v>
      </c>
      <c r="AM123" s="67">
        <f t="shared" si="383"/>
        <v>1753</v>
      </c>
      <c r="AN123" s="67">
        <f t="shared" si="383"/>
        <v>1758</v>
      </c>
      <c r="AO123" s="67">
        <f t="shared" si="383"/>
        <v>1760</v>
      </c>
      <c r="AP123" s="67">
        <f t="shared" si="383"/>
        <v>1758</v>
      </c>
      <c r="AQ123" s="67">
        <f t="shared" si="383"/>
        <v>1763</v>
      </c>
      <c r="AR123" s="67">
        <f t="shared" si="383"/>
        <v>1769</v>
      </c>
      <c r="AS123" s="67">
        <f t="shared" si="383"/>
        <v>1772</v>
      </c>
      <c r="AT123" s="67">
        <f t="shared" si="383"/>
        <v>1768</v>
      </c>
      <c r="AU123" s="67">
        <f t="shared" si="383"/>
        <v>1769</v>
      </c>
      <c r="AV123" s="67">
        <f t="shared" si="383"/>
        <v>1773</v>
      </c>
      <c r="AW123" s="67">
        <f t="shared" si="383"/>
        <v>1774</v>
      </c>
      <c r="AX123" s="67">
        <f t="shared" si="383"/>
        <v>1773</v>
      </c>
      <c r="AY123" s="67">
        <f t="shared" si="383"/>
        <v>1777</v>
      </c>
      <c r="AZ123" s="67">
        <f t="shared" si="383"/>
        <v>1779</v>
      </c>
      <c r="BA123" s="67">
        <f t="shared" si="383"/>
        <v>1775</v>
      </c>
      <c r="BB123" s="67">
        <f t="shared" si="383"/>
        <v>1775</v>
      </c>
      <c r="BC123" s="67">
        <f t="shared" si="383"/>
        <v>1762</v>
      </c>
      <c r="BD123" s="67">
        <f t="shared" si="383"/>
        <v>1754</v>
      </c>
      <c r="BE123" s="67">
        <f t="shared" si="383"/>
        <v>1753</v>
      </c>
      <c r="BF123" s="67">
        <f t="shared" si="383"/>
        <v>1753</v>
      </c>
      <c r="BG123" s="67">
        <f t="shared" si="383"/>
        <v>1742</v>
      </c>
      <c r="BH123" s="67">
        <f t="shared" si="383"/>
        <v>1740</v>
      </c>
      <c r="BI123" s="67">
        <f t="shared" si="383"/>
        <v>1739</v>
      </c>
      <c r="BJ123" s="67">
        <f t="shared" si="383"/>
        <v>1740</v>
      </c>
      <c r="BK123" s="67">
        <f t="shared" ref="BK123:BP123" si="384">BK76</f>
        <v>1740</v>
      </c>
      <c r="BL123" s="67">
        <f t="shared" si="384"/>
        <v>1743</v>
      </c>
      <c r="BM123" s="67">
        <f t="shared" si="384"/>
        <v>1739</v>
      </c>
      <c r="BN123" s="67">
        <f t="shared" si="384"/>
        <v>1740</v>
      </c>
      <c r="BO123" s="67">
        <f t="shared" si="384"/>
        <v>1739</v>
      </c>
      <c r="BP123" s="67">
        <f t="shared" si="384"/>
        <v>1743</v>
      </c>
      <c r="BQ123" s="67">
        <f>BQ76</f>
        <v>1742</v>
      </c>
      <c r="BR123" s="67">
        <f t="shared" ref="BR123" si="385">BR76</f>
        <v>1749</v>
      </c>
      <c r="BS123" s="67">
        <f>BS76</f>
        <v>1747.07</v>
      </c>
      <c r="BT123" s="67">
        <f>BT76</f>
        <v>1743</v>
      </c>
      <c r="CA123" s="67">
        <f>CA76</f>
        <v>1546.25</v>
      </c>
      <c r="CB123" s="67">
        <f t="shared" ref="CB123:CP123" si="386">CB76</f>
        <v>1545.75</v>
      </c>
      <c r="CC123" s="67">
        <f t="shared" si="386"/>
        <v>1556.25</v>
      </c>
      <c r="CD123" s="67">
        <f t="shared" si="386"/>
        <v>1574.5</v>
      </c>
      <c r="CE123" s="67">
        <f t="shared" si="386"/>
        <v>1560</v>
      </c>
      <c r="CF123" s="67">
        <f t="shared" si="386"/>
        <v>1516.25</v>
      </c>
      <c r="CG123" s="67">
        <f t="shared" si="386"/>
        <v>1497.5</v>
      </c>
      <c r="CH123" s="67">
        <f t="shared" si="386"/>
        <v>1476.25</v>
      </c>
      <c r="CI123" s="67">
        <f t="shared" si="386"/>
        <v>1738</v>
      </c>
      <c r="CJ123" s="67">
        <f t="shared" si="386"/>
        <v>1757.25</v>
      </c>
      <c r="CK123" s="67">
        <f t="shared" si="386"/>
        <v>1768</v>
      </c>
      <c r="CL123" s="67">
        <f t="shared" si="386"/>
        <v>1772.25</v>
      </c>
      <c r="CM123" s="67">
        <f t="shared" si="386"/>
        <v>1776.5</v>
      </c>
      <c r="CN123" s="67">
        <f t="shared" si="386"/>
        <v>1755.5</v>
      </c>
      <c r="CO123" s="67">
        <f t="shared" si="386"/>
        <v>1740.25</v>
      </c>
      <c r="CP123" s="67">
        <f t="shared" si="386"/>
        <v>1740.5</v>
      </c>
      <c r="CQ123" s="67">
        <f>AVERAGE(BO123:BR123)</f>
        <v>1743.25</v>
      </c>
    </row>
    <row r="124" spans="2:156">
      <c r="B124" s="1" t="s">
        <v>78</v>
      </c>
      <c r="C124" s="40">
        <f t="shared" ref="C124:BJ124" si="387">C122/C123</f>
        <v>0.45194049159120314</v>
      </c>
      <c r="D124" s="40">
        <f t="shared" si="387"/>
        <v>1.1085381630012936</v>
      </c>
      <c r="E124" s="40">
        <f t="shared" si="387"/>
        <v>1.9598965071151357</v>
      </c>
      <c r="F124" s="40">
        <f t="shared" si="387"/>
        <v>1.7918552036199096</v>
      </c>
      <c r="G124" s="40">
        <f t="shared" si="387"/>
        <v>0.98372093023255813</v>
      </c>
      <c r="H124" s="40">
        <f t="shared" si="387"/>
        <v>1.5209196891191712</v>
      </c>
      <c r="I124" s="40">
        <f t="shared" si="387"/>
        <v>1.6494498381877023</v>
      </c>
      <c r="J124" s="40">
        <f t="shared" si="387"/>
        <v>-1.6965717981888746</v>
      </c>
      <c r="K124" s="40">
        <f t="shared" si="387"/>
        <v>0.73923969072164941</v>
      </c>
      <c r="L124" s="40">
        <f t="shared" si="387"/>
        <v>0.18490687219010918</v>
      </c>
      <c r="M124" s="40">
        <f t="shared" si="387"/>
        <v>3.9342527261064784</v>
      </c>
      <c r="N124" s="40">
        <f t="shared" si="387"/>
        <v>0.9</v>
      </c>
      <c r="O124" s="40">
        <f t="shared" si="387"/>
        <v>1.4135324015247777</v>
      </c>
      <c r="P124" s="40">
        <f t="shared" si="387"/>
        <v>1.3147582697201019</v>
      </c>
      <c r="Q124" s="40">
        <f t="shared" si="387"/>
        <v>2.2317691819911225</v>
      </c>
      <c r="R124" s="40">
        <f t="shared" si="387"/>
        <v>0.95409523809523811</v>
      </c>
      <c r="S124" s="40">
        <f t="shared" si="387"/>
        <v>0.29318036966220523</v>
      </c>
      <c r="T124" s="40">
        <f t="shared" si="387"/>
        <v>0.45932094811018576</v>
      </c>
      <c r="U124" s="40">
        <f t="shared" si="387"/>
        <v>0.33634020618556704</v>
      </c>
      <c r="V124" s="40">
        <f t="shared" si="387"/>
        <v>1.0430038510911426</v>
      </c>
      <c r="W124" s="40">
        <f t="shared" si="387"/>
        <v>5.2837573385518588E-2</v>
      </c>
      <c r="X124" s="40">
        <f t="shared" si="387"/>
        <v>0.42601194426011946</v>
      </c>
      <c r="Y124" s="40">
        <f t="shared" si="387"/>
        <v>0.6123260437375746</v>
      </c>
      <c r="Z124" s="40">
        <f t="shared" si="387"/>
        <v>0.62730870712401055</v>
      </c>
      <c r="AA124" s="40">
        <f t="shared" si="387"/>
        <v>-0.15481727574750831</v>
      </c>
      <c r="AB124" s="40">
        <f t="shared" si="387"/>
        <v>0.48527443105756357</v>
      </c>
      <c r="AC124" s="40">
        <f t="shared" si="387"/>
        <v>0.52441471571906351</v>
      </c>
      <c r="AD124" s="40">
        <f t="shared" si="387"/>
        <v>0.38770053475935828</v>
      </c>
      <c r="AE124" s="40">
        <f t="shared" si="387"/>
        <v>-0.22748815165876776</v>
      </c>
      <c r="AF124" s="40">
        <f t="shared" si="387"/>
        <v>0.44881355932203387</v>
      </c>
      <c r="AG124" s="40">
        <f t="shared" si="387"/>
        <v>0.61314363143631434</v>
      </c>
      <c r="AH124" s="40">
        <f t="shared" si="387"/>
        <v>0.57616790792146244</v>
      </c>
      <c r="AI124" s="40">
        <f t="shared" si="387"/>
        <v>0.17486971627099016</v>
      </c>
      <c r="AJ124" s="40">
        <f t="shared" si="387"/>
        <v>0.6295232624928202</v>
      </c>
      <c r="AK124" s="40">
        <f t="shared" si="387"/>
        <v>0.99885321100917435</v>
      </c>
      <c r="AL124" s="40">
        <f t="shared" si="387"/>
        <v>0.74425287356321834</v>
      </c>
      <c r="AM124" s="40">
        <f t="shared" si="387"/>
        <v>0.47518539646320596</v>
      </c>
      <c r="AN124" s="40">
        <f t="shared" si="387"/>
        <v>0.53811149032992034</v>
      </c>
      <c r="AO124" s="40">
        <f t="shared" si="387"/>
        <v>1.0392045454545455</v>
      </c>
      <c r="AP124" s="40">
        <f t="shared" si="387"/>
        <v>0.73833902161547216</v>
      </c>
      <c r="AQ124" s="40">
        <f t="shared" si="387"/>
        <v>0.21384004537719795</v>
      </c>
      <c r="AR124" s="40">
        <f t="shared" si="387"/>
        <v>0.33465234595816845</v>
      </c>
      <c r="AS124" s="40">
        <f t="shared" si="387"/>
        <v>0.87302483069977421</v>
      </c>
      <c r="AT124" s="40">
        <f t="shared" si="387"/>
        <v>1.1210407239819005</v>
      </c>
      <c r="AU124" s="40">
        <f t="shared" si="387"/>
        <v>0.20067834934991521</v>
      </c>
      <c r="AV124" s="40">
        <f t="shared" si="387"/>
        <v>0.38353073886068811</v>
      </c>
      <c r="AW124" s="40">
        <f t="shared" si="387"/>
        <v>0.88500563697857948</v>
      </c>
      <c r="AX124" s="40">
        <f t="shared" si="387"/>
        <v>1.7591652566271856</v>
      </c>
      <c r="AY124" s="40">
        <f t="shared" si="387"/>
        <v>1.2605514912774338</v>
      </c>
      <c r="AZ124" s="40">
        <f t="shared" si="387"/>
        <v>0.96402473299606517</v>
      </c>
      <c r="BA124" s="40">
        <f t="shared" si="387"/>
        <v>1.2619718309859156</v>
      </c>
      <c r="BB124" s="40">
        <f t="shared" si="387"/>
        <v>1.3819718309859155</v>
      </c>
      <c r="BC124" s="40">
        <f t="shared" si="387"/>
        <v>0.98978433598183879</v>
      </c>
      <c r="BD124" s="40">
        <f t="shared" si="387"/>
        <v>1.1579247434435576</v>
      </c>
      <c r="BE124" s="40">
        <f t="shared" si="387"/>
        <v>1.3194523673702225</v>
      </c>
      <c r="BF124" s="40">
        <f t="shared" si="387"/>
        <v>0.97889332572732457</v>
      </c>
      <c r="BG124" s="40">
        <f t="shared" si="387"/>
        <v>0.43800229621125142</v>
      </c>
      <c r="BH124" s="40">
        <f t="shared" si="387"/>
        <v>0.4</v>
      </c>
      <c r="BI124" s="40">
        <f t="shared" si="387"/>
        <v>0.75733179988499133</v>
      </c>
      <c r="BJ124" s="40">
        <f t="shared" si="387"/>
        <v>1.3120689655172413</v>
      </c>
      <c r="BK124" s="40">
        <f t="shared" ref="BK124:BP124" si="388">BK122/BK123</f>
        <v>0.3603448275862069</v>
      </c>
      <c r="BL124" s="40">
        <f t="shared" si="388"/>
        <v>0.81870338496844519</v>
      </c>
      <c r="BM124" s="40">
        <f t="shared" si="388"/>
        <v>1.2357676825761932</v>
      </c>
      <c r="BN124" s="40">
        <f t="shared" si="388"/>
        <v>1.2344827586206897</v>
      </c>
      <c r="BO124" s="40">
        <f t="shared" si="388"/>
        <v>0.53651523864289818</v>
      </c>
      <c r="BP124" s="40">
        <f t="shared" si="388"/>
        <v>0.88640275387263334</v>
      </c>
      <c r="BQ124" s="40">
        <f>BQ122/BQ123</f>
        <v>1.3151549942594718</v>
      </c>
      <c r="BR124" s="40">
        <f t="shared" ref="BR124" si="389">BR122/BR123</f>
        <v>1.501429388221841</v>
      </c>
      <c r="BS124" s="40">
        <f>BS122/BS123</f>
        <v>0.52430641016101243</v>
      </c>
      <c r="BT124" s="40">
        <f>BT122/BT123</f>
        <v>1.1422834193918532</v>
      </c>
      <c r="CA124" s="40">
        <f t="shared" si="363"/>
        <v>5.312230365327542</v>
      </c>
      <c r="CB124" s="40">
        <f t="shared" si="364"/>
        <v>2.4575186593505567</v>
      </c>
      <c r="CC124" s="40">
        <f t="shared" si="365"/>
        <v>5.7583992890182376</v>
      </c>
      <c r="CD124" s="40">
        <f t="shared" si="366"/>
        <v>5.9141550913312404</v>
      </c>
      <c r="CE124" s="40">
        <f t="shared" si="367"/>
        <v>2.1318453750491004</v>
      </c>
      <c r="CF124" s="40">
        <f t="shared" si="368"/>
        <v>1.7184842685072232</v>
      </c>
      <c r="CG124" s="40">
        <f t="shared" si="369"/>
        <v>1.2425724057884771</v>
      </c>
      <c r="CH124" s="40">
        <f t="shared" si="370"/>
        <v>1.4106369470210429</v>
      </c>
      <c r="CI124" s="40">
        <f t="shared" si="371"/>
        <v>2.5474990633362031</v>
      </c>
      <c r="CJ124" s="40">
        <f t="shared" si="372"/>
        <v>2.7908404538631437</v>
      </c>
      <c r="CK124" s="40">
        <f t="shared" si="373"/>
        <v>2.5425579460170411</v>
      </c>
      <c r="CL124" s="40">
        <f t="shared" si="374"/>
        <v>3.2283799818163685</v>
      </c>
      <c r="CM124" s="40">
        <f t="shared" si="375"/>
        <v>4.8685198862453305</v>
      </c>
      <c r="CN124" s="40">
        <f t="shared" si="376"/>
        <v>4.4460547725229436</v>
      </c>
      <c r="CO124" s="40">
        <f t="shared" si="377"/>
        <v>2.9074030616134841</v>
      </c>
      <c r="CP124" s="40">
        <f t="shared" si="378"/>
        <v>3.6492986537515346</v>
      </c>
      <c r="CQ124" s="40">
        <f t="shared" si="379"/>
        <v>4.2395023749968441</v>
      </c>
    </row>
  </sheetData>
  <mergeCells count="1">
    <mergeCell ref="CZ101:DA101"/>
  </mergeCells>
  <conditionalFormatting sqref="CZ101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  <cfRule type="containsText" dxfId="4" priority="8" operator="containsText" text="Strong Sell">
      <formula>NOT(ISERROR(SEARCH("Strong Sell",CZ101)))</formula>
    </cfRule>
    <cfRule type="containsText" dxfId="3" priority="9" operator="containsText" text="Sell">
      <formula>NOT(ISERROR(SEARCH("Sell",CZ101)))</formula>
    </cfRule>
    <cfRule type="containsText" dxfId="2" priority="10" operator="containsText" text="Hold">
      <formula>NOT(ISERROR(SEARCH("Hold",CZ101)))</formula>
    </cfRule>
    <cfRule type="beginsWith" dxfId="1" priority="11" operator="beginsWith" text="Buy">
      <formula>LEFT(CZ101,LEN("Buy"))="Buy"</formula>
    </cfRule>
    <cfRule type="beginsWith" dxfId="0" priority="12" operator="beginsWith" text="Strong">
      <formula>LEFT(CZ101,LEN("Strong"))="Strong"</formula>
    </cfRule>
  </conditionalFormatting>
  <pageMargins left="0.7" right="0.7" top="0.75" bottom="0.75" header="0.3" footer="0.3"/>
  <pageSetup orientation="portrait" r:id="rId1"/>
  <ignoredErrors>
    <ignoredError sqref="CA44:CK44 CM24:CP24 CA42 AU79:BQ84 AY24:BQ42 BQ54:BQ56 BQ58:BQ59 B124 AU57:BP59 AU44:BP48 AY54:BP56 C124:BQ124 CA83:CP83 AU77:BQ77 C77:AT77 CQ110:CQ117 CV97" evalError="1"/>
    <ignoredError sqref="BO7:BQ7 CL50:CP52 CA62:CP68 CA73:CP75 CL72:CP72 CL69:CP71 CA120:CP122 CA124:CK124 AX62:AX76 BF110:BQ117 CD61:CP61 CA61:CC61 CQ50:CQ51 CQ120:CQ121 BR120:BR121 CQ8:CQ21 CQ62:CQ74 BQ8:BS8 BR7:BS7 BS110:BS116 BQ10:BS10 BQ9:BR9 BQ12:BS17 BQ11:BR11 BT110:BT113 BT115" formulaRange="1"/>
    <ignoredError sqref="AU7:BN7 CA69:CK71 CA72:CK72 CA123:CK123 CA76:CK76 CQ76" formula="1" formulaRange="1"/>
    <ignoredError sqref="AU12:BN12 AU20:BN20 CA77:CK77 CQ123 CR12 CR20 CR7:CZ11 CR21:CZ21 CS20:CZ20 CR13:CZ19 CS12:CZ12" formula="1"/>
    <ignoredError sqref="CL124:CP124 BR110:BR117" evalError="1" formulaRange="1"/>
    <ignoredError sqref="CL76:CP76 CL123:CP123" evalError="1" formula="1" formulaRange="1"/>
    <ignoredError sqref="CL77:CP77" evalError="1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D4A5-C172-4508-BDD9-9132B91E029B}">
  <dimension ref="A1:CB1564"/>
  <sheetViews>
    <sheetView tabSelected="1" topLeftCell="H18" zoomScale="55" zoomScaleNormal="55" workbookViewId="0">
      <selection activeCell="AE143" sqref="AE143"/>
    </sheetView>
  </sheetViews>
  <sheetFormatPr defaultColWidth="9.140625" defaultRowHeight="14.25"/>
  <cols>
    <col min="1" max="7" width="9.140625" style="1" hidden="1" customWidth="1"/>
    <col min="8" max="8" width="3.140625" style="1" customWidth="1"/>
    <col min="9" max="29" width="9.140625" style="1"/>
    <col min="30" max="30" width="2.85546875" style="1" customWidth="1"/>
    <col min="31" max="16384" width="9.140625" style="1"/>
  </cols>
  <sheetData>
    <row r="1" spans="8:80">
      <c r="CB1" s="1">
        <v>0</v>
      </c>
    </row>
    <row r="2" spans="8:80" ht="15">
      <c r="H2" s="2" t="s">
        <v>101</v>
      </c>
      <c r="AE2" s="2" t="s">
        <v>1500</v>
      </c>
    </row>
    <row r="32" spans="9:10">
      <c r="I32" s="1" t="s">
        <v>15</v>
      </c>
      <c r="J32" s="1" t="s">
        <v>16</v>
      </c>
    </row>
    <row r="33" spans="8:10">
      <c r="J33" s="1" t="s">
        <v>17</v>
      </c>
    </row>
    <row r="34" spans="8:10">
      <c r="J34" s="1" t="s">
        <v>18</v>
      </c>
    </row>
    <row r="36" spans="8:10" ht="15">
      <c r="H36" s="2" t="s">
        <v>105</v>
      </c>
    </row>
    <row r="66" spans="8:31">
      <c r="I66" s="1" t="s">
        <v>15</v>
      </c>
      <c r="J66" s="1" t="s">
        <v>16</v>
      </c>
    </row>
    <row r="67" spans="8:31">
      <c r="J67" s="1" t="s">
        <v>17</v>
      </c>
    </row>
    <row r="68" spans="8:31">
      <c r="J68" s="1" t="s">
        <v>18</v>
      </c>
    </row>
    <row r="69" spans="8:31" ht="15">
      <c r="AE69" s="2" t="s">
        <v>1499</v>
      </c>
    </row>
    <row r="70" spans="8:31" ht="15">
      <c r="H70" s="2" t="s">
        <v>2261</v>
      </c>
      <c r="AE70" s="2" t="s">
        <v>79</v>
      </c>
    </row>
    <row r="71" spans="8:31" ht="15">
      <c r="AE71" s="2"/>
    </row>
    <row r="102" spans="8:31">
      <c r="I102" s="1" t="s">
        <v>15</v>
      </c>
      <c r="J102" s="1" t="s">
        <v>16</v>
      </c>
    </row>
    <row r="103" spans="8:31">
      <c r="J103" s="1" t="s">
        <v>17</v>
      </c>
    </row>
    <row r="104" spans="8:31">
      <c r="J104" s="1" t="s">
        <v>18</v>
      </c>
    </row>
    <row r="106" spans="8:31" ht="15">
      <c r="H106" s="2" t="s">
        <v>1488</v>
      </c>
      <c r="AE106" s="2" t="s">
        <v>80</v>
      </c>
    </row>
    <row r="138" spans="8:31">
      <c r="I138" s="1" t="s">
        <v>15</v>
      </c>
      <c r="J138" s="1" t="s">
        <v>16</v>
      </c>
    </row>
    <row r="139" spans="8:31">
      <c r="J139" s="1" t="s">
        <v>17</v>
      </c>
    </row>
    <row r="140" spans="8:31">
      <c r="J140" s="1" t="s">
        <v>18</v>
      </c>
    </row>
    <row r="142" spans="8:31" ht="15">
      <c r="H142" s="2" t="s">
        <v>1489</v>
      </c>
      <c r="AE142" s="2" t="s">
        <v>81</v>
      </c>
    </row>
    <row r="164" spans="9:10" ht="15" customHeight="1"/>
    <row r="174" spans="9:10">
      <c r="I174" s="1" t="s">
        <v>15</v>
      </c>
      <c r="J174" s="1" t="s">
        <v>16</v>
      </c>
    </row>
    <row r="175" spans="9:10">
      <c r="J175" s="1" t="s">
        <v>17</v>
      </c>
    </row>
    <row r="176" spans="9:10">
      <c r="J176" s="1" t="s">
        <v>18</v>
      </c>
    </row>
    <row r="178" spans="1:31" ht="15">
      <c r="H178" s="2" t="s">
        <v>104</v>
      </c>
      <c r="AE178" s="2" t="s">
        <v>82</v>
      </c>
    </row>
    <row r="192" spans="1:31">
      <c r="A192" s="1" t="s">
        <v>1397</v>
      </c>
    </row>
    <row r="193" spans="1:10">
      <c r="A193" s="24" t="s">
        <v>19</v>
      </c>
      <c r="B193" s="24" t="s">
        <v>20</v>
      </c>
      <c r="C193" s="24" t="s">
        <v>21</v>
      </c>
      <c r="D193" s="24" t="s">
        <v>22</v>
      </c>
      <c r="E193" s="24" t="s">
        <v>23</v>
      </c>
      <c r="F193" s="24" t="s">
        <v>24</v>
      </c>
      <c r="G193" s="24" t="s">
        <v>25</v>
      </c>
    </row>
    <row r="194" spans="1:10">
      <c r="A194" s="58">
        <v>133.72999999999999</v>
      </c>
      <c r="B194" s="58">
        <v>134.96</v>
      </c>
      <c r="C194" s="58">
        <v>131.4</v>
      </c>
      <c r="D194" s="58">
        <v>131.82</v>
      </c>
      <c r="E194" s="58">
        <v>5675032</v>
      </c>
      <c r="F194" s="58" t="s">
        <v>141</v>
      </c>
      <c r="G194" s="25">
        <f>A194/D194-1</f>
        <v>1.4489455317857614E-2</v>
      </c>
    </row>
    <row r="195" spans="1:10">
      <c r="A195" s="58">
        <v>132.65</v>
      </c>
      <c r="B195" s="58">
        <v>132.68</v>
      </c>
      <c r="C195" s="58">
        <v>129.39750000000001</v>
      </c>
      <c r="D195" s="58">
        <v>129.69</v>
      </c>
      <c r="E195" s="58">
        <v>5500357</v>
      </c>
      <c r="F195" s="58" t="s">
        <v>142</v>
      </c>
      <c r="G195" s="25">
        <f t="shared" ref="G195:G258" si="0">A195/D195-1</f>
        <v>2.2823656411442794E-2</v>
      </c>
    </row>
    <row r="196" spans="1:10">
      <c r="A196" s="58">
        <v>129.36000000000001</v>
      </c>
      <c r="B196" s="58">
        <v>131.85</v>
      </c>
      <c r="C196" s="58">
        <v>127.44499999999999</v>
      </c>
      <c r="D196" s="58">
        <v>131.85</v>
      </c>
      <c r="E196" s="58">
        <v>7363965</v>
      </c>
      <c r="F196" s="58" t="s">
        <v>143</v>
      </c>
      <c r="G196" s="25">
        <f t="shared" si="0"/>
        <v>-1.8885096700796189E-2</v>
      </c>
    </row>
    <row r="197" spans="1:10">
      <c r="A197" s="58">
        <v>131.94999999999999</v>
      </c>
      <c r="B197" s="58">
        <v>133.1679</v>
      </c>
      <c r="C197" s="58">
        <v>131.64500000000001</v>
      </c>
      <c r="D197" s="58">
        <v>132.30000000000001</v>
      </c>
      <c r="E197" s="58">
        <v>4635380</v>
      </c>
      <c r="F197" s="58" t="s">
        <v>144</v>
      </c>
      <c r="G197" s="25">
        <f t="shared" si="0"/>
        <v>-2.6455026455027841E-3</v>
      </c>
    </row>
    <row r="198" spans="1:10">
      <c r="A198" s="58">
        <v>132.19999999999999</v>
      </c>
      <c r="B198" s="58">
        <v>133.09</v>
      </c>
      <c r="C198" s="58">
        <v>131.61000000000001</v>
      </c>
      <c r="D198" s="58">
        <v>132.26</v>
      </c>
      <c r="E198" s="58">
        <v>5014159</v>
      </c>
      <c r="F198" s="58" t="s">
        <v>145</v>
      </c>
      <c r="G198" s="25">
        <f t="shared" si="0"/>
        <v>-4.5365189777712978E-4</v>
      </c>
    </row>
    <row r="199" spans="1:10">
      <c r="A199" s="58">
        <v>132.94</v>
      </c>
      <c r="B199" s="58">
        <v>134.32499999999999</v>
      </c>
      <c r="C199" s="58">
        <v>132.44499999999999</v>
      </c>
      <c r="D199" s="58">
        <v>132.51499999999999</v>
      </c>
      <c r="E199" s="58">
        <v>3225545</v>
      </c>
      <c r="F199" s="58" t="s">
        <v>146</v>
      </c>
      <c r="G199" s="25">
        <f t="shared" si="0"/>
        <v>3.207184092367088E-3</v>
      </c>
    </row>
    <row r="200" spans="1:10">
      <c r="A200" s="58">
        <v>132.81</v>
      </c>
      <c r="B200" s="58">
        <v>133.84</v>
      </c>
      <c r="C200" s="58">
        <v>131.69999999999999</v>
      </c>
      <c r="D200" s="58">
        <v>132.18</v>
      </c>
      <c r="E200" s="58">
        <v>5063771</v>
      </c>
      <c r="F200" s="58" t="s">
        <v>147</v>
      </c>
      <c r="G200" s="25">
        <f t="shared" si="0"/>
        <v>4.7662278710849382E-3</v>
      </c>
    </row>
    <row r="201" spans="1:10">
      <c r="A201" s="58">
        <v>132.18</v>
      </c>
      <c r="B201" s="58">
        <v>132.19</v>
      </c>
      <c r="C201" s="58">
        <v>130.21</v>
      </c>
      <c r="D201" s="58">
        <v>131.15</v>
      </c>
      <c r="E201" s="58">
        <v>4753690</v>
      </c>
      <c r="F201" s="58" t="s">
        <v>148</v>
      </c>
      <c r="G201" s="25">
        <f t="shared" si="0"/>
        <v>7.8536027449485069E-3</v>
      </c>
    </row>
    <row r="202" spans="1:10">
      <c r="A202" s="58">
        <v>131.46</v>
      </c>
      <c r="B202" s="58">
        <v>133.39500000000001</v>
      </c>
      <c r="C202" s="58">
        <v>130.84</v>
      </c>
      <c r="D202" s="58">
        <v>132.685</v>
      </c>
      <c r="E202" s="58">
        <v>5696208</v>
      </c>
      <c r="F202" s="58" t="s">
        <v>149</v>
      </c>
      <c r="G202" s="25">
        <f t="shared" si="0"/>
        <v>-9.2323925085728842E-3</v>
      </c>
    </row>
    <row r="203" spans="1:10">
      <c r="A203" s="58">
        <v>132.66</v>
      </c>
      <c r="B203" s="58">
        <v>132.845</v>
      </c>
      <c r="C203" s="58">
        <v>131.16999999999999</v>
      </c>
      <c r="D203" s="58">
        <v>132.01499999999999</v>
      </c>
      <c r="E203" s="58">
        <v>4426895</v>
      </c>
      <c r="F203" s="58" t="s">
        <v>150</v>
      </c>
      <c r="G203" s="25">
        <f t="shared" si="0"/>
        <v>4.8858084308602834E-3</v>
      </c>
    </row>
    <row r="204" spans="1:10">
      <c r="A204" s="58">
        <v>131.37</v>
      </c>
      <c r="B204" s="58">
        <v>131.63499999999999</v>
      </c>
      <c r="C204" s="58">
        <v>130.13999999999999</v>
      </c>
      <c r="D204" s="58">
        <v>130.91999999999999</v>
      </c>
      <c r="E204" s="58">
        <v>4668414</v>
      </c>
      <c r="F204" s="58" t="s">
        <v>151</v>
      </c>
      <c r="G204" s="25">
        <f t="shared" si="0"/>
        <v>3.437213565536279E-3</v>
      </c>
    </row>
    <row r="205" spans="1:10">
      <c r="A205" s="58">
        <v>131.46</v>
      </c>
      <c r="B205" s="58">
        <v>131.75</v>
      </c>
      <c r="C205" s="58">
        <v>130.5616</v>
      </c>
      <c r="D205" s="58">
        <v>131.47</v>
      </c>
      <c r="E205" s="58">
        <v>4758097</v>
      </c>
      <c r="F205" s="58" t="s">
        <v>152</v>
      </c>
      <c r="G205" s="25">
        <f t="shared" si="0"/>
        <v>-7.6062980147506565E-5</v>
      </c>
    </row>
    <row r="206" spans="1:10">
      <c r="A206" s="58">
        <v>131.59</v>
      </c>
      <c r="B206" s="58">
        <v>132.35</v>
      </c>
      <c r="C206" s="58">
        <v>131.38</v>
      </c>
      <c r="D206" s="58">
        <v>131.86000000000001</v>
      </c>
      <c r="E206" s="58">
        <v>6076213</v>
      </c>
      <c r="F206" s="58" t="s">
        <v>153</v>
      </c>
      <c r="G206" s="25">
        <f t="shared" si="0"/>
        <v>-2.047626270286762E-3</v>
      </c>
    </row>
    <row r="207" spans="1:10">
      <c r="A207" s="58">
        <v>131.87</v>
      </c>
      <c r="B207" s="58">
        <v>132.96</v>
      </c>
      <c r="C207" s="58">
        <v>131.49</v>
      </c>
      <c r="D207" s="58">
        <v>132.72</v>
      </c>
      <c r="E207" s="58">
        <v>4695123</v>
      </c>
      <c r="F207" s="58" t="s">
        <v>154</v>
      </c>
      <c r="G207" s="25">
        <f t="shared" si="0"/>
        <v>-6.4044605183845027E-3</v>
      </c>
      <c r="I207" s="1" t="s">
        <v>15</v>
      </c>
      <c r="J207" s="1" t="s">
        <v>16</v>
      </c>
    </row>
    <row r="208" spans="1:10">
      <c r="A208" s="58">
        <v>132.59</v>
      </c>
      <c r="B208" s="58">
        <v>133.62</v>
      </c>
      <c r="C208" s="58">
        <v>131.34</v>
      </c>
      <c r="D208" s="58">
        <v>132.77000000000001</v>
      </c>
      <c r="E208" s="58">
        <v>4130123</v>
      </c>
      <c r="F208" s="58" t="s">
        <v>155</v>
      </c>
      <c r="G208" s="25">
        <f t="shared" si="0"/>
        <v>-1.3557279505912456E-3</v>
      </c>
      <c r="J208" s="1" t="s">
        <v>17</v>
      </c>
    </row>
    <row r="209" spans="1:10">
      <c r="A209" s="58">
        <v>132</v>
      </c>
      <c r="B209" s="58">
        <v>133.19999999999999</v>
      </c>
      <c r="C209" s="58">
        <v>131.75</v>
      </c>
      <c r="D209" s="58">
        <v>132.12</v>
      </c>
      <c r="E209" s="58">
        <v>3980063</v>
      </c>
      <c r="F209" s="58" t="s">
        <v>156</v>
      </c>
      <c r="G209" s="25">
        <f t="shared" si="0"/>
        <v>-9.0826521344233857E-4</v>
      </c>
      <c r="J209" s="1" t="s">
        <v>18</v>
      </c>
    </row>
    <row r="210" spans="1:10">
      <c r="A210" s="58">
        <v>132.44</v>
      </c>
      <c r="B210" s="58">
        <v>133.81</v>
      </c>
      <c r="C210" s="58">
        <v>131.72</v>
      </c>
      <c r="D210" s="58">
        <v>132.05000000000001</v>
      </c>
      <c r="E210" s="58">
        <v>3615370</v>
      </c>
      <c r="F210" s="58" t="s">
        <v>157</v>
      </c>
      <c r="G210" s="25">
        <f t="shared" si="0"/>
        <v>2.9534267322983698E-3</v>
      </c>
    </row>
    <row r="211" spans="1:10" ht="15">
      <c r="A211" s="58">
        <v>131.25</v>
      </c>
      <c r="B211" s="58">
        <v>131.72</v>
      </c>
      <c r="C211" s="58">
        <v>128.68</v>
      </c>
      <c r="D211" s="58">
        <v>129.91999999999999</v>
      </c>
      <c r="E211" s="58">
        <v>4669839</v>
      </c>
      <c r="F211" s="58" t="s">
        <v>158</v>
      </c>
      <c r="G211" s="25">
        <f t="shared" si="0"/>
        <v>1.0237068965517349E-2</v>
      </c>
      <c r="H211" s="2" t="s">
        <v>103</v>
      </c>
    </row>
    <row r="212" spans="1:10">
      <c r="A212" s="58">
        <v>130.27000000000001</v>
      </c>
      <c r="B212" s="58">
        <v>132.30000000000001</v>
      </c>
      <c r="C212" s="58">
        <v>130.16</v>
      </c>
      <c r="D212" s="58">
        <v>131.63</v>
      </c>
      <c r="E212" s="58">
        <v>3831433</v>
      </c>
      <c r="F212" s="58" t="s">
        <v>159</v>
      </c>
      <c r="G212" s="25">
        <f t="shared" si="0"/>
        <v>-1.0331991187419121E-2</v>
      </c>
    </row>
    <row r="213" spans="1:10">
      <c r="A213" s="58">
        <v>131.75</v>
      </c>
      <c r="B213" s="58">
        <v>132.35</v>
      </c>
      <c r="C213" s="58">
        <v>129.66499999999999</v>
      </c>
      <c r="D213" s="58">
        <v>129.91999999999999</v>
      </c>
      <c r="E213" s="58">
        <v>6784760</v>
      </c>
      <c r="F213" s="58" t="s">
        <v>160</v>
      </c>
      <c r="G213" s="25">
        <f t="shared" si="0"/>
        <v>1.4085591133005115E-2</v>
      </c>
    </row>
    <row r="214" spans="1:10">
      <c r="A214" s="58">
        <v>129.28</v>
      </c>
      <c r="B214" s="58">
        <v>130.13999999999999</v>
      </c>
      <c r="C214" s="58">
        <v>128.53</v>
      </c>
      <c r="D214" s="58">
        <v>129.10499999999999</v>
      </c>
      <c r="E214" s="58">
        <v>9688357</v>
      </c>
      <c r="F214" s="58" t="s">
        <v>161</v>
      </c>
      <c r="G214" s="25">
        <f t="shared" si="0"/>
        <v>1.3554858448550089E-3</v>
      </c>
    </row>
    <row r="215" spans="1:10">
      <c r="A215" s="58">
        <v>129.4</v>
      </c>
      <c r="B215" s="58">
        <v>131.65</v>
      </c>
      <c r="C215" s="58">
        <v>128.33000000000001</v>
      </c>
      <c r="D215" s="58">
        <v>131.12</v>
      </c>
      <c r="E215" s="58">
        <v>6723933</v>
      </c>
      <c r="F215" s="58" t="s">
        <v>162</v>
      </c>
      <c r="G215" s="25">
        <f t="shared" si="0"/>
        <v>-1.311775472849297E-2</v>
      </c>
    </row>
    <row r="216" spans="1:10">
      <c r="A216" s="58">
        <v>131.02000000000001</v>
      </c>
      <c r="B216" s="58">
        <v>131.88999999999999</v>
      </c>
      <c r="C216" s="58">
        <v>129.62</v>
      </c>
      <c r="D216" s="58">
        <v>131.74</v>
      </c>
      <c r="E216" s="58">
        <v>5657521</v>
      </c>
      <c r="F216" s="58" t="s">
        <v>163</v>
      </c>
      <c r="G216" s="25">
        <f t="shared" si="0"/>
        <v>-5.4653104599969859E-3</v>
      </c>
    </row>
    <row r="217" spans="1:10" ht="15" customHeight="1">
      <c r="A217" s="58">
        <v>131.36000000000001</v>
      </c>
      <c r="B217" s="58">
        <v>134.35</v>
      </c>
      <c r="C217" s="58">
        <v>130.55000000000001</v>
      </c>
      <c r="D217" s="58">
        <v>134.08000000000001</v>
      </c>
      <c r="E217" s="58">
        <v>7125728</v>
      </c>
      <c r="F217" s="58" t="s">
        <v>164</v>
      </c>
      <c r="G217" s="25">
        <f t="shared" si="0"/>
        <v>-2.0286396181384281E-2</v>
      </c>
    </row>
    <row r="218" spans="1:10" ht="15" customHeight="1">
      <c r="A218" s="58">
        <v>134.28</v>
      </c>
      <c r="B218" s="58">
        <v>134.71</v>
      </c>
      <c r="C218" s="58">
        <v>131.75</v>
      </c>
      <c r="D218" s="58">
        <v>131.80000000000001</v>
      </c>
      <c r="E218" s="58">
        <v>4985614</v>
      </c>
      <c r="F218" s="58" t="s">
        <v>165</v>
      </c>
      <c r="G218" s="25">
        <f t="shared" si="0"/>
        <v>1.8816388467374656E-2</v>
      </c>
    </row>
    <row r="219" spans="1:10">
      <c r="A219" s="58">
        <v>132.06</v>
      </c>
      <c r="B219" s="58">
        <v>132.5</v>
      </c>
      <c r="C219" s="58">
        <v>130.72999999999999</v>
      </c>
      <c r="D219" s="58">
        <v>131.16</v>
      </c>
      <c r="E219" s="58">
        <v>4690729</v>
      </c>
      <c r="F219" s="58" t="s">
        <v>166</v>
      </c>
      <c r="G219" s="25">
        <f t="shared" si="0"/>
        <v>6.8618481244282492E-3</v>
      </c>
    </row>
    <row r="220" spans="1:10">
      <c r="A220" s="58">
        <v>130.93</v>
      </c>
      <c r="B220" s="58">
        <v>131.72</v>
      </c>
      <c r="C220" s="58">
        <v>129.81</v>
      </c>
      <c r="D220" s="58">
        <v>130.08000000000001</v>
      </c>
      <c r="E220" s="58">
        <v>5170125</v>
      </c>
      <c r="F220" s="58" t="s">
        <v>167</v>
      </c>
      <c r="G220" s="25">
        <f t="shared" si="0"/>
        <v>6.5344403444034249E-3</v>
      </c>
    </row>
    <row r="221" spans="1:10">
      <c r="A221" s="58">
        <v>130.69</v>
      </c>
      <c r="B221" s="58">
        <v>131.47999999999999</v>
      </c>
      <c r="C221" s="58">
        <v>129.25</v>
      </c>
      <c r="D221" s="58">
        <v>129.91</v>
      </c>
      <c r="E221" s="58">
        <v>5355471</v>
      </c>
      <c r="F221" s="58" t="s">
        <v>168</v>
      </c>
      <c r="G221" s="25">
        <f t="shared" si="0"/>
        <v>6.0041567238857674E-3</v>
      </c>
    </row>
    <row r="222" spans="1:10">
      <c r="A222" s="58">
        <v>129.93</v>
      </c>
      <c r="B222" s="58">
        <v>130.13</v>
      </c>
      <c r="C222" s="58">
        <v>127.45</v>
      </c>
      <c r="D222" s="58">
        <v>127.45</v>
      </c>
      <c r="E222" s="58">
        <v>5671459</v>
      </c>
      <c r="F222" s="58" t="s">
        <v>169</v>
      </c>
      <c r="G222" s="25">
        <f t="shared" si="0"/>
        <v>1.9458611220086297E-2</v>
      </c>
    </row>
    <row r="223" spans="1:10">
      <c r="A223" s="58">
        <v>127.29</v>
      </c>
      <c r="B223" s="58">
        <v>127.77</v>
      </c>
      <c r="C223" s="58">
        <v>125.47</v>
      </c>
      <c r="D223" s="58">
        <v>125.47</v>
      </c>
      <c r="E223" s="58">
        <v>5453261</v>
      </c>
      <c r="F223" s="58" t="s">
        <v>170</v>
      </c>
      <c r="G223" s="25">
        <f t="shared" si="0"/>
        <v>1.4505459472383908E-2</v>
      </c>
    </row>
    <row r="224" spans="1:10">
      <c r="A224" s="58">
        <v>126.19</v>
      </c>
      <c r="B224" s="58">
        <v>129.15</v>
      </c>
      <c r="C224" s="58">
        <v>125.81</v>
      </c>
      <c r="D224" s="58">
        <v>127.54</v>
      </c>
      <c r="E224" s="58">
        <v>6722644</v>
      </c>
      <c r="F224" s="58" t="s">
        <v>171</v>
      </c>
      <c r="G224" s="25">
        <f t="shared" si="0"/>
        <v>-1.058491453661603E-2</v>
      </c>
    </row>
    <row r="225" spans="1:10">
      <c r="A225" s="58">
        <v>128.55000000000001</v>
      </c>
      <c r="B225" s="58">
        <v>129.69999999999999</v>
      </c>
      <c r="C225" s="58">
        <v>127.08</v>
      </c>
      <c r="D225" s="58">
        <v>127.97</v>
      </c>
      <c r="E225" s="58">
        <v>5359672</v>
      </c>
      <c r="F225" s="58" t="s">
        <v>172</v>
      </c>
      <c r="G225" s="25">
        <f t="shared" si="0"/>
        <v>4.5323122606861777E-3</v>
      </c>
    </row>
    <row r="226" spans="1:10">
      <c r="A226" s="58">
        <v>128.01</v>
      </c>
      <c r="B226" s="58">
        <v>128.1</v>
      </c>
      <c r="C226" s="58">
        <v>125.47</v>
      </c>
      <c r="D226" s="58">
        <v>126.01</v>
      </c>
      <c r="E226" s="58">
        <v>5819908</v>
      </c>
      <c r="F226" s="58" t="s">
        <v>173</v>
      </c>
      <c r="G226" s="25">
        <f t="shared" si="0"/>
        <v>1.5871756209824506E-2</v>
      </c>
    </row>
    <row r="227" spans="1:10" ht="15" customHeight="1">
      <c r="A227" s="58">
        <v>126.35</v>
      </c>
      <c r="B227" s="58">
        <v>126.99</v>
      </c>
      <c r="C227" s="58">
        <v>125.625</v>
      </c>
      <c r="D227" s="58">
        <v>126.15</v>
      </c>
      <c r="E227" s="58">
        <v>8035847</v>
      </c>
      <c r="F227" s="58" t="s">
        <v>174</v>
      </c>
      <c r="G227" s="25">
        <f t="shared" si="0"/>
        <v>1.5854141894569018E-3</v>
      </c>
    </row>
    <row r="228" spans="1:10">
      <c r="A228" s="58">
        <v>126.54</v>
      </c>
      <c r="B228" s="58">
        <v>126.72499999999999</v>
      </c>
      <c r="C228" s="58">
        <v>125.45</v>
      </c>
      <c r="D228" s="58">
        <v>125.77</v>
      </c>
      <c r="E228" s="58">
        <v>4718778</v>
      </c>
      <c r="F228" s="58" t="s">
        <v>175</v>
      </c>
      <c r="G228" s="25">
        <f t="shared" si="0"/>
        <v>6.1222867138428505E-3</v>
      </c>
    </row>
    <row r="229" spans="1:10">
      <c r="A229" s="58">
        <v>125.64</v>
      </c>
      <c r="B229" s="58">
        <v>125.98</v>
      </c>
      <c r="C229" s="58">
        <v>124.69499999999999</v>
      </c>
      <c r="D229" s="58">
        <v>125.28</v>
      </c>
      <c r="E229" s="58">
        <v>4708230</v>
      </c>
      <c r="F229" s="58" t="s">
        <v>176</v>
      </c>
      <c r="G229" s="25">
        <f t="shared" si="0"/>
        <v>2.8735632183907178E-3</v>
      </c>
    </row>
    <row r="230" spans="1:10">
      <c r="A230" s="58">
        <v>125.83</v>
      </c>
      <c r="B230" s="58">
        <v>127.04</v>
      </c>
      <c r="C230" s="58">
        <v>123.25</v>
      </c>
      <c r="D230" s="58">
        <v>126.32</v>
      </c>
      <c r="E230" s="58">
        <v>6439582</v>
      </c>
      <c r="F230" s="58" t="s">
        <v>177</v>
      </c>
      <c r="G230" s="25">
        <f t="shared" si="0"/>
        <v>-3.8790373654211674E-3</v>
      </c>
    </row>
    <row r="231" spans="1:10">
      <c r="A231" s="58">
        <v>125.73</v>
      </c>
      <c r="B231" s="58">
        <v>126.38</v>
      </c>
      <c r="C231" s="58">
        <v>124.23</v>
      </c>
      <c r="D231" s="58">
        <v>124.33</v>
      </c>
      <c r="E231" s="58">
        <v>7060464</v>
      </c>
      <c r="F231" s="58" t="s">
        <v>178</v>
      </c>
      <c r="G231" s="25">
        <f t="shared" si="0"/>
        <v>1.1260355505509523E-2</v>
      </c>
    </row>
    <row r="232" spans="1:10">
      <c r="A232" s="58">
        <v>124.42</v>
      </c>
      <c r="B232" s="58">
        <v>126.03</v>
      </c>
      <c r="C232" s="58">
        <v>121.6</v>
      </c>
      <c r="D232" s="58">
        <v>124.26</v>
      </c>
      <c r="E232" s="58">
        <v>10200416</v>
      </c>
      <c r="F232" s="58" t="s">
        <v>179</v>
      </c>
      <c r="G232" s="25">
        <f t="shared" si="0"/>
        <v>1.2876227265410378E-3</v>
      </c>
    </row>
    <row r="233" spans="1:10">
      <c r="A233" s="58">
        <v>123.67</v>
      </c>
      <c r="B233" s="58">
        <v>125.63</v>
      </c>
      <c r="C233" s="58">
        <v>122.27</v>
      </c>
      <c r="D233" s="58">
        <v>122.63</v>
      </c>
      <c r="E233" s="58">
        <v>19532806</v>
      </c>
      <c r="F233" s="58" t="s">
        <v>180</v>
      </c>
      <c r="G233" s="25">
        <f t="shared" si="0"/>
        <v>8.4807958900758873E-3</v>
      </c>
    </row>
    <row r="234" spans="1:10">
      <c r="A234" s="58">
        <v>120.51</v>
      </c>
      <c r="B234" s="58">
        <v>126.86</v>
      </c>
      <c r="C234" s="58">
        <v>119.77</v>
      </c>
      <c r="D234" s="58">
        <v>126.55</v>
      </c>
      <c r="E234" s="58">
        <v>27519736</v>
      </c>
      <c r="F234" s="58" t="s">
        <v>181</v>
      </c>
      <c r="G234" s="25">
        <f t="shared" si="0"/>
        <v>-4.7728170683524196E-2</v>
      </c>
    </row>
    <row r="235" spans="1:10">
      <c r="A235" s="58">
        <v>131.74</v>
      </c>
      <c r="B235" s="58">
        <v>133.02500000000001</v>
      </c>
      <c r="C235" s="58">
        <v>130.31</v>
      </c>
      <c r="D235" s="58">
        <v>132.12</v>
      </c>
      <c r="E235" s="58">
        <v>9879455</v>
      </c>
      <c r="F235" s="58" t="s">
        <v>182</v>
      </c>
      <c r="G235" s="25">
        <f t="shared" si="0"/>
        <v>-2.8761731759006093E-3</v>
      </c>
    </row>
    <row r="236" spans="1:10">
      <c r="A236" s="58">
        <v>131.49</v>
      </c>
      <c r="B236" s="58">
        <v>132.44</v>
      </c>
      <c r="C236" s="58">
        <v>130.30000000000001</v>
      </c>
      <c r="D236" s="58">
        <v>131.89500000000001</v>
      </c>
      <c r="E236" s="58">
        <v>5081764</v>
      </c>
      <c r="F236" s="58" t="s">
        <v>183</v>
      </c>
      <c r="G236" s="25">
        <f t="shared" si="0"/>
        <v>-3.0706243602866001E-3</v>
      </c>
    </row>
    <row r="237" spans="1:10">
      <c r="A237" s="58">
        <v>132.03</v>
      </c>
      <c r="B237" s="58">
        <v>133.09</v>
      </c>
      <c r="C237" s="58">
        <v>131.71</v>
      </c>
      <c r="D237" s="58">
        <v>132.02000000000001</v>
      </c>
      <c r="E237" s="58">
        <v>4845452</v>
      </c>
      <c r="F237" s="58" t="s">
        <v>184</v>
      </c>
      <c r="G237" s="25">
        <f t="shared" si="0"/>
        <v>7.5746099075901796E-5</v>
      </c>
    </row>
    <row r="238" spans="1:10">
      <c r="A238" s="58">
        <v>132.02000000000001</v>
      </c>
      <c r="B238" s="58">
        <v>133.58000000000001</v>
      </c>
      <c r="C238" s="58">
        <v>131.26</v>
      </c>
      <c r="D238" s="58">
        <v>133.27000000000001</v>
      </c>
      <c r="E238" s="58">
        <v>4653111</v>
      </c>
      <c r="F238" s="58" t="s">
        <v>185</v>
      </c>
      <c r="G238" s="25">
        <f t="shared" si="0"/>
        <v>-9.3794552412396204E-3</v>
      </c>
    </row>
    <row r="239" spans="1:10">
      <c r="A239" s="58">
        <v>133.6</v>
      </c>
      <c r="B239" s="58">
        <v>135.05000000000001</v>
      </c>
      <c r="C239" s="58">
        <v>133.01</v>
      </c>
      <c r="D239" s="58">
        <v>133.72999999999999</v>
      </c>
      <c r="E239" s="58">
        <v>4849664</v>
      </c>
      <c r="F239" s="58" t="s">
        <v>186</v>
      </c>
      <c r="G239" s="25">
        <f t="shared" si="0"/>
        <v>-9.7210797876312594E-4</v>
      </c>
    </row>
    <row r="240" spans="1:10">
      <c r="A240" s="58">
        <v>133.22</v>
      </c>
      <c r="B240" s="58">
        <v>133.77000000000001</v>
      </c>
      <c r="C240" s="58">
        <v>131.47</v>
      </c>
      <c r="D240" s="58">
        <v>133.47</v>
      </c>
      <c r="E240" s="58">
        <v>4613236</v>
      </c>
      <c r="F240" s="58" t="s">
        <v>187</v>
      </c>
      <c r="G240" s="25">
        <f t="shared" si="0"/>
        <v>-1.8730800929047664E-3</v>
      </c>
      <c r="I240" s="1" t="s">
        <v>15</v>
      </c>
      <c r="J240" s="1" t="s">
        <v>16</v>
      </c>
    </row>
    <row r="241" spans="1:10">
      <c r="A241" s="58">
        <v>133.36000000000001</v>
      </c>
      <c r="B241" s="58">
        <v>134.72999999999999</v>
      </c>
      <c r="C241" s="58">
        <v>132.85</v>
      </c>
      <c r="D241" s="58">
        <v>133.24</v>
      </c>
      <c r="E241" s="58">
        <v>4779876</v>
      </c>
      <c r="F241" s="58" t="s">
        <v>188</v>
      </c>
      <c r="G241" s="25">
        <f t="shared" si="0"/>
        <v>9.0063044130905823E-4</v>
      </c>
      <c r="J241" s="1" t="s">
        <v>17</v>
      </c>
    </row>
    <row r="242" spans="1:10">
      <c r="A242" s="58">
        <v>133.69999999999999</v>
      </c>
      <c r="B242" s="58">
        <v>134.91</v>
      </c>
      <c r="C242" s="58">
        <v>132.85</v>
      </c>
      <c r="D242" s="58">
        <v>134.51</v>
      </c>
      <c r="E242" s="58">
        <v>8919815</v>
      </c>
      <c r="F242" s="58" t="s">
        <v>189</v>
      </c>
      <c r="G242" s="25">
        <f t="shared" si="0"/>
        <v>-6.0218571109954544E-3</v>
      </c>
      <c r="J242" s="1" t="s">
        <v>18</v>
      </c>
    </row>
    <row r="243" spans="1:10">
      <c r="A243" s="58">
        <v>134.44</v>
      </c>
      <c r="B243" s="58">
        <v>135.24430000000001</v>
      </c>
      <c r="C243" s="58">
        <v>133.19999999999999</v>
      </c>
      <c r="D243" s="58">
        <v>134.66999999999999</v>
      </c>
      <c r="E243" s="58">
        <v>3114330</v>
      </c>
      <c r="F243" s="58" t="s">
        <v>190</v>
      </c>
      <c r="G243" s="25">
        <f t="shared" si="0"/>
        <v>-1.7078785178583633E-3</v>
      </c>
    </row>
    <row r="244" spans="1:10">
      <c r="A244" s="58">
        <v>134.11000000000001</v>
      </c>
      <c r="B244" s="58">
        <v>136.34</v>
      </c>
      <c r="C244" s="58">
        <v>133.84059999999999</v>
      </c>
      <c r="D244" s="58">
        <v>135.27000000000001</v>
      </c>
      <c r="E244" s="58">
        <v>4316253</v>
      </c>
      <c r="F244" s="58" t="s">
        <v>191</v>
      </c>
      <c r="G244" s="25">
        <f t="shared" si="0"/>
        <v>-8.5754417091742363E-3</v>
      </c>
    </row>
    <row r="245" spans="1:10">
      <c r="A245" s="58">
        <v>136.26</v>
      </c>
      <c r="B245" s="58">
        <v>137.08359999999999</v>
      </c>
      <c r="C245" s="58">
        <v>134.81</v>
      </c>
      <c r="D245" s="58">
        <v>135.54</v>
      </c>
      <c r="E245" s="58">
        <v>5260641</v>
      </c>
      <c r="F245" s="58" t="s">
        <v>192</v>
      </c>
      <c r="G245" s="25">
        <f t="shared" si="0"/>
        <v>5.312084993359889E-3</v>
      </c>
    </row>
    <row r="246" spans="1:10">
      <c r="A246" s="58">
        <v>136.01</v>
      </c>
      <c r="B246" s="58">
        <v>136.26</v>
      </c>
      <c r="C246" s="58">
        <v>134</v>
      </c>
      <c r="D246" s="58">
        <v>134</v>
      </c>
      <c r="E246" s="58">
        <v>5680163</v>
      </c>
      <c r="F246" s="58" t="s">
        <v>193</v>
      </c>
      <c r="G246" s="25">
        <f t="shared" si="0"/>
        <v>1.4999999999999902E-2</v>
      </c>
    </row>
    <row r="247" spans="1:10">
      <c r="A247" s="58">
        <v>134.38</v>
      </c>
      <c r="B247" s="58">
        <v>134.91</v>
      </c>
      <c r="C247" s="58">
        <v>132.88</v>
      </c>
      <c r="D247" s="58">
        <v>133.29</v>
      </c>
      <c r="E247" s="58">
        <v>9513538</v>
      </c>
      <c r="F247" s="58" t="s">
        <v>194</v>
      </c>
      <c r="G247" s="25">
        <f t="shared" si="0"/>
        <v>8.1776577387651095E-3</v>
      </c>
    </row>
    <row r="248" spans="1:10">
      <c r="A248" s="58">
        <v>133.66999999999999</v>
      </c>
      <c r="B248" s="58">
        <v>137.54</v>
      </c>
      <c r="C248" s="58">
        <v>132.71</v>
      </c>
      <c r="D248" s="58">
        <v>137.32499999999999</v>
      </c>
      <c r="E248" s="58">
        <v>9452900</v>
      </c>
      <c r="F248" s="58" t="s">
        <v>195</v>
      </c>
      <c r="G248" s="25">
        <f t="shared" si="0"/>
        <v>-2.6615692699799798E-2</v>
      </c>
    </row>
    <row r="249" spans="1:10">
      <c r="A249" s="58">
        <v>137.4</v>
      </c>
      <c r="B249" s="58">
        <v>138.84</v>
      </c>
      <c r="C249" s="58">
        <v>136.63999999999999</v>
      </c>
      <c r="D249" s="58">
        <v>137.87</v>
      </c>
      <c r="E249" s="58">
        <v>5507492</v>
      </c>
      <c r="F249" s="58" t="s">
        <v>196</v>
      </c>
      <c r="G249" s="25">
        <f t="shared" si="0"/>
        <v>-3.4090084862551384E-3</v>
      </c>
    </row>
    <row r="250" spans="1:10">
      <c r="A250" s="58">
        <v>138.08000000000001</v>
      </c>
      <c r="B250" s="58">
        <v>139.06</v>
      </c>
      <c r="C250" s="58">
        <v>132.38</v>
      </c>
      <c r="D250" s="58">
        <v>133.32</v>
      </c>
      <c r="E250" s="58">
        <v>9894809</v>
      </c>
      <c r="F250" s="58" t="s">
        <v>197</v>
      </c>
      <c r="G250" s="25">
        <f t="shared" si="0"/>
        <v>3.5703570357035863E-2</v>
      </c>
    </row>
    <row r="251" spans="1:10">
      <c r="A251" s="58">
        <v>133.26</v>
      </c>
      <c r="B251" s="58">
        <v>133.47</v>
      </c>
      <c r="C251" s="58">
        <v>132.11000000000001</v>
      </c>
      <c r="D251" s="58">
        <v>133.065</v>
      </c>
      <c r="E251" s="58">
        <v>4825049</v>
      </c>
      <c r="F251" s="58" t="s">
        <v>198</v>
      </c>
      <c r="G251" s="25">
        <f t="shared" si="0"/>
        <v>1.4654492165482313E-3</v>
      </c>
    </row>
    <row r="252" spans="1:10">
      <c r="A252" s="58">
        <v>132.99</v>
      </c>
      <c r="B252" s="58">
        <v>133.68</v>
      </c>
      <c r="C252" s="58">
        <v>131.99</v>
      </c>
      <c r="D252" s="58">
        <v>133.66</v>
      </c>
      <c r="E252" s="58">
        <v>11278450</v>
      </c>
      <c r="F252" s="58" t="s">
        <v>199</v>
      </c>
      <c r="G252" s="25">
        <f t="shared" si="0"/>
        <v>-5.0127188388446875E-3</v>
      </c>
    </row>
    <row r="253" spans="1:10">
      <c r="A253" s="58">
        <v>132.41</v>
      </c>
      <c r="B253" s="58">
        <v>133.37</v>
      </c>
      <c r="C253" s="58">
        <v>131.6</v>
      </c>
      <c r="D253" s="58">
        <v>132.94999999999999</v>
      </c>
      <c r="E253" s="58">
        <v>4950836</v>
      </c>
      <c r="F253" s="58" t="s">
        <v>200</v>
      </c>
      <c r="G253" s="25">
        <f t="shared" si="0"/>
        <v>-4.0616773223015601E-3</v>
      </c>
    </row>
    <row r="254" spans="1:10">
      <c r="A254" s="58">
        <v>132.28</v>
      </c>
      <c r="B254" s="58">
        <v>134.01</v>
      </c>
      <c r="C254" s="58">
        <v>132.15</v>
      </c>
      <c r="D254" s="58">
        <v>133.69499999999999</v>
      </c>
      <c r="E254" s="58">
        <v>5010926</v>
      </c>
      <c r="F254" s="58" t="s">
        <v>201</v>
      </c>
      <c r="G254" s="25">
        <f t="shared" si="0"/>
        <v>-1.0583791465649361E-2</v>
      </c>
    </row>
    <row r="255" spans="1:10">
      <c r="A255" s="58">
        <v>134.01</v>
      </c>
      <c r="B255" s="58">
        <v>136.41</v>
      </c>
      <c r="C255" s="58">
        <v>133.30500000000001</v>
      </c>
      <c r="D255" s="58">
        <v>135.56</v>
      </c>
      <c r="E255" s="58">
        <v>5084093</v>
      </c>
      <c r="F255" s="58" t="s">
        <v>202</v>
      </c>
      <c r="G255" s="25">
        <f t="shared" si="0"/>
        <v>-1.1434051342579021E-2</v>
      </c>
    </row>
    <row r="256" spans="1:10">
      <c r="A256" s="58">
        <v>135.62</v>
      </c>
      <c r="B256" s="58">
        <v>137.06</v>
      </c>
      <c r="C256" s="58">
        <v>135.25</v>
      </c>
      <c r="D256" s="58">
        <v>135.78</v>
      </c>
      <c r="E256" s="58">
        <v>3409620</v>
      </c>
      <c r="F256" s="58" t="s">
        <v>203</v>
      </c>
      <c r="G256" s="25">
        <f t="shared" si="0"/>
        <v>-1.1783767859773198E-3</v>
      </c>
    </row>
    <row r="257" spans="1:7">
      <c r="A257" s="58">
        <v>136.44999999999999</v>
      </c>
      <c r="B257" s="58">
        <v>136.88999999999999</v>
      </c>
      <c r="C257" s="58">
        <v>135.45500000000001</v>
      </c>
      <c r="D257" s="58">
        <v>135.54499999999999</v>
      </c>
      <c r="E257" s="58">
        <v>5089115</v>
      </c>
      <c r="F257" s="58" t="s">
        <v>204</v>
      </c>
      <c r="G257" s="25">
        <f t="shared" si="0"/>
        <v>6.6767494190120846E-3</v>
      </c>
    </row>
    <row r="258" spans="1:7">
      <c r="A258" s="58">
        <v>135.28</v>
      </c>
      <c r="B258" s="58">
        <v>135.35</v>
      </c>
      <c r="C258" s="58">
        <v>132.93</v>
      </c>
      <c r="D258" s="58">
        <v>134.1</v>
      </c>
      <c r="E258" s="58">
        <v>4100545</v>
      </c>
      <c r="F258" s="58" t="s">
        <v>205</v>
      </c>
      <c r="G258" s="25">
        <f t="shared" si="0"/>
        <v>8.7994034302758539E-3</v>
      </c>
    </row>
    <row r="259" spans="1:7">
      <c r="A259" s="58">
        <v>134.13</v>
      </c>
      <c r="B259" s="58">
        <v>134.84950000000001</v>
      </c>
      <c r="C259" s="58">
        <v>133.33000000000001</v>
      </c>
      <c r="D259" s="58">
        <v>133.56</v>
      </c>
      <c r="E259" s="58">
        <v>3578730</v>
      </c>
      <c r="F259" s="58" t="s">
        <v>206</v>
      </c>
      <c r="G259" s="25">
        <f t="shared" ref="G259:G322" si="1">A259/D259-1</f>
        <v>4.2677448337824497E-3</v>
      </c>
    </row>
    <row r="260" spans="1:7">
      <c r="A260" s="58">
        <v>133.4</v>
      </c>
      <c r="B260" s="58">
        <v>134.29</v>
      </c>
      <c r="C260" s="58">
        <v>130.82499999999999</v>
      </c>
      <c r="D260" s="58">
        <v>133.02000000000001</v>
      </c>
      <c r="E260" s="58">
        <v>6529206</v>
      </c>
      <c r="F260" s="58" t="s">
        <v>207</v>
      </c>
      <c r="G260" s="25">
        <f t="shared" si="1"/>
        <v>2.8567132761989633E-3</v>
      </c>
    </row>
    <row r="261" spans="1:7">
      <c r="A261" s="58">
        <v>133.58000000000001</v>
      </c>
      <c r="B261" s="58">
        <v>135.22</v>
      </c>
      <c r="C261" s="58">
        <v>133.1</v>
      </c>
      <c r="D261" s="58">
        <v>134.79</v>
      </c>
      <c r="E261" s="58">
        <v>3866350</v>
      </c>
      <c r="F261" s="58" t="s">
        <v>208</v>
      </c>
      <c r="G261" s="25">
        <f t="shared" si="1"/>
        <v>-8.9769270717410254E-3</v>
      </c>
    </row>
    <row r="262" spans="1:7">
      <c r="A262" s="58">
        <v>133.94</v>
      </c>
      <c r="B262" s="58">
        <v>134.38</v>
      </c>
      <c r="C262" s="58">
        <v>132.19</v>
      </c>
      <c r="D262" s="58">
        <v>133.38999999999999</v>
      </c>
      <c r="E262" s="58">
        <v>5450902</v>
      </c>
      <c r="F262" s="58" t="s">
        <v>209</v>
      </c>
      <c r="G262" s="25">
        <f t="shared" si="1"/>
        <v>4.123247619761683E-3</v>
      </c>
    </row>
    <row r="263" spans="1:7">
      <c r="A263" s="58">
        <v>132.96</v>
      </c>
      <c r="B263" s="58">
        <v>134.86869999999999</v>
      </c>
      <c r="C263" s="58">
        <v>132.94</v>
      </c>
      <c r="D263" s="58">
        <v>134.41</v>
      </c>
      <c r="E263" s="58">
        <v>3973909</v>
      </c>
      <c r="F263" s="58" t="s">
        <v>210</v>
      </c>
      <c r="G263" s="25">
        <f t="shared" si="1"/>
        <v>-1.0787887805966734E-2</v>
      </c>
    </row>
    <row r="264" spans="1:7">
      <c r="A264" s="58">
        <v>133.71</v>
      </c>
      <c r="B264" s="58">
        <v>133.97</v>
      </c>
      <c r="C264" s="58">
        <v>131.61000000000001</v>
      </c>
      <c r="D264" s="58">
        <v>133.12</v>
      </c>
      <c r="E264" s="58">
        <v>5809410</v>
      </c>
      <c r="F264" s="58" t="s">
        <v>211</v>
      </c>
      <c r="G264" s="25">
        <f t="shared" si="1"/>
        <v>4.4320913461539657E-3</v>
      </c>
    </row>
    <row r="265" spans="1:7">
      <c r="A265" s="58">
        <v>133.57</v>
      </c>
      <c r="B265" s="58">
        <v>133.74</v>
      </c>
      <c r="C265" s="58">
        <v>131.88</v>
      </c>
      <c r="D265" s="58">
        <v>132.86000000000001</v>
      </c>
      <c r="E265" s="58">
        <v>4459072</v>
      </c>
      <c r="F265" s="58" t="s">
        <v>212</v>
      </c>
      <c r="G265" s="25">
        <f t="shared" si="1"/>
        <v>5.3439710973957055E-3</v>
      </c>
    </row>
    <row r="266" spans="1:7">
      <c r="A266" s="58">
        <v>133.58000000000001</v>
      </c>
      <c r="B266" s="58">
        <v>134.125</v>
      </c>
      <c r="C266" s="58">
        <v>131.74</v>
      </c>
      <c r="D266" s="58">
        <v>132.88</v>
      </c>
      <c r="E266" s="58">
        <v>14202336</v>
      </c>
      <c r="F266" s="58" t="s">
        <v>213</v>
      </c>
      <c r="G266" s="25">
        <f t="shared" si="1"/>
        <v>5.2679108970501431E-3</v>
      </c>
    </row>
    <row r="267" spans="1:7">
      <c r="A267" s="58">
        <v>132.85</v>
      </c>
      <c r="B267" s="58">
        <v>133.05500000000001</v>
      </c>
      <c r="C267" s="58">
        <v>131.35</v>
      </c>
      <c r="D267" s="58">
        <v>131.72999999999999</v>
      </c>
      <c r="E267" s="58">
        <v>3078291</v>
      </c>
      <c r="F267" s="58" t="s">
        <v>214</v>
      </c>
      <c r="G267" s="25">
        <f t="shared" si="1"/>
        <v>8.5022394291354164E-3</v>
      </c>
    </row>
    <row r="268" spans="1:7">
      <c r="A268" s="58">
        <v>132.02000000000001</v>
      </c>
      <c r="B268" s="58">
        <v>133.6</v>
      </c>
      <c r="C268" s="58">
        <v>131.84</v>
      </c>
      <c r="D268" s="58">
        <v>133.10499999999999</v>
      </c>
      <c r="E268" s="58">
        <v>3613653</v>
      </c>
      <c r="F268" s="58" t="s">
        <v>215</v>
      </c>
      <c r="G268" s="25">
        <f t="shared" si="1"/>
        <v>-8.1514593741781605E-3</v>
      </c>
    </row>
    <row r="269" spans="1:7">
      <c r="A269" s="58">
        <v>132.94</v>
      </c>
      <c r="B269" s="58">
        <v>133.84</v>
      </c>
      <c r="C269" s="58">
        <v>131.52699999999999</v>
      </c>
      <c r="D269" s="58">
        <v>131.85</v>
      </c>
      <c r="E269" s="58">
        <v>5590292</v>
      </c>
      <c r="F269" s="58" t="s">
        <v>216</v>
      </c>
      <c r="G269" s="25">
        <f t="shared" si="1"/>
        <v>8.2669700417141723E-3</v>
      </c>
    </row>
    <row r="270" spans="1:7">
      <c r="A270" s="58">
        <v>131.30000000000001</v>
      </c>
      <c r="B270" s="58">
        <v>132.16999999999999</v>
      </c>
      <c r="C270" s="58">
        <v>130.43</v>
      </c>
      <c r="D270" s="58">
        <v>131.68</v>
      </c>
      <c r="E270" s="58">
        <v>6145051</v>
      </c>
      <c r="F270" s="58" t="s">
        <v>217</v>
      </c>
      <c r="G270" s="25">
        <f t="shared" si="1"/>
        <v>-2.8857837181044399E-3</v>
      </c>
    </row>
    <row r="271" spans="1:7">
      <c r="A271" s="58">
        <v>131.5</v>
      </c>
      <c r="B271" s="58">
        <v>132.88</v>
      </c>
      <c r="C271" s="58">
        <v>131.16999999999999</v>
      </c>
      <c r="D271" s="58">
        <v>132.46</v>
      </c>
      <c r="E271" s="58">
        <v>6277122</v>
      </c>
      <c r="F271" s="58" t="s">
        <v>218</v>
      </c>
      <c r="G271" s="25">
        <f t="shared" si="1"/>
        <v>-7.247470934621858E-3</v>
      </c>
    </row>
    <row r="272" spans="1:7">
      <c r="A272" s="58">
        <v>133.05000000000001</v>
      </c>
      <c r="B272" s="58">
        <v>136.16999999999999</v>
      </c>
      <c r="C272" s="58">
        <v>133.02000000000001</v>
      </c>
      <c r="D272" s="58">
        <v>135.1</v>
      </c>
      <c r="E272" s="58">
        <v>7209230</v>
      </c>
      <c r="F272" s="58" t="s">
        <v>219</v>
      </c>
      <c r="G272" s="25">
        <f t="shared" si="1"/>
        <v>-1.5173945225758545E-2</v>
      </c>
    </row>
    <row r="273" spans="1:17">
      <c r="A273" s="58">
        <v>135.19999999999999</v>
      </c>
      <c r="B273" s="58">
        <v>135.83000000000001</v>
      </c>
      <c r="C273" s="58">
        <v>134.541</v>
      </c>
      <c r="D273" s="58">
        <v>135</v>
      </c>
      <c r="E273" s="58">
        <v>6455398</v>
      </c>
      <c r="F273" s="58" t="s">
        <v>220</v>
      </c>
      <c r="G273" s="25">
        <f t="shared" si="1"/>
        <v>1.481481481481417E-3</v>
      </c>
      <c r="I273" s="26"/>
      <c r="J273" s="26" t="s">
        <v>26</v>
      </c>
      <c r="K273" s="27">
        <f>MIN(G194:G1449)</f>
        <v>-5.1741217709365239E-2</v>
      </c>
    </row>
    <row r="274" spans="1:17">
      <c r="A274" s="58">
        <v>135.55000000000001</v>
      </c>
      <c r="B274" s="58">
        <v>135.69</v>
      </c>
      <c r="C274" s="58">
        <v>134.53</v>
      </c>
      <c r="D274" s="58">
        <v>135</v>
      </c>
      <c r="E274" s="58">
        <v>8012873</v>
      </c>
      <c r="F274" s="58" t="s">
        <v>221</v>
      </c>
      <c r="G274" s="25">
        <f t="shared" si="1"/>
        <v>4.0740740740741188E-3</v>
      </c>
      <c r="I274" s="26"/>
      <c r="J274" s="26" t="s">
        <v>27</v>
      </c>
      <c r="K274" s="27">
        <f>MAX(G194:G1449)</f>
        <v>4.6359644644133446E-2</v>
      </c>
    </row>
    <row r="275" spans="1:17">
      <c r="A275" s="58">
        <v>134.80000000000001</v>
      </c>
      <c r="B275" s="58">
        <v>135.29</v>
      </c>
      <c r="C275" s="58">
        <v>132.77000000000001</v>
      </c>
      <c r="D275" s="58">
        <v>133.14500000000001</v>
      </c>
      <c r="E275" s="58">
        <v>7129033</v>
      </c>
      <c r="F275" s="58" t="s">
        <v>222</v>
      </c>
      <c r="G275" s="25">
        <f t="shared" si="1"/>
        <v>1.2430057456156884E-2</v>
      </c>
      <c r="I275" s="26"/>
      <c r="J275" s="26" t="s">
        <v>28</v>
      </c>
      <c r="K275" s="27">
        <f>AVERAGE(G194:G1449)</f>
        <v>3.5661813111414667E-4</v>
      </c>
    </row>
    <row r="276" spans="1:17">
      <c r="A276" s="58">
        <v>133.35</v>
      </c>
      <c r="B276" s="58">
        <v>133.42500000000001</v>
      </c>
      <c r="C276" s="58">
        <v>128.85</v>
      </c>
      <c r="D276" s="58">
        <v>128.85</v>
      </c>
      <c r="E276" s="58">
        <v>8406704</v>
      </c>
      <c r="F276" s="58" t="s">
        <v>223</v>
      </c>
      <c r="G276" s="25">
        <f t="shared" si="1"/>
        <v>3.4924330616996402E-2</v>
      </c>
      <c r="I276" s="26"/>
      <c r="J276" s="26" t="s">
        <v>29</v>
      </c>
      <c r="K276" s="27">
        <f>MEDIAN(G194:G1449)</f>
        <v>1.8121907656509784E-4</v>
      </c>
    </row>
    <row r="277" spans="1:17" ht="15">
      <c r="A277" s="58">
        <v>128.56</v>
      </c>
      <c r="B277" s="58">
        <v>130.13999999999999</v>
      </c>
      <c r="C277" s="58">
        <v>128.19</v>
      </c>
      <c r="D277" s="58">
        <v>129.30000000000001</v>
      </c>
      <c r="E277" s="58">
        <v>5267034</v>
      </c>
      <c r="F277" s="58" t="s">
        <v>224</v>
      </c>
      <c r="G277" s="25">
        <f t="shared" si="1"/>
        <v>-5.723124516628042E-3</v>
      </c>
      <c r="I277" s="26"/>
      <c r="J277" s="26" t="s">
        <v>30</v>
      </c>
      <c r="K277" s="27">
        <f>_xlfn.STDEV.P(G194:G1449)</f>
        <v>1.1776730253997267E-2</v>
      </c>
      <c r="M277" s="2"/>
    </row>
    <row r="278" spans="1:17" ht="15">
      <c r="A278" s="58">
        <v>129.05000000000001</v>
      </c>
      <c r="B278" s="58">
        <v>131.75</v>
      </c>
      <c r="C278" s="58">
        <v>128.91999999999999</v>
      </c>
      <c r="D278" s="58">
        <v>131.75</v>
      </c>
      <c r="E278" s="58">
        <v>6344898</v>
      </c>
      <c r="F278" s="58" t="s">
        <v>225</v>
      </c>
      <c r="G278" s="25">
        <f t="shared" si="1"/>
        <v>-2.0493358633775993E-2</v>
      </c>
      <c r="I278" s="26"/>
      <c r="J278" s="28" t="s">
        <v>31</v>
      </c>
      <c r="K278" s="27">
        <f>3*K277</f>
        <v>3.53301907619918E-2</v>
      </c>
      <c r="L278" s="26"/>
      <c r="M278" s="2" t="s">
        <v>92</v>
      </c>
    </row>
    <row r="279" spans="1:17" ht="15">
      <c r="A279" s="58">
        <v>131.99</v>
      </c>
      <c r="B279" s="58">
        <v>133.66</v>
      </c>
      <c r="C279" s="58">
        <v>130.10169999999999</v>
      </c>
      <c r="D279" s="58">
        <v>131.79</v>
      </c>
      <c r="E279" s="58">
        <v>5958544</v>
      </c>
      <c r="F279" s="58" t="s">
        <v>226</v>
      </c>
      <c r="G279" s="25">
        <f t="shared" si="1"/>
        <v>1.5175658244177548E-3</v>
      </c>
      <c r="I279" s="26"/>
      <c r="J279" s="28" t="s">
        <v>32</v>
      </c>
      <c r="K279" s="26">
        <v>0.71</v>
      </c>
      <c r="L279" s="26"/>
      <c r="M279" s="2" t="s">
        <v>33</v>
      </c>
    </row>
    <row r="280" spans="1:17">
      <c r="A280" s="58">
        <v>133.24</v>
      </c>
      <c r="B280" s="58">
        <v>134.97</v>
      </c>
      <c r="C280" s="58">
        <v>133.19</v>
      </c>
      <c r="D280" s="58">
        <v>133.97499999999999</v>
      </c>
      <c r="E280" s="58">
        <v>4976167</v>
      </c>
      <c r="F280" s="58" t="s">
        <v>227</v>
      </c>
      <c r="G280" s="25">
        <f t="shared" si="1"/>
        <v>-5.4860981526403396E-3</v>
      </c>
    </row>
    <row r="281" spans="1:17">
      <c r="A281" s="58">
        <v>134</v>
      </c>
      <c r="B281" s="58">
        <v>135.22</v>
      </c>
      <c r="C281" s="58">
        <v>133.08000000000001</v>
      </c>
      <c r="D281" s="58">
        <v>133.26499999999999</v>
      </c>
      <c r="E281" s="58">
        <v>5994453</v>
      </c>
      <c r="F281" s="58" t="s">
        <v>228</v>
      </c>
      <c r="G281" s="25">
        <f t="shared" si="1"/>
        <v>5.5153266048850735E-3</v>
      </c>
      <c r="I281" s="29" t="s">
        <v>34</v>
      </c>
      <c r="J281" s="30">
        <v>1256</v>
      </c>
    </row>
    <row r="282" spans="1:17" ht="15" thickBot="1">
      <c r="A282" s="58">
        <v>133.94999999999999</v>
      </c>
      <c r="B282" s="58">
        <v>134.43</v>
      </c>
      <c r="C282" s="58">
        <v>132.43119999999999</v>
      </c>
      <c r="D282" s="58">
        <v>133.5</v>
      </c>
      <c r="E282" s="58">
        <v>4925233</v>
      </c>
      <c r="F282" s="58" t="s">
        <v>229</v>
      </c>
      <c r="G282" s="25">
        <f t="shared" si="1"/>
        <v>3.370786516853741E-3</v>
      </c>
      <c r="I282" s="1" t="s">
        <v>35</v>
      </c>
      <c r="L282" s="1" t="s">
        <v>36</v>
      </c>
      <c r="P282" s="1" t="s">
        <v>37</v>
      </c>
    </row>
    <row r="283" spans="1:17" ht="15" customHeight="1">
      <c r="A283" s="58">
        <v>133.06</v>
      </c>
      <c r="B283" s="58">
        <v>133.6</v>
      </c>
      <c r="C283" s="58">
        <v>130.69999999999999</v>
      </c>
      <c r="D283" s="58">
        <v>131.94999999999999</v>
      </c>
      <c r="E283" s="58">
        <v>6290467</v>
      </c>
      <c r="F283" s="58" t="s">
        <v>230</v>
      </c>
      <c r="G283" s="25">
        <f t="shared" si="1"/>
        <v>8.412277377794819E-3</v>
      </c>
      <c r="I283" s="61" t="s">
        <v>38</v>
      </c>
      <c r="J283" s="61" t="s">
        <v>39</v>
      </c>
      <c r="L283" s="31" t="s">
        <v>40</v>
      </c>
      <c r="M283" s="32" t="s">
        <v>41</v>
      </c>
      <c r="P283" s="31" t="s">
        <v>42</v>
      </c>
      <c r="Q283" s="32" t="s">
        <v>43</v>
      </c>
    </row>
    <row r="284" spans="1:17" ht="15">
      <c r="A284" s="58">
        <v>132.6</v>
      </c>
      <c r="B284" s="58">
        <v>133.06</v>
      </c>
      <c r="C284" s="58">
        <v>131.44999999999999</v>
      </c>
      <c r="D284" s="58">
        <v>132.88499999999999</v>
      </c>
      <c r="E284" s="58">
        <v>5752256</v>
      </c>
      <c r="F284" s="58" t="s">
        <v>231</v>
      </c>
      <c r="G284" s="25">
        <f t="shared" si="1"/>
        <v>-2.1447115927305527E-3</v>
      </c>
      <c r="I284" s="59">
        <v>-0.04</v>
      </c>
      <c r="J284">
        <v>1</v>
      </c>
      <c r="L284" s="59">
        <v>-0.04</v>
      </c>
      <c r="M284" s="1">
        <f t="shared" ref="M284:M315" si="2">_xlfn.NORM.DIST(L284,$K$275,$K$277,FALSE)</f>
        <v>9.548152143612601E-2</v>
      </c>
      <c r="O284" s="1" t="s">
        <v>83</v>
      </c>
      <c r="P284" s="25">
        <f>K275</f>
        <v>3.5661813111414667E-4</v>
      </c>
      <c r="Q284" s="1">
        <v>0</v>
      </c>
    </row>
    <row r="285" spans="1:17" ht="15">
      <c r="A285" s="58">
        <v>132.82</v>
      </c>
      <c r="B285" s="58">
        <v>136.80000000000001</v>
      </c>
      <c r="C285" s="58">
        <v>131.33000000000001</v>
      </c>
      <c r="D285" s="58">
        <v>131.91</v>
      </c>
      <c r="E285" s="58">
        <v>9801692</v>
      </c>
      <c r="F285" s="58" t="s">
        <v>232</v>
      </c>
      <c r="G285" s="25">
        <f t="shared" si="1"/>
        <v>6.8986430141761979E-3</v>
      </c>
      <c r="I285" s="59">
        <v>-3.9E-2</v>
      </c>
      <c r="J285">
        <v>1</v>
      </c>
      <c r="L285" s="59">
        <v>-3.9E-2</v>
      </c>
      <c r="M285" s="1">
        <f t="shared" si="2"/>
        <v>0.12726977719888027</v>
      </c>
      <c r="P285" s="25">
        <f>K275</f>
        <v>3.5661813111414667E-4</v>
      </c>
      <c r="Q285" s="1">
        <v>34</v>
      </c>
    </row>
    <row r="286" spans="1:17" ht="15">
      <c r="A286" s="58">
        <v>130.88</v>
      </c>
      <c r="B286" s="58">
        <v>131.63</v>
      </c>
      <c r="C286" s="58">
        <v>128</v>
      </c>
      <c r="D286" s="58">
        <v>129.5</v>
      </c>
      <c r="E286" s="58">
        <v>6769116</v>
      </c>
      <c r="F286" s="58" t="s">
        <v>233</v>
      </c>
      <c r="G286" s="25">
        <f t="shared" si="1"/>
        <v>1.0656370656370706E-2</v>
      </c>
      <c r="I286" s="59">
        <v>-3.7999999999999999E-2</v>
      </c>
      <c r="J286">
        <v>1</v>
      </c>
      <c r="L286" s="59">
        <v>-3.7999999999999999E-2</v>
      </c>
      <c r="M286" s="1">
        <f t="shared" si="2"/>
        <v>0.16842240464068003</v>
      </c>
      <c r="O286" s="39" t="s">
        <v>84</v>
      </c>
      <c r="P286" s="62">
        <f>($K$277*-3)+$K$275</f>
        <v>-3.4973572630877657E-2</v>
      </c>
      <c r="Q286" s="1">
        <v>0</v>
      </c>
    </row>
    <row r="287" spans="1:17" ht="15">
      <c r="A287" s="58">
        <v>130.75</v>
      </c>
      <c r="B287" s="58">
        <v>131.26599999999999</v>
      </c>
      <c r="C287" s="58">
        <v>128.68</v>
      </c>
      <c r="D287" s="58">
        <v>130.91999999999999</v>
      </c>
      <c r="E287" s="58">
        <v>8510507</v>
      </c>
      <c r="F287" s="58" t="s">
        <v>234</v>
      </c>
      <c r="G287" s="25">
        <f t="shared" si="1"/>
        <v>-1.2985029025358585E-3</v>
      </c>
      <c r="I287" s="59">
        <v>-3.6999999999999998E-2</v>
      </c>
      <c r="J287">
        <v>0</v>
      </c>
      <c r="L287" s="59">
        <v>-3.6999999999999998E-2</v>
      </c>
      <c r="M287" s="1">
        <f t="shared" si="2"/>
        <v>0.22128046232259763</v>
      </c>
      <c r="O287" s="40"/>
      <c r="P287" s="62">
        <f>($K$277*-3)+$K$275</f>
        <v>-3.4973572630877657E-2</v>
      </c>
      <c r="Q287" s="1">
        <v>1</v>
      </c>
    </row>
    <row r="288" spans="1:17" ht="15">
      <c r="A288" s="58">
        <v>130.5</v>
      </c>
      <c r="B288" s="58">
        <v>131.27000000000001</v>
      </c>
      <c r="C288" s="58">
        <v>128.80000000000001</v>
      </c>
      <c r="D288" s="58">
        <v>128.88999999999999</v>
      </c>
      <c r="E288" s="58">
        <v>4315327</v>
      </c>
      <c r="F288" s="58" t="s">
        <v>235</v>
      </c>
      <c r="G288" s="25">
        <f t="shared" si="1"/>
        <v>1.2491271626968947E-2</v>
      </c>
      <c r="I288" s="59">
        <v>-3.5999999999999997E-2</v>
      </c>
      <c r="J288">
        <v>0</v>
      </c>
      <c r="L288" s="59">
        <v>-3.5999999999999997E-2</v>
      </c>
      <c r="M288" s="1">
        <f t="shared" si="2"/>
        <v>0.28863892821087617</v>
      </c>
      <c r="O288" s="39" t="s">
        <v>85</v>
      </c>
      <c r="P288" s="62">
        <f>($K$277*-2)+$K$275</f>
        <v>-2.3196842376880387E-2</v>
      </c>
      <c r="Q288" s="1">
        <v>0</v>
      </c>
    </row>
    <row r="289" spans="1:17" ht="15">
      <c r="A289" s="58">
        <v>129.53</v>
      </c>
      <c r="B289" s="58">
        <v>130.12</v>
      </c>
      <c r="C289" s="58">
        <v>128.52000000000001</v>
      </c>
      <c r="D289" s="58">
        <v>129.33000000000001</v>
      </c>
      <c r="E289" s="58">
        <v>3843266</v>
      </c>
      <c r="F289" s="58" t="s">
        <v>236</v>
      </c>
      <c r="G289" s="25">
        <f t="shared" si="1"/>
        <v>1.5464316090620933E-3</v>
      </c>
      <c r="I289" s="59">
        <v>-3.4999999999999996E-2</v>
      </c>
      <c r="J289">
        <v>0</v>
      </c>
      <c r="L289" s="59">
        <v>-3.4999999999999996E-2</v>
      </c>
      <c r="M289" s="1">
        <f t="shared" si="2"/>
        <v>0.37379661388629232</v>
      </c>
      <c r="O289" s="40"/>
      <c r="P289" s="62">
        <f>($K$277*-2)+$K$275</f>
        <v>-2.3196842376880387E-2</v>
      </c>
      <c r="Q289" s="1">
        <v>5</v>
      </c>
    </row>
    <row r="290" spans="1:17" ht="15">
      <c r="A290" s="58">
        <v>128.85</v>
      </c>
      <c r="B290" s="58">
        <v>129.53</v>
      </c>
      <c r="C290" s="58">
        <v>127.235</v>
      </c>
      <c r="D290" s="58">
        <v>129.27000000000001</v>
      </c>
      <c r="E290" s="58">
        <v>4849389</v>
      </c>
      <c r="F290" s="58" t="s">
        <v>237</v>
      </c>
      <c r="G290" s="25">
        <f t="shared" si="1"/>
        <v>-3.2490136922721513E-3</v>
      </c>
      <c r="I290" s="59">
        <v>-3.3999999999999996E-2</v>
      </c>
      <c r="J290">
        <v>3</v>
      </c>
      <c r="L290" s="59">
        <v>-3.3999999999999996E-2</v>
      </c>
      <c r="M290" s="1">
        <f t="shared" si="2"/>
        <v>0.48060075555383835</v>
      </c>
      <c r="O290" s="41" t="s">
        <v>86</v>
      </c>
      <c r="P290" s="62">
        <f>($K$277*-1)+$K$275</f>
        <v>-1.142011212288312E-2</v>
      </c>
      <c r="Q290" s="1">
        <v>0</v>
      </c>
    </row>
    <row r="291" spans="1:17" ht="15">
      <c r="A291" s="58">
        <v>129.38</v>
      </c>
      <c r="B291" s="58">
        <v>130.19999999999999</v>
      </c>
      <c r="C291" s="58">
        <v>128.03</v>
      </c>
      <c r="D291" s="58">
        <v>130.02000000000001</v>
      </c>
      <c r="E291" s="58">
        <v>6595544</v>
      </c>
      <c r="F291" s="58" t="s">
        <v>238</v>
      </c>
      <c r="G291" s="25">
        <f t="shared" si="1"/>
        <v>-4.9223196431319449E-3</v>
      </c>
      <c r="I291" s="59">
        <v>-3.2999999999999995E-2</v>
      </c>
      <c r="J291">
        <v>0</v>
      </c>
      <c r="L291" s="59">
        <v>-3.2999999999999995E-2</v>
      </c>
      <c r="M291" s="1">
        <f t="shared" si="2"/>
        <v>0.61348247662195587</v>
      </c>
      <c r="P291" s="62">
        <f>($K$277*-1)+$K$275</f>
        <v>-1.142011212288312E-2</v>
      </c>
      <c r="Q291" s="1">
        <v>21</v>
      </c>
    </row>
    <row r="292" spans="1:17" ht="15">
      <c r="A292" s="58">
        <v>129.84</v>
      </c>
      <c r="B292" s="58">
        <v>132.88999999999999</v>
      </c>
      <c r="C292" s="58">
        <v>127.13</v>
      </c>
      <c r="D292" s="58">
        <v>132.21</v>
      </c>
      <c r="E292" s="58">
        <v>8777184</v>
      </c>
      <c r="F292" s="58" t="s">
        <v>239</v>
      </c>
      <c r="G292" s="25">
        <f t="shared" si="1"/>
        <v>-1.7926026775584303E-2</v>
      </c>
      <c r="I292" s="59">
        <v>-3.1999999999999994E-2</v>
      </c>
      <c r="J292">
        <v>1</v>
      </c>
      <c r="L292" s="59">
        <v>-3.1999999999999994E-2</v>
      </c>
      <c r="M292" s="1">
        <f t="shared" si="2"/>
        <v>0.77747870334002889</v>
      </c>
      <c r="O292" s="1" t="s">
        <v>87</v>
      </c>
      <c r="P292" s="62">
        <f>($K$277*1)+$K$275</f>
        <v>1.2133348385111414E-2</v>
      </c>
      <c r="Q292" s="1">
        <v>0</v>
      </c>
    </row>
    <row r="293" spans="1:17" ht="15">
      <c r="A293" s="58">
        <v>131.72999999999999</v>
      </c>
      <c r="B293" s="58">
        <v>132.03</v>
      </c>
      <c r="C293" s="58">
        <v>129.93</v>
      </c>
      <c r="D293" s="58">
        <v>129.93</v>
      </c>
      <c r="E293" s="58">
        <v>5837131</v>
      </c>
      <c r="F293" s="58" t="s">
        <v>240</v>
      </c>
      <c r="G293" s="25">
        <f t="shared" si="1"/>
        <v>1.3853613484183569E-2</v>
      </c>
      <c r="I293" s="59">
        <v>-3.0999999999999993E-2</v>
      </c>
      <c r="J293">
        <v>0</v>
      </c>
      <c r="L293" s="59">
        <v>-3.0999999999999993E-2</v>
      </c>
      <c r="M293" s="1">
        <f t="shared" si="2"/>
        <v>0.97823560946548738</v>
      </c>
      <c r="P293" s="62">
        <f>($K$277*1)+$K$275</f>
        <v>1.2133348385111414E-2</v>
      </c>
      <c r="Q293" s="1">
        <v>21</v>
      </c>
    </row>
    <row r="294" spans="1:17" ht="15">
      <c r="A294" s="58">
        <v>129.88999999999999</v>
      </c>
      <c r="B294" s="58">
        <v>131.96</v>
      </c>
      <c r="C294" s="58">
        <v>128.51050000000001</v>
      </c>
      <c r="D294" s="58">
        <v>130.97</v>
      </c>
      <c r="E294" s="58">
        <v>6046937</v>
      </c>
      <c r="F294" s="58" t="s">
        <v>241</v>
      </c>
      <c r="G294" s="25">
        <f t="shared" si="1"/>
        <v>-8.2461632434909227E-3</v>
      </c>
      <c r="I294" s="59">
        <v>-2.9999999999999992E-2</v>
      </c>
      <c r="J294">
        <v>1</v>
      </c>
      <c r="L294" s="59">
        <v>-2.9999999999999992E-2</v>
      </c>
      <c r="M294" s="1">
        <f t="shared" si="2"/>
        <v>1.221988336194076</v>
      </c>
      <c r="O294" s="42" t="s">
        <v>88</v>
      </c>
      <c r="P294" s="62">
        <f>($K$277*2)+$K$275</f>
        <v>2.391007863910868E-2</v>
      </c>
      <c r="Q294" s="1">
        <v>0</v>
      </c>
    </row>
    <row r="295" spans="1:17" ht="15">
      <c r="A295" s="58">
        <v>130.97999999999999</v>
      </c>
      <c r="B295" s="58">
        <v>132.71</v>
      </c>
      <c r="C295" s="58">
        <v>129.66</v>
      </c>
      <c r="D295" s="58">
        <v>130.375</v>
      </c>
      <c r="E295" s="58">
        <v>10474476</v>
      </c>
      <c r="F295" s="58" t="s">
        <v>242</v>
      </c>
      <c r="G295" s="25">
        <f t="shared" si="1"/>
        <v>4.6404602109300086E-3</v>
      </c>
      <c r="I295" s="59">
        <v>-2.8999999999999991E-2</v>
      </c>
      <c r="J295">
        <v>2</v>
      </c>
      <c r="L295" s="59">
        <v>-2.8999999999999991E-2</v>
      </c>
      <c r="M295" s="1">
        <f t="shared" si="2"/>
        <v>1.5155116527297732</v>
      </c>
      <c r="P295" s="62">
        <f>($K$277*2)+$K$275</f>
        <v>2.391007863910868E-2</v>
      </c>
      <c r="Q295" s="1">
        <v>5</v>
      </c>
    </row>
    <row r="296" spans="1:17" ht="15">
      <c r="A296" s="58">
        <v>129.69999999999999</v>
      </c>
      <c r="B296" s="58">
        <v>134.16</v>
      </c>
      <c r="C296" s="58">
        <v>129.01</v>
      </c>
      <c r="D296" s="58">
        <v>129.69499999999999</v>
      </c>
      <c r="E296" s="58">
        <v>13483166</v>
      </c>
      <c r="F296" s="58" t="s">
        <v>243</v>
      </c>
      <c r="G296" s="25">
        <f t="shared" si="1"/>
        <v>3.8551987354917827E-5</v>
      </c>
      <c r="I296" s="59">
        <v>-2.799999999999999E-2</v>
      </c>
      <c r="J296">
        <v>1</v>
      </c>
      <c r="L296" s="59">
        <v>-2.799999999999999E-2</v>
      </c>
      <c r="M296" s="1">
        <f t="shared" si="2"/>
        <v>1.8660364640152005</v>
      </c>
      <c r="O296" s="42" t="s">
        <v>89</v>
      </c>
      <c r="P296" s="62">
        <f>($K$277*3)+$K$275</f>
        <v>3.5686808893105944E-2</v>
      </c>
      <c r="Q296" s="1">
        <v>0</v>
      </c>
    </row>
    <row r="297" spans="1:17" ht="15">
      <c r="A297" s="58">
        <v>126.22</v>
      </c>
      <c r="B297" s="58">
        <v>128.49</v>
      </c>
      <c r="C297" s="58">
        <v>125.595</v>
      </c>
      <c r="D297" s="58">
        <v>127.62</v>
      </c>
      <c r="E297" s="58">
        <v>8639428</v>
      </c>
      <c r="F297" s="58" t="s">
        <v>244</v>
      </c>
      <c r="G297" s="25">
        <f t="shared" si="1"/>
        <v>-1.0970067387556903E-2</v>
      </c>
      <c r="I297" s="59">
        <v>-2.6999999999999989E-2</v>
      </c>
      <c r="J297">
        <v>5</v>
      </c>
      <c r="L297" s="59">
        <v>-2.6999999999999989E-2</v>
      </c>
      <c r="M297" s="1">
        <f t="shared" si="2"/>
        <v>2.281127701973555</v>
      </c>
      <c r="O297" s="42"/>
      <c r="P297" s="62">
        <f>($K$277*3)+$K$275</f>
        <v>3.5686808893105944E-2</v>
      </c>
      <c r="Q297" s="1">
        <v>1</v>
      </c>
    </row>
    <row r="298" spans="1:17" ht="15">
      <c r="A298" s="58">
        <v>127.37000000000005</v>
      </c>
      <c r="B298" s="58">
        <v>127.90741062050647</v>
      </c>
      <c r="C298" s="58">
        <v>126.25516411378563</v>
      </c>
      <c r="D298" s="58">
        <v>126.41442638324482</v>
      </c>
      <c r="E298" s="58">
        <v>7021264.7590484386</v>
      </c>
      <c r="F298" s="58" t="s">
        <v>245</v>
      </c>
      <c r="G298" s="25">
        <f t="shared" si="1"/>
        <v>7.5590551181101695E-3</v>
      </c>
      <c r="I298" s="59">
        <v>-2.5999999999999988E-2</v>
      </c>
      <c r="J298">
        <v>3</v>
      </c>
      <c r="L298" s="59">
        <v>-2.5999999999999988E-2</v>
      </c>
      <c r="M298" s="1">
        <f t="shared" si="2"/>
        <v>2.768520207827418</v>
      </c>
    </row>
    <row r="299" spans="1:17" ht="15">
      <c r="A299" s="58">
        <v>126.29497968115041</v>
      </c>
      <c r="B299" s="58">
        <v>127.92741794310729</v>
      </c>
      <c r="C299" s="58">
        <v>123.46807439824951</v>
      </c>
      <c r="D299" s="58">
        <v>125.47378360425139</v>
      </c>
      <c r="E299" s="58">
        <v>7391097.9919918319</v>
      </c>
      <c r="F299" s="58" t="s">
        <v>246</v>
      </c>
      <c r="G299" s="25">
        <f t="shared" si="1"/>
        <v>6.5447622069729761E-3</v>
      </c>
      <c r="I299" s="59">
        <v>-2.4999999999999988E-2</v>
      </c>
      <c r="J299">
        <v>4</v>
      </c>
      <c r="L299" s="59">
        <v>-2.4999999999999988E-2</v>
      </c>
      <c r="M299" s="1">
        <f t="shared" si="2"/>
        <v>3.3359107562264585</v>
      </c>
    </row>
    <row r="300" spans="1:17" ht="15">
      <c r="A300" s="58">
        <v>123.92595342294473</v>
      </c>
      <c r="B300" s="58">
        <v>126.23525633010321</v>
      </c>
      <c r="C300" s="58">
        <v>121.45738824632703</v>
      </c>
      <c r="D300" s="58">
        <v>125.41903719912479</v>
      </c>
      <c r="E300" s="58">
        <v>11140720.812436204</v>
      </c>
      <c r="F300" s="58" t="s">
        <v>247</v>
      </c>
      <c r="G300" s="25">
        <f t="shared" si="1"/>
        <v>-1.1904761904761862E-2</v>
      </c>
      <c r="I300" s="59">
        <v>-2.3999999999999987E-2</v>
      </c>
      <c r="J300">
        <v>3</v>
      </c>
      <c r="L300" s="59">
        <v>-2.3999999999999987E-2</v>
      </c>
      <c r="M300" s="1">
        <f t="shared" si="2"/>
        <v>3.9907063874267719</v>
      </c>
    </row>
    <row r="301" spans="1:17" ht="15">
      <c r="A301" s="58">
        <v>126.45424195060963</v>
      </c>
      <c r="B301" s="58">
        <v>127.17092216317606</v>
      </c>
      <c r="C301" s="58">
        <v>120.29278290090659</v>
      </c>
      <c r="D301" s="58">
        <v>121.06420951859961</v>
      </c>
      <c r="E301" s="58">
        <v>10226346.802229719</v>
      </c>
      <c r="F301" s="58" t="s">
        <v>248</v>
      </c>
      <c r="G301" s="25">
        <f t="shared" si="1"/>
        <v>4.4522096608427653E-2</v>
      </c>
      <c r="I301" s="59">
        <v>-2.2999999999999986E-2</v>
      </c>
      <c r="J301">
        <v>4</v>
      </c>
      <c r="L301" s="59">
        <v>-2.2999999999999986E-2</v>
      </c>
      <c r="M301" s="1">
        <f t="shared" si="2"/>
        <v>4.7397316647385184</v>
      </c>
    </row>
    <row r="302" spans="1:17" ht="15">
      <c r="A302" s="58">
        <v>123.37848937167871</v>
      </c>
      <c r="B302" s="58">
        <v>127.37000000000005</v>
      </c>
      <c r="C302" s="58">
        <v>121.49720381369184</v>
      </c>
      <c r="D302" s="58">
        <v>126.48410362613322</v>
      </c>
      <c r="E302" s="58">
        <v>9925864.33288843</v>
      </c>
      <c r="F302" s="58" t="s">
        <v>249</v>
      </c>
      <c r="G302" s="25">
        <f t="shared" si="1"/>
        <v>-2.455339576611304E-2</v>
      </c>
      <c r="I302" s="59">
        <v>-2.1999999999999985E-2</v>
      </c>
      <c r="J302">
        <v>5</v>
      </c>
      <c r="L302" s="59">
        <v>-2.1999999999999985E-2</v>
      </c>
      <c r="M302" s="1">
        <f t="shared" si="2"/>
        <v>5.5889002815472013</v>
      </c>
    </row>
    <row r="303" spans="1:17" ht="15">
      <c r="A303" s="58">
        <v>124.28429352922794</v>
      </c>
      <c r="B303" s="58">
        <v>125.9167317911848</v>
      </c>
      <c r="C303" s="58">
        <v>119.91453501094097</v>
      </c>
      <c r="D303" s="58">
        <v>121.72614332603945</v>
      </c>
      <c r="E303" s="58">
        <v>10419379.84203501</v>
      </c>
      <c r="F303" s="58" t="s">
        <v>250</v>
      </c>
      <c r="G303" s="25">
        <f t="shared" si="1"/>
        <v>2.1015618611497144E-2</v>
      </c>
      <c r="I303" s="59">
        <v>-2.0999999999999984E-2</v>
      </c>
      <c r="J303">
        <v>7</v>
      </c>
      <c r="L303" s="59">
        <v>-2.0999999999999984E-2</v>
      </c>
      <c r="M303" s="1">
        <f t="shared" si="2"/>
        <v>6.5428594812657996</v>
      </c>
    </row>
    <row r="304" spans="1:17" ht="15">
      <c r="A304" s="58">
        <v>123.86623007189752</v>
      </c>
      <c r="B304" s="58">
        <v>131.78952797749304</v>
      </c>
      <c r="C304" s="58">
        <v>123.4282588308847</v>
      </c>
      <c r="D304" s="58">
        <v>130.62492263207258</v>
      </c>
      <c r="E304" s="58">
        <v>10826780.290492261</v>
      </c>
      <c r="F304" s="58" t="s">
        <v>251</v>
      </c>
      <c r="G304" s="25">
        <f t="shared" si="1"/>
        <v>-5.1741217709365239E-2</v>
      </c>
      <c r="I304" s="59">
        <v>-1.9999999999999983E-2</v>
      </c>
      <c r="J304">
        <v>10</v>
      </c>
      <c r="L304" s="59">
        <v>-1.9999999999999983E-2</v>
      </c>
      <c r="M304" s="1">
        <f t="shared" si="2"/>
        <v>7.6046188570156863</v>
      </c>
    </row>
    <row r="305" spans="1:13" ht="15">
      <c r="A305" s="58">
        <v>131.02307830572059</v>
      </c>
      <c r="B305" s="58">
        <v>133.02381056580185</v>
      </c>
      <c r="C305" s="58">
        <v>130.87376992810258</v>
      </c>
      <c r="D305" s="58">
        <v>131.3017872772742</v>
      </c>
      <c r="E305" s="58">
        <v>6268126.1757085631</v>
      </c>
      <c r="F305" s="58" t="s">
        <v>252</v>
      </c>
      <c r="G305" s="25">
        <f t="shared" si="1"/>
        <v>-2.122659388977377E-3</v>
      </c>
      <c r="I305" s="59">
        <v>-1.8999999999999982E-2</v>
      </c>
      <c r="J305">
        <v>9</v>
      </c>
      <c r="L305" s="59">
        <v>-1.8999999999999982E-2</v>
      </c>
      <c r="M305" s="1">
        <f t="shared" si="2"/>
        <v>8.7751780603932623</v>
      </c>
    </row>
    <row r="306" spans="1:13" ht="15">
      <c r="A306" s="58">
        <v>131.32169506095661</v>
      </c>
      <c r="B306" s="58">
        <v>131.5207728977806</v>
      </c>
      <c r="C306" s="58">
        <v>129.16289499843708</v>
      </c>
      <c r="D306" s="58">
        <v>130.03764301344174</v>
      </c>
      <c r="E306" s="58">
        <v>4255864.005338775</v>
      </c>
      <c r="F306" s="58" t="s">
        <v>253</v>
      </c>
      <c r="G306" s="25">
        <f t="shared" si="1"/>
        <v>9.8744641763628405E-3</v>
      </c>
      <c r="I306" s="59">
        <v>-1.7999999999999981E-2</v>
      </c>
      <c r="J306">
        <v>6</v>
      </c>
      <c r="L306" s="59">
        <v>-1.7999999999999981E-2</v>
      </c>
      <c r="M306" s="1">
        <f t="shared" si="2"/>
        <v>10.053170537748937</v>
      </c>
    </row>
    <row r="307" spans="1:13" ht="15">
      <c r="A307" s="58">
        <v>131.0828016567678</v>
      </c>
      <c r="B307" s="58">
        <v>132.01846748984062</v>
      </c>
      <c r="C307" s="58">
        <v>130.4756142544546</v>
      </c>
      <c r="D307" s="58">
        <v>131.86418216630202</v>
      </c>
      <c r="E307" s="58">
        <v>4248681.8899269821</v>
      </c>
      <c r="F307" s="58" t="s">
        <v>254</v>
      </c>
      <c r="G307" s="25">
        <f t="shared" si="1"/>
        <v>-5.9256463483675637E-3</v>
      </c>
      <c r="I307" s="59">
        <v>-1.699999999999998E-2</v>
      </c>
      <c r="J307">
        <v>9</v>
      </c>
      <c r="L307" s="59">
        <v>-1.699999999999998E-2</v>
      </c>
      <c r="M307" s="1">
        <f t="shared" si="2"/>
        <v>11.434542382869951</v>
      </c>
    </row>
    <row r="308" spans="1:13" ht="15">
      <c r="A308" s="58">
        <v>132.03837527352303</v>
      </c>
      <c r="B308" s="58">
        <v>132.58583932478905</v>
      </c>
      <c r="C308" s="58">
        <v>130.03764301344174</v>
      </c>
      <c r="D308" s="58">
        <v>130.20685917474216</v>
      </c>
      <c r="E308" s="58">
        <v>9714640.4183088597</v>
      </c>
      <c r="F308" s="58" t="s">
        <v>255</v>
      </c>
      <c r="G308" s="25">
        <f t="shared" si="1"/>
        <v>1.4066202889687407E-2</v>
      </c>
      <c r="I308" s="59">
        <v>-1.599999999999998E-2</v>
      </c>
      <c r="J308">
        <v>15</v>
      </c>
      <c r="L308" s="59">
        <v>-1.599999999999998E-2</v>
      </c>
      <c r="M308" s="1">
        <f t="shared" si="2"/>
        <v>12.912286507818612</v>
      </c>
    </row>
    <row r="309" spans="1:13" ht="15">
      <c r="A309" s="58">
        <v>130.21681306658337</v>
      </c>
      <c r="B309" s="58">
        <v>132.84464051266028</v>
      </c>
      <c r="C309" s="58">
        <v>130.14713582369495</v>
      </c>
      <c r="D309" s="58">
        <v>130.64980736167558</v>
      </c>
      <c r="E309" s="58">
        <v>6739656.3143597366</v>
      </c>
      <c r="F309" s="58" t="s">
        <v>256</v>
      </c>
      <c r="G309" s="25">
        <f t="shared" si="1"/>
        <v>-3.3141594605919922E-3</v>
      </c>
      <c r="I309" s="59">
        <v>-1.4999999999999979E-2</v>
      </c>
      <c r="J309">
        <v>17</v>
      </c>
      <c r="L309" s="59">
        <v>-1.4999999999999979E-2</v>
      </c>
      <c r="M309" s="1">
        <f t="shared" si="2"/>
        <v>14.476252377261345</v>
      </c>
    </row>
    <row r="310" spans="1:13" ht="15">
      <c r="A310" s="58">
        <v>130.74436933416698</v>
      </c>
      <c r="B310" s="58">
        <v>131.32169506095661</v>
      </c>
      <c r="C310" s="58">
        <v>126.07201250390753</v>
      </c>
      <c r="D310" s="58">
        <v>126.58364254454523</v>
      </c>
      <c r="E310" s="58">
        <v>8480547.2418936919</v>
      </c>
      <c r="F310" s="58" t="s">
        <v>257</v>
      </c>
      <c r="G310" s="25">
        <f t="shared" si="1"/>
        <v>3.2869387434143249E-2</v>
      </c>
      <c r="I310" s="59">
        <v>-1.3999999999999978E-2</v>
      </c>
      <c r="J310">
        <v>12</v>
      </c>
      <c r="L310" s="59">
        <v>-1.3999999999999978E-2</v>
      </c>
      <c r="M310" s="1">
        <f t="shared" si="2"/>
        <v>16.113050363705913</v>
      </c>
    </row>
    <row r="311" spans="1:13" ht="15">
      <c r="A311" s="58">
        <v>126.026224601438</v>
      </c>
      <c r="B311" s="58">
        <v>126.75285870584564</v>
      </c>
      <c r="C311" s="58">
        <v>124.54856935761181</v>
      </c>
      <c r="D311" s="58">
        <v>125.16023601125357</v>
      </c>
      <c r="E311" s="58">
        <v>6081726.7221480701</v>
      </c>
      <c r="F311" s="58" t="s">
        <v>258</v>
      </c>
      <c r="G311" s="25">
        <f t="shared" si="1"/>
        <v>6.9190392874185491E-3</v>
      </c>
      <c r="I311" s="59">
        <v>-1.2999999999999977E-2</v>
      </c>
      <c r="J311">
        <v>14</v>
      </c>
      <c r="L311" s="59">
        <v>-1.2999999999999977E-2</v>
      </c>
      <c r="M311" s="1">
        <f t="shared" si="2"/>
        <v>17.80606726983126</v>
      </c>
    </row>
    <row r="312" spans="1:13" ht="15">
      <c r="A312" s="58">
        <v>125.02088152547677</v>
      </c>
      <c r="B312" s="58">
        <v>128.19617302281969</v>
      </c>
      <c r="C312" s="58">
        <v>123.92595342294473</v>
      </c>
      <c r="D312" s="58">
        <v>127.09129102844645</v>
      </c>
      <c r="E312" s="58">
        <v>6758024.004396637</v>
      </c>
      <c r="F312" s="58" t="s">
        <v>259</v>
      </c>
      <c r="G312" s="25">
        <f t="shared" si="1"/>
        <v>-1.6290726817042578E-2</v>
      </c>
      <c r="I312" s="59">
        <v>-1.1999999999999976E-2</v>
      </c>
      <c r="J312">
        <v>18</v>
      </c>
      <c r="L312" s="59">
        <v>-1.1999999999999976E-2</v>
      </c>
      <c r="M312" s="1">
        <f t="shared" si="2"/>
        <v>19.535605725713783</v>
      </c>
    </row>
    <row r="313" spans="1:13" ht="15">
      <c r="A313" s="58">
        <v>126.62345811191003</v>
      </c>
      <c r="B313" s="58">
        <v>127.24557635198505</v>
      </c>
      <c r="C313" s="58">
        <v>126.0162707095968</v>
      </c>
      <c r="D313" s="58">
        <v>126.61848116598942</v>
      </c>
      <c r="E313" s="58">
        <v>5307549.1318206778</v>
      </c>
      <c r="F313" s="58" t="s">
        <v>260</v>
      </c>
      <c r="G313" s="25">
        <f t="shared" si="1"/>
        <v>3.9306631028690475E-5</v>
      </c>
      <c r="I313" s="59">
        <v>-1.0999999999999975E-2</v>
      </c>
      <c r="J313">
        <v>25</v>
      </c>
      <c r="L313" s="59">
        <v>-1.0999999999999975E-2</v>
      </c>
      <c r="M313" s="1">
        <f t="shared" si="2"/>
        <v>21.279155099343612</v>
      </c>
    </row>
    <row r="314" spans="1:13" ht="15">
      <c r="A314" s="58">
        <v>125.7574695217256</v>
      </c>
      <c r="B314" s="58">
        <v>126.22530243826202</v>
      </c>
      <c r="C314" s="58">
        <v>124.91138871522355</v>
      </c>
      <c r="D314" s="58">
        <v>125.74751562988439</v>
      </c>
      <c r="E314" s="58">
        <v>8898087.4428829346</v>
      </c>
      <c r="F314" s="58" t="s">
        <v>261</v>
      </c>
      <c r="G314" s="25">
        <f t="shared" si="1"/>
        <v>7.9157761418535699E-5</v>
      </c>
      <c r="I314" s="59">
        <v>-9.9999999999999742E-3</v>
      </c>
      <c r="J314">
        <v>32</v>
      </c>
      <c r="L314" s="59">
        <v>-9.9999999999999742E-3</v>
      </c>
      <c r="M314" s="1">
        <f t="shared" si="2"/>
        <v>23.011795458894504</v>
      </c>
    </row>
    <row r="315" spans="1:13" ht="15">
      <c r="A315" s="58">
        <v>126.19544076273841</v>
      </c>
      <c r="B315" s="58">
        <v>127.17092216317606</v>
      </c>
      <c r="C315" s="58">
        <v>125.79728508909039</v>
      </c>
      <c r="D315" s="58">
        <v>126.74290481400443</v>
      </c>
      <c r="E315" s="58">
        <v>5182399.088011303</v>
      </c>
      <c r="F315" s="58" t="s">
        <v>262</v>
      </c>
      <c r="G315" s="25">
        <f t="shared" si="1"/>
        <v>-4.3194848032670485E-3</v>
      </c>
      <c r="I315" s="59">
        <v>-8.9999999999999733E-3</v>
      </c>
      <c r="J315">
        <v>24</v>
      </c>
      <c r="L315" s="59">
        <v>-8.9999999999999733E-3</v>
      </c>
      <c r="M315" s="1">
        <f t="shared" si="2"/>
        <v>24.706729295225269</v>
      </c>
    </row>
    <row r="316" spans="1:13" ht="15">
      <c r="A316" s="58">
        <v>126.83248984057524</v>
      </c>
      <c r="B316" s="58">
        <v>127.19082994685846</v>
      </c>
      <c r="C316" s="58">
        <v>125.19507463269778</v>
      </c>
      <c r="D316" s="58">
        <v>125.74751562988439</v>
      </c>
      <c r="E316" s="58">
        <v>5122173.3984454712</v>
      </c>
      <c r="F316" s="58" t="s">
        <v>263</v>
      </c>
      <c r="G316" s="25">
        <f t="shared" si="1"/>
        <v>8.6281959946172826E-3</v>
      </c>
      <c r="I316" s="59">
        <v>-7.9999999999999724E-3</v>
      </c>
      <c r="J316">
        <v>31</v>
      </c>
      <c r="L316" s="59">
        <v>-7.9999999999999724E-3</v>
      </c>
      <c r="M316" s="1">
        <f t="shared" ref="M316:M347" si="3">_xlfn.NORM.DIST(L316,$K$275,$K$277,FALSE)</f>
        <v>26.33592853953299</v>
      </c>
    </row>
    <row r="317" spans="1:13" ht="15">
      <c r="A317" s="58">
        <v>125.7176539543608</v>
      </c>
      <c r="B317" s="58">
        <v>128.02596147233515</v>
      </c>
      <c r="C317" s="58">
        <v>124.32410909659275</v>
      </c>
      <c r="D317" s="58">
        <v>127.36004610815885</v>
      </c>
      <c r="E317" s="58">
        <v>7996710.3591112467</v>
      </c>
      <c r="F317" s="58" t="s">
        <v>264</v>
      </c>
      <c r="G317" s="25">
        <f t="shared" si="1"/>
        <v>-1.2895662368112459E-2</v>
      </c>
      <c r="I317" s="59">
        <v>-6.9999999999999724E-3</v>
      </c>
      <c r="J317">
        <v>30</v>
      </c>
      <c r="L317" s="59">
        <v>-6.9999999999999724E-3</v>
      </c>
      <c r="M317" s="1">
        <f t="shared" si="3"/>
        <v>27.870877343363343</v>
      </c>
    </row>
    <row r="318" spans="1:13" ht="15">
      <c r="A318" s="58">
        <v>127.05147546108165</v>
      </c>
      <c r="B318" s="58">
        <v>127.28041497342926</v>
      </c>
      <c r="C318" s="58">
        <v>125.61811503594879</v>
      </c>
      <c r="D318" s="58">
        <v>126.1357174116912</v>
      </c>
      <c r="E318" s="58">
        <v>6693965.6430870658</v>
      </c>
      <c r="F318" s="58" t="s">
        <v>265</v>
      </c>
      <c r="G318" s="25">
        <f t="shared" si="1"/>
        <v>7.2601010101012164E-3</v>
      </c>
      <c r="I318" s="59">
        <v>-5.9999999999999724E-3</v>
      </c>
      <c r="J318">
        <v>37</v>
      </c>
      <c r="L318" s="59">
        <v>-5.9999999999999724E-3</v>
      </c>
      <c r="M318" s="1">
        <f t="shared" si="3"/>
        <v>29.283384607719483</v>
      </c>
    </row>
    <row r="319" spans="1:13" ht="15">
      <c r="A319" s="58">
        <v>126.12576351985</v>
      </c>
      <c r="B319" s="58">
        <v>127.89755626758368</v>
      </c>
      <c r="C319" s="58">
        <v>123.92595342294473</v>
      </c>
      <c r="D319" s="58">
        <v>124.42364801500474</v>
      </c>
      <c r="E319" s="58">
        <v>9582068.151998112</v>
      </c>
      <c r="F319" s="58" t="s">
        <v>266</v>
      </c>
      <c r="G319" s="25">
        <f t="shared" si="1"/>
        <v>1.3679999999999914E-2</v>
      </c>
      <c r="I319" s="59">
        <v>-4.9999999999999723E-3</v>
      </c>
      <c r="J319">
        <v>50</v>
      </c>
      <c r="L319" s="59">
        <v>-4.9999999999999723E-3</v>
      </c>
      <c r="M319" s="1">
        <f t="shared" si="3"/>
        <v>30.546434831677399</v>
      </c>
    </row>
    <row r="320" spans="1:13" ht="15">
      <c r="A320" s="58">
        <v>129.29110112535173</v>
      </c>
      <c r="B320" s="58">
        <v>130.24657520318854</v>
      </c>
      <c r="C320" s="58">
        <v>128.40520475148489</v>
      </c>
      <c r="D320" s="58">
        <v>129.67930290715856</v>
      </c>
      <c r="E320" s="58">
        <v>9054603.107796181</v>
      </c>
      <c r="F320" s="58" t="s">
        <v>267</v>
      </c>
      <c r="G320" s="25">
        <f t="shared" si="1"/>
        <v>-2.9935523487872873E-3</v>
      </c>
      <c r="I320" s="59">
        <v>-3.9999999999999723E-3</v>
      </c>
      <c r="J320">
        <v>31</v>
      </c>
      <c r="L320" s="59">
        <v>-3.9999999999999723E-3</v>
      </c>
      <c r="M320" s="1">
        <f t="shared" si="3"/>
        <v>31.635041931991204</v>
      </c>
    </row>
    <row r="321" spans="1:13" ht="15">
      <c r="A321" s="58">
        <v>129.67930290715856</v>
      </c>
      <c r="B321" s="58">
        <v>131.99855970615826</v>
      </c>
      <c r="C321" s="58">
        <v>128.84317599249772</v>
      </c>
      <c r="D321" s="58">
        <v>131.68003516723982</v>
      </c>
      <c r="E321" s="58">
        <v>6802344.3573839962</v>
      </c>
      <c r="F321" s="58" t="s">
        <v>268</v>
      </c>
      <c r="G321" s="25">
        <f t="shared" si="1"/>
        <v>-1.5193892206515902E-2</v>
      </c>
      <c r="I321" s="59">
        <v>-2.9999999999999723E-3</v>
      </c>
      <c r="J321">
        <v>52</v>
      </c>
      <c r="L321" s="59">
        <v>-2.9999999999999723E-3</v>
      </c>
      <c r="M321" s="1">
        <f t="shared" si="3"/>
        <v>32.527068615252894</v>
      </c>
    </row>
    <row r="322" spans="1:13" ht="15">
      <c r="A322" s="58">
        <v>132.04832916536424</v>
      </c>
      <c r="B322" s="58">
        <v>136.42804157549241</v>
      </c>
      <c r="C322" s="58">
        <v>131.69994295092224</v>
      </c>
      <c r="D322" s="58">
        <v>136.42804157549241</v>
      </c>
      <c r="E322" s="58">
        <v>9356732.1692706253</v>
      </c>
      <c r="F322" s="58" t="s">
        <v>269</v>
      </c>
      <c r="G322" s="25">
        <f t="shared" si="1"/>
        <v>-3.2102728731942309E-2</v>
      </c>
      <c r="I322" s="59">
        <v>-1.9999999999999723E-3</v>
      </c>
      <c r="J322">
        <v>40</v>
      </c>
      <c r="L322" s="59">
        <v>-1.9999999999999723E-3</v>
      </c>
      <c r="M322" s="1">
        <f t="shared" si="3"/>
        <v>33.203973899793944</v>
      </c>
    </row>
    <row r="323" spans="1:13" ht="15">
      <c r="A323" s="58">
        <v>136.72665833072844</v>
      </c>
      <c r="B323" s="58">
        <v>138.50840497030327</v>
      </c>
      <c r="C323" s="58">
        <v>135.80094638949677</v>
      </c>
      <c r="D323" s="58">
        <v>135.80094638949677</v>
      </c>
      <c r="E323" s="58">
        <v>7060541.8585224114</v>
      </c>
      <c r="F323" s="58" t="s">
        <v>270</v>
      </c>
      <c r="G323" s="25">
        <f t="shared" ref="G323:G386" si="4">A323/D323-1</f>
        <v>6.8166825478268578E-3</v>
      </c>
      <c r="I323" s="59">
        <v>-9.9999999999997227E-4</v>
      </c>
      <c r="J323">
        <v>60</v>
      </c>
      <c r="L323" s="59">
        <v>-9.9999999999997227E-4</v>
      </c>
      <c r="M323" s="1">
        <f t="shared" si="3"/>
        <v>33.651453581924329</v>
      </c>
    </row>
    <row r="324" spans="1:13" ht="15">
      <c r="A324" s="58">
        <v>136.50767271022198</v>
      </c>
      <c r="B324" s="58">
        <v>136.84610503282281</v>
      </c>
      <c r="C324" s="58">
        <v>133.3373581587997</v>
      </c>
      <c r="D324" s="58">
        <v>133.88482221006569</v>
      </c>
      <c r="E324" s="58">
        <v>8293340.0640653176</v>
      </c>
      <c r="F324" s="58" t="s">
        <v>271</v>
      </c>
      <c r="G324" s="25">
        <f t="shared" si="4"/>
        <v>1.9590349801122509E-2</v>
      </c>
      <c r="I324" s="59">
        <v>2.7755575615628914E-17</v>
      </c>
      <c r="J324">
        <v>52</v>
      </c>
      <c r="L324" s="59">
        <v>2.7755575615628914E-17</v>
      </c>
      <c r="M324" s="1">
        <f t="shared" si="3"/>
        <v>33.859942762017887</v>
      </c>
    </row>
    <row r="325" spans="1:13" ht="15">
      <c r="A325" s="58">
        <v>134.45717099093474</v>
      </c>
      <c r="B325" s="58">
        <v>137.08002149109103</v>
      </c>
      <c r="C325" s="58">
        <v>132.84215203969998</v>
      </c>
      <c r="D325" s="58">
        <v>136.42804157549241</v>
      </c>
      <c r="E325" s="58">
        <v>9226718.7011070065</v>
      </c>
      <c r="F325" s="58" t="s">
        <v>272</v>
      </c>
      <c r="G325" s="25">
        <f t="shared" si="4"/>
        <v>-1.4446227929374E-2</v>
      </c>
      <c r="I325" s="59">
        <v>1.0000000000000278E-3</v>
      </c>
      <c r="J325">
        <v>29</v>
      </c>
      <c r="L325" s="59">
        <v>1.0000000000000278E-3</v>
      </c>
      <c r="M325" s="1">
        <f t="shared" si="3"/>
        <v>33.824955776164842</v>
      </c>
    </row>
    <row r="326" spans="1:13" ht="15">
      <c r="A326" s="58">
        <v>137.07504454517044</v>
      </c>
      <c r="B326" s="58">
        <v>137.86140200062525</v>
      </c>
      <c r="C326" s="58">
        <v>135.40776766176936</v>
      </c>
      <c r="D326" s="58">
        <v>136.26380236011261</v>
      </c>
      <c r="E326" s="58">
        <v>8194469.1886629472</v>
      </c>
      <c r="F326" s="58" t="s">
        <v>273</v>
      </c>
      <c r="G326" s="25">
        <f t="shared" si="4"/>
        <v>5.9534679864130524E-3</v>
      </c>
      <c r="I326" s="59">
        <v>2.0000000000000278E-3</v>
      </c>
      <c r="J326">
        <v>48</v>
      </c>
      <c r="L326" s="59">
        <v>2.0000000000000278E-3</v>
      </c>
      <c r="M326" s="1">
        <f t="shared" si="3"/>
        <v>33.547246660573627</v>
      </c>
    </row>
    <row r="327" spans="1:13" ht="15">
      <c r="A327" s="58">
        <v>136.94564395123484</v>
      </c>
      <c r="B327" s="58">
        <v>140.57881447327296</v>
      </c>
      <c r="C327" s="58">
        <v>136.89587449202881</v>
      </c>
      <c r="D327" s="58">
        <v>140.34987496092535</v>
      </c>
      <c r="E327" s="58">
        <v>8395194.6970244125</v>
      </c>
      <c r="F327" s="58" t="s">
        <v>274</v>
      </c>
      <c r="G327" s="25">
        <f t="shared" si="4"/>
        <v>-2.4255319148935972E-2</v>
      </c>
      <c r="I327" s="59">
        <v>3.0000000000000278E-3</v>
      </c>
      <c r="J327">
        <v>57</v>
      </c>
      <c r="L327" s="59">
        <v>3.0000000000000278E-3</v>
      </c>
      <c r="M327" s="1">
        <f t="shared" si="3"/>
        <v>33.03278213156819</v>
      </c>
    </row>
    <row r="328" spans="1:13" ht="15">
      <c r="A328" s="58">
        <v>139.57347139731172</v>
      </c>
      <c r="B328" s="58">
        <v>140.19061269146616</v>
      </c>
      <c r="C328" s="58">
        <v>137.37366130040644</v>
      </c>
      <c r="D328" s="58">
        <v>137.53292356986563</v>
      </c>
      <c r="E328" s="58">
        <v>7624923.1165894605</v>
      </c>
      <c r="F328" s="58" t="s">
        <v>275</v>
      </c>
      <c r="G328" s="25">
        <f t="shared" si="4"/>
        <v>1.4836795252225699E-2</v>
      </c>
      <c r="I328" s="59">
        <v>4.0000000000000278E-3</v>
      </c>
      <c r="J328">
        <v>50</v>
      </c>
      <c r="L328" s="59">
        <v>4.0000000000000278E-3</v>
      </c>
      <c r="M328" s="1">
        <f t="shared" si="3"/>
        <v>32.292528433461435</v>
      </c>
    </row>
    <row r="329" spans="1:13" ht="15">
      <c r="A329" s="58">
        <v>137.37366130040644</v>
      </c>
      <c r="B329" s="58">
        <v>137.73200140668965</v>
      </c>
      <c r="C329" s="58">
        <v>134.12869256017512</v>
      </c>
      <c r="D329" s="58">
        <v>135.77108471397318</v>
      </c>
      <c r="E329" s="58">
        <v>8796705.9916777853</v>
      </c>
      <c r="F329" s="58" t="s">
        <v>276</v>
      </c>
      <c r="G329" s="25">
        <f t="shared" si="4"/>
        <v>1.1803519061583501E-2</v>
      </c>
      <c r="I329" s="59">
        <v>5.0000000000000279E-3</v>
      </c>
      <c r="J329">
        <v>52</v>
      </c>
      <c r="L329" s="59">
        <v>5.0000000000000279E-3</v>
      </c>
      <c r="M329" s="1">
        <f t="shared" si="3"/>
        <v>31.342062689213463</v>
      </c>
    </row>
    <row r="330" spans="1:13" ht="15">
      <c r="A330" s="58">
        <v>135.24352844638958</v>
      </c>
      <c r="B330" s="58">
        <v>136.358364332604</v>
      </c>
      <c r="C330" s="58">
        <v>134.59652547671152</v>
      </c>
      <c r="D330" s="58">
        <v>135.09422006877156</v>
      </c>
      <c r="E330" s="58">
        <v>4913338.4991756277</v>
      </c>
      <c r="F330" s="58" t="s">
        <v>277</v>
      </c>
      <c r="G330" s="25">
        <f t="shared" si="4"/>
        <v>1.105216622458105E-3</v>
      </c>
      <c r="I330" s="59">
        <v>6.0000000000000279E-3</v>
      </c>
      <c r="J330">
        <v>36</v>
      </c>
      <c r="L330" s="59">
        <v>6.0000000000000279E-3</v>
      </c>
      <c r="M330" s="1">
        <f t="shared" si="3"/>
        <v>30.201027990820471</v>
      </c>
    </row>
    <row r="331" spans="1:13" ht="15">
      <c r="A331" s="58">
        <v>135.33311347296038</v>
      </c>
      <c r="B331" s="58">
        <v>135.68149968740238</v>
      </c>
      <c r="C331" s="58">
        <v>133.6524983744921</v>
      </c>
      <c r="D331" s="58">
        <v>134.52187128790254</v>
      </c>
      <c r="E331" s="58">
        <v>5413225.3855695976</v>
      </c>
      <c r="F331" s="58" t="s">
        <v>278</v>
      </c>
      <c r="G331" s="25">
        <f t="shared" si="4"/>
        <v>6.0305597691368007E-3</v>
      </c>
      <c r="I331" s="59">
        <v>7.0000000000000279E-3</v>
      </c>
      <c r="J331">
        <v>47</v>
      </c>
      <c r="L331" s="59">
        <v>7.0000000000000279E-3</v>
      </c>
      <c r="M331" s="1">
        <f t="shared" si="3"/>
        <v>28.892458847152263</v>
      </c>
    </row>
    <row r="332" spans="1:13" ht="15">
      <c r="A332" s="58">
        <v>135.19375898718354</v>
      </c>
      <c r="B332" s="58">
        <v>135.82085417317916</v>
      </c>
      <c r="C332" s="58">
        <v>133.74049077836833</v>
      </c>
      <c r="D332" s="58">
        <v>134.75578774617074</v>
      </c>
      <c r="E332" s="58">
        <v>6415718.6976525057</v>
      </c>
      <c r="F332" s="58" t="s">
        <v>279</v>
      </c>
      <c r="G332" s="25">
        <f t="shared" si="4"/>
        <v>3.2501107992317646E-3</v>
      </c>
      <c r="I332" s="59">
        <v>8.0000000000000279E-3</v>
      </c>
      <c r="J332">
        <v>40</v>
      </c>
      <c r="L332" s="59">
        <v>8.0000000000000279E-3</v>
      </c>
      <c r="M332" s="1">
        <f t="shared" si="3"/>
        <v>27.442009320319507</v>
      </c>
    </row>
    <row r="333" spans="1:13" ht="15">
      <c r="A333" s="58">
        <v>134.32777039699911</v>
      </c>
      <c r="B333" s="58">
        <v>135.96010912003757</v>
      </c>
      <c r="C333" s="58">
        <v>133.68076742732111</v>
      </c>
      <c r="D333" s="58">
        <v>133.86989137230393</v>
      </c>
      <c r="E333" s="58">
        <v>5974742.4373086253</v>
      </c>
      <c r="F333" s="58" t="s">
        <v>280</v>
      </c>
      <c r="G333" s="25">
        <f t="shared" si="4"/>
        <v>3.4203286489700169E-3</v>
      </c>
      <c r="I333" s="59">
        <v>9.0000000000000288E-3</v>
      </c>
      <c r="J333">
        <v>31</v>
      </c>
      <c r="L333" s="59">
        <v>9.0000000000000288E-3</v>
      </c>
      <c r="M333" s="1">
        <f t="shared" si="3"/>
        <v>25.877119908798726</v>
      </c>
    </row>
    <row r="334" spans="1:13" ht="15">
      <c r="A334" s="58">
        <v>134.29790872147552</v>
      </c>
      <c r="B334" s="58">
        <v>134.78564942169433</v>
      </c>
      <c r="C334" s="58">
        <v>131.79948186933422</v>
      </c>
      <c r="D334" s="58">
        <v>131.79948186933422</v>
      </c>
      <c r="E334" s="58">
        <v>7193272.8567166487</v>
      </c>
      <c r="F334" s="58" t="s">
        <v>281</v>
      </c>
      <c r="G334" s="25">
        <f t="shared" si="4"/>
        <v>1.8956272184880385E-2</v>
      </c>
      <c r="I334" s="59">
        <v>1.000000000000003E-2</v>
      </c>
      <c r="J334">
        <v>28</v>
      </c>
      <c r="L334" s="59">
        <v>1.000000000000003E-2</v>
      </c>
      <c r="M334" s="1">
        <f t="shared" si="3"/>
        <v>24.226160806335209</v>
      </c>
    </row>
    <row r="335" spans="1:13" ht="15">
      <c r="A335" s="58">
        <v>132.55597764926543</v>
      </c>
      <c r="B335" s="58">
        <v>132.66547045951867</v>
      </c>
      <c r="C335" s="58">
        <v>130.74436933416698</v>
      </c>
      <c r="D335" s="58">
        <v>131.1226172241326</v>
      </c>
      <c r="E335" s="58">
        <v>5070262.0447515091</v>
      </c>
      <c r="F335" s="58" t="s">
        <v>282</v>
      </c>
      <c r="G335" s="25">
        <f t="shared" si="4"/>
        <v>1.0931450694602329E-2</v>
      </c>
      <c r="I335" s="59">
        <v>1.1000000000000031E-2</v>
      </c>
      <c r="J335">
        <v>27</v>
      </c>
      <c r="L335" s="59">
        <v>1.1000000000000031E-2</v>
      </c>
      <c r="M335" s="1">
        <f t="shared" si="3"/>
        <v>22.517588566841308</v>
      </c>
    </row>
    <row r="336" spans="1:13" ht="15">
      <c r="A336" s="58">
        <v>131.5207728977806</v>
      </c>
      <c r="B336" s="58">
        <v>131.6501734917162</v>
      </c>
      <c r="C336" s="58">
        <v>129.40059393560495</v>
      </c>
      <c r="D336" s="58">
        <v>129.66437206939673</v>
      </c>
      <c r="E336" s="58">
        <v>3824623.6353929481</v>
      </c>
      <c r="F336" s="58" t="s">
        <v>283</v>
      </c>
      <c r="G336" s="25">
        <f t="shared" si="4"/>
        <v>1.4316969254980272E-2</v>
      </c>
      <c r="I336" s="59">
        <v>1.2000000000000031E-2</v>
      </c>
      <c r="J336">
        <v>23</v>
      </c>
      <c r="L336" s="59">
        <v>1.2000000000000031E-2</v>
      </c>
      <c r="M336" s="1">
        <f t="shared" si="3"/>
        <v>20.779150575568671</v>
      </c>
    </row>
    <row r="337" spans="1:13" ht="15">
      <c r="A337" s="58">
        <v>129.57976398874655</v>
      </c>
      <c r="B337" s="58">
        <v>130.21681306658337</v>
      </c>
      <c r="C337" s="58">
        <v>127.65866286339487</v>
      </c>
      <c r="D337" s="58">
        <v>129.16170053141613</v>
      </c>
      <c r="E337" s="58">
        <v>5140000.5963727701</v>
      </c>
      <c r="F337" s="58" t="s">
        <v>284</v>
      </c>
      <c r="G337" s="25">
        <f t="shared" si="4"/>
        <v>3.2367447595560428E-3</v>
      </c>
      <c r="I337" s="59">
        <v>1.3000000000000032E-2</v>
      </c>
      <c r="J337">
        <v>21</v>
      </c>
      <c r="L337" s="59">
        <v>1.3000000000000032E-2</v>
      </c>
      <c r="M337" s="1">
        <f t="shared" si="3"/>
        <v>19.037167338284718</v>
      </c>
    </row>
    <row r="338" spans="1:13" ht="15">
      <c r="A338" s="58">
        <v>130.00778133791817</v>
      </c>
      <c r="B338" s="58">
        <v>132.03837527352303</v>
      </c>
      <c r="C338" s="58">
        <v>129.91819631134737</v>
      </c>
      <c r="D338" s="58">
        <v>131.714873788684</v>
      </c>
      <c r="E338" s="58">
        <v>3751216.1670723073</v>
      </c>
      <c r="F338" s="58" t="s">
        <v>285</v>
      </c>
      <c r="G338" s="25">
        <f t="shared" si="4"/>
        <v>-1.2960513886264624E-2</v>
      </c>
      <c r="I338" s="59">
        <v>1.4000000000000033E-2</v>
      </c>
      <c r="J338">
        <v>17</v>
      </c>
      <c r="L338" s="59">
        <v>1.4000000000000033E-2</v>
      </c>
      <c r="M338" s="1">
        <f t="shared" si="3"/>
        <v>17.315916831736224</v>
      </c>
    </row>
    <row r="339" spans="1:13" ht="15">
      <c r="A339" s="58">
        <v>131.18234057517981</v>
      </c>
      <c r="B339" s="58">
        <v>131.4311878712098</v>
      </c>
      <c r="C339" s="58">
        <v>129.94805798687096</v>
      </c>
      <c r="D339" s="58">
        <v>130.32630587683659</v>
      </c>
      <c r="E339" s="58">
        <v>4187699.7123341425</v>
      </c>
      <c r="F339" s="58" t="s">
        <v>286</v>
      </c>
      <c r="G339" s="25">
        <f t="shared" si="4"/>
        <v>6.56839532574649E-3</v>
      </c>
      <c r="I339" s="59">
        <v>1.5000000000000034E-2</v>
      </c>
      <c r="J339">
        <v>23</v>
      </c>
      <c r="L339" s="59">
        <v>1.5000000000000034E-2</v>
      </c>
      <c r="M339" s="1">
        <f t="shared" si="3"/>
        <v>15.637138460124561</v>
      </c>
    </row>
    <row r="340" spans="1:13" ht="15">
      <c r="A340" s="58">
        <v>129.88833463582375</v>
      </c>
      <c r="B340" s="58">
        <v>130.19690528290099</v>
      </c>
      <c r="C340" s="58">
        <v>128.6440981556737</v>
      </c>
      <c r="D340" s="58">
        <v>129.88833463582375</v>
      </c>
      <c r="E340" s="58">
        <v>4725589.824605478</v>
      </c>
      <c r="F340" s="58" t="s">
        <v>287</v>
      </c>
      <c r="G340" s="25">
        <f t="shared" si="4"/>
        <v>0</v>
      </c>
      <c r="I340" s="59">
        <v>1.6000000000000035E-2</v>
      </c>
      <c r="J340">
        <v>10</v>
      </c>
      <c r="L340" s="59">
        <v>1.6000000000000035E-2</v>
      </c>
      <c r="M340" s="1">
        <f t="shared" si="3"/>
        <v>14.019667015773676</v>
      </c>
    </row>
    <row r="341" spans="1:13" ht="15">
      <c r="A341" s="58">
        <v>130.83395436073778</v>
      </c>
      <c r="B341" s="58">
        <v>131.44114176305104</v>
      </c>
      <c r="C341" s="58">
        <v>129.86842685214134</v>
      </c>
      <c r="D341" s="58">
        <v>130.59506095654896</v>
      </c>
      <c r="E341" s="58">
        <v>5338706.7940645339</v>
      </c>
      <c r="F341" s="58" t="s">
        <v>288</v>
      </c>
      <c r="G341" s="25">
        <f t="shared" si="4"/>
        <v>1.8292682926830395E-3</v>
      </c>
      <c r="I341" s="59">
        <v>1.7000000000000036E-2</v>
      </c>
      <c r="J341">
        <v>15</v>
      </c>
      <c r="L341" s="59">
        <v>1.7000000000000036E-2</v>
      </c>
      <c r="M341" s="1">
        <f t="shared" si="3"/>
        <v>12.479199923418268</v>
      </c>
    </row>
    <row r="342" spans="1:13" ht="15">
      <c r="A342" s="58">
        <v>130.70455376680218</v>
      </c>
      <c r="B342" s="58">
        <v>130.8240004688966</v>
      </c>
      <c r="C342" s="58">
        <v>128.00704907783688</v>
      </c>
      <c r="D342" s="58">
        <v>128.47985894029389</v>
      </c>
      <c r="E342" s="58">
        <v>5529130.8041139962</v>
      </c>
      <c r="F342" s="58" t="s">
        <v>289</v>
      </c>
      <c r="G342" s="25">
        <f t="shared" si="4"/>
        <v>1.7315514235909379E-2</v>
      </c>
      <c r="I342" s="59">
        <v>1.8000000000000037E-2</v>
      </c>
      <c r="J342">
        <v>7</v>
      </c>
      <c r="L342" s="59">
        <v>1.8000000000000037E-2</v>
      </c>
      <c r="M342" s="1">
        <f t="shared" si="3"/>
        <v>11.028194390798228</v>
      </c>
    </row>
    <row r="343" spans="1:13" ht="15">
      <c r="A343" s="58">
        <v>128.47488199437331</v>
      </c>
      <c r="B343" s="58">
        <v>128.89294545170372</v>
      </c>
      <c r="C343" s="58">
        <v>127.47949281025325</v>
      </c>
      <c r="D343" s="58">
        <v>127.47949281025325</v>
      </c>
      <c r="E343" s="58">
        <v>6485226.1838737503</v>
      </c>
      <c r="F343" s="58" t="s">
        <v>290</v>
      </c>
      <c r="G343" s="25">
        <f t="shared" si="4"/>
        <v>7.8082298742876421E-3</v>
      </c>
      <c r="I343" s="59">
        <v>1.9000000000000038E-2</v>
      </c>
      <c r="J343">
        <v>9</v>
      </c>
      <c r="L343" s="59">
        <v>1.9000000000000038E-2</v>
      </c>
      <c r="M343" s="1">
        <f t="shared" si="3"/>
        <v>9.6758852573088898</v>
      </c>
    </row>
    <row r="344" spans="1:13" ht="15">
      <c r="A344" s="58">
        <v>127.62880118787126</v>
      </c>
      <c r="B344" s="58">
        <v>131.29183338543302</v>
      </c>
      <c r="C344" s="58">
        <v>127.54917005314165</v>
      </c>
      <c r="D344" s="58">
        <v>131.19229446702101</v>
      </c>
      <c r="E344" s="58">
        <v>6499163.4460233934</v>
      </c>
      <c r="F344" s="58" t="s">
        <v>291</v>
      </c>
      <c r="G344" s="25">
        <f t="shared" si="4"/>
        <v>-2.716236722306542E-2</v>
      </c>
      <c r="I344" s="59">
        <v>2.0000000000000039E-2</v>
      </c>
      <c r="J344">
        <v>11</v>
      </c>
      <c r="L344" s="59">
        <v>2.0000000000000039E-2</v>
      </c>
      <c r="M344" s="1">
        <f t="shared" si="3"/>
        <v>8.4284096001317668</v>
      </c>
    </row>
    <row r="345" spans="1:13" ht="15">
      <c r="A345" s="58">
        <v>131.45109565489221</v>
      </c>
      <c r="B345" s="58">
        <v>131.88906689590502</v>
      </c>
      <c r="C345" s="58">
        <v>128.35543529227888</v>
      </c>
      <c r="D345" s="58">
        <v>128.83322210065651</v>
      </c>
      <c r="E345" s="58">
        <v>8720656.3407395743</v>
      </c>
      <c r="F345" s="58" t="s">
        <v>292</v>
      </c>
      <c r="G345" s="25">
        <f t="shared" si="4"/>
        <v>2.031986401916086E-2</v>
      </c>
      <c r="I345" s="59">
        <v>2.1000000000000039E-2</v>
      </c>
      <c r="J345">
        <v>5</v>
      </c>
      <c r="L345" s="59">
        <v>2.1000000000000039E-2</v>
      </c>
      <c r="M345" s="1">
        <f t="shared" si="3"/>
        <v>7.2890206941768696</v>
      </c>
    </row>
    <row r="346" spans="1:13" ht="15">
      <c r="A346" s="58">
        <v>128.5047436698969</v>
      </c>
      <c r="B346" s="58">
        <v>128.60428258830891</v>
      </c>
      <c r="C346" s="58">
        <v>125.42222244451398</v>
      </c>
      <c r="D346" s="58">
        <v>125.852031494217</v>
      </c>
      <c r="E346" s="58">
        <v>6989904.1611054381</v>
      </c>
      <c r="F346" s="58" t="s">
        <v>293</v>
      </c>
      <c r="G346" s="25">
        <f t="shared" si="4"/>
        <v>2.1078024281251162E-2</v>
      </c>
      <c r="I346" s="59">
        <v>2.200000000000004E-2</v>
      </c>
      <c r="J346">
        <v>6</v>
      </c>
      <c r="L346" s="59">
        <v>2.200000000000004E-2</v>
      </c>
      <c r="M346" s="1">
        <f t="shared" si="3"/>
        <v>6.2583717949457984</v>
      </c>
    </row>
    <row r="347" spans="1:13" ht="15">
      <c r="A347" s="58">
        <v>127.85774070021887</v>
      </c>
      <c r="B347" s="58">
        <v>128.35543529227888</v>
      </c>
      <c r="C347" s="58">
        <v>125.42899109096599</v>
      </c>
      <c r="D347" s="58">
        <v>126.06604016880281</v>
      </c>
      <c r="E347" s="58">
        <v>5747099.8191096783</v>
      </c>
      <c r="F347" s="58" t="s">
        <v>294</v>
      </c>
      <c r="G347" s="25">
        <f t="shared" si="4"/>
        <v>1.4212396367943025E-2</v>
      </c>
      <c r="I347" s="59">
        <v>2.3000000000000041E-2</v>
      </c>
      <c r="J347">
        <v>7</v>
      </c>
      <c r="L347" s="59">
        <v>2.3000000000000041E-2</v>
      </c>
      <c r="M347" s="1">
        <f t="shared" si="3"/>
        <v>5.3348493915029698</v>
      </c>
    </row>
    <row r="348" spans="1:13" ht="15">
      <c r="A348" s="58">
        <v>127.34013832447647</v>
      </c>
      <c r="B348" s="58">
        <v>128.16631134729607</v>
      </c>
      <c r="C348" s="58">
        <v>127.09129102844645</v>
      </c>
      <c r="D348" s="58">
        <v>127.77810956548927</v>
      </c>
      <c r="E348" s="58">
        <v>7162515.0380780371</v>
      </c>
      <c r="F348" s="58" t="s">
        <v>295</v>
      </c>
      <c r="G348" s="25">
        <f t="shared" si="4"/>
        <v>-3.4275921165379808E-3</v>
      </c>
      <c r="I348" s="59">
        <v>2.4000000000000042E-2</v>
      </c>
      <c r="J348">
        <v>7</v>
      </c>
      <c r="L348" s="59">
        <v>2.4000000000000042E-2</v>
      </c>
      <c r="M348" s="1">
        <f t="shared" ref="M348:M364" si="5">_xlfn.NORM.DIST(L348,$K$275,$K$277,FALSE)</f>
        <v>4.5149359461267924</v>
      </c>
    </row>
    <row r="349" spans="1:13" ht="15">
      <c r="A349" s="58">
        <v>128.21608080650211</v>
      </c>
      <c r="B349" s="58">
        <v>128.5943286964677</v>
      </c>
      <c r="C349" s="58">
        <v>126.60355032822763</v>
      </c>
      <c r="D349" s="58">
        <v>127.39986167552365</v>
      </c>
      <c r="E349" s="58">
        <v>6369892.4010363482</v>
      </c>
      <c r="F349" s="58" t="s">
        <v>296</v>
      </c>
      <c r="G349" s="25">
        <f t="shared" si="4"/>
        <v>6.4067505273850411E-3</v>
      </c>
      <c r="I349" s="59">
        <v>2.5000000000000043E-2</v>
      </c>
      <c r="J349">
        <v>1</v>
      </c>
      <c r="L349" s="59">
        <v>2.5000000000000043E-2</v>
      </c>
      <c r="M349" s="1">
        <f t="shared" si="5"/>
        <v>3.7935835192634273</v>
      </c>
    </row>
    <row r="350" spans="1:13" ht="15">
      <c r="A350" s="58">
        <v>127.27046108158805</v>
      </c>
      <c r="B350" s="58">
        <v>128.70382150672091</v>
      </c>
      <c r="C350" s="58">
        <v>127.04152156924044</v>
      </c>
      <c r="D350" s="58">
        <v>127.56907783682406</v>
      </c>
      <c r="E350" s="58">
        <v>7645048.9129308276</v>
      </c>
      <c r="F350" s="58" t="s">
        <v>297</v>
      </c>
      <c r="G350" s="25">
        <f t="shared" si="4"/>
        <v>-2.3408239700374311E-3</v>
      </c>
      <c r="I350" s="59">
        <v>2.6000000000000044E-2</v>
      </c>
      <c r="J350">
        <v>1</v>
      </c>
      <c r="L350" s="59">
        <v>2.6000000000000044E-2</v>
      </c>
      <c r="M350" s="1">
        <f t="shared" si="5"/>
        <v>3.164581851355464</v>
      </c>
    </row>
    <row r="351" spans="1:13" ht="15">
      <c r="A351" s="58">
        <v>126.80262816505163</v>
      </c>
      <c r="B351" s="58">
        <v>129.25128555798693</v>
      </c>
      <c r="C351" s="58">
        <v>126.08594795248521</v>
      </c>
      <c r="D351" s="58">
        <v>129.15174663957492</v>
      </c>
      <c r="E351" s="58">
        <v>12004063.526733134</v>
      </c>
      <c r="F351" s="58" t="s">
        <v>298</v>
      </c>
      <c r="G351" s="25">
        <f t="shared" si="4"/>
        <v>-1.818882466281313E-2</v>
      </c>
      <c r="I351" s="59">
        <v>2.7000000000000045E-2</v>
      </c>
      <c r="J351">
        <v>4</v>
      </c>
      <c r="L351" s="59">
        <v>2.7000000000000045E-2</v>
      </c>
      <c r="M351" s="1">
        <f t="shared" si="5"/>
        <v>2.620907194130111</v>
      </c>
    </row>
    <row r="352" spans="1:13" ht="15">
      <c r="A352" s="58">
        <v>128.83322210065651</v>
      </c>
      <c r="B352" s="58">
        <v>129.16170053141613</v>
      </c>
      <c r="C352" s="58">
        <v>124.89546248827764</v>
      </c>
      <c r="D352" s="58">
        <v>126.14567130353241</v>
      </c>
      <c r="E352" s="58">
        <v>11899935.411164319</v>
      </c>
      <c r="F352" s="58" t="s">
        <v>299</v>
      </c>
      <c r="G352" s="25">
        <f t="shared" si="4"/>
        <v>2.1305136905231503E-2</v>
      </c>
      <c r="I352" s="59">
        <v>2.8000000000000046E-2</v>
      </c>
      <c r="J352">
        <v>1</v>
      </c>
      <c r="L352" s="59">
        <v>2.8000000000000046E-2</v>
      </c>
      <c r="M352" s="1">
        <f t="shared" si="5"/>
        <v>2.1550412097204816</v>
      </c>
    </row>
    <row r="353" spans="1:13" ht="15">
      <c r="A353" s="58">
        <v>124.45350969052835</v>
      </c>
      <c r="B353" s="58">
        <v>125.09055876836517</v>
      </c>
      <c r="C353" s="58">
        <v>121.61665051578625</v>
      </c>
      <c r="D353" s="58">
        <v>122.02476008127546</v>
      </c>
      <c r="E353" s="58">
        <v>10006650.824526964</v>
      </c>
      <c r="F353" s="58" t="s">
        <v>300</v>
      </c>
      <c r="G353" s="25">
        <f t="shared" si="4"/>
        <v>1.9903744187943495E-2</v>
      </c>
      <c r="I353" s="59">
        <v>2.9000000000000047E-2</v>
      </c>
      <c r="J353">
        <v>5</v>
      </c>
      <c r="L353" s="59">
        <v>2.9000000000000047E-2</v>
      </c>
      <c r="M353" s="1">
        <f t="shared" si="5"/>
        <v>1.7592523604630621</v>
      </c>
    </row>
    <row r="354" spans="1:13" ht="15">
      <c r="A354" s="58">
        <v>122.65185526727107</v>
      </c>
      <c r="B354" s="58">
        <v>122.66180915911228</v>
      </c>
      <c r="C354" s="58">
        <v>117.23693810565807</v>
      </c>
      <c r="D354" s="58">
        <v>117.58532432010009</v>
      </c>
      <c r="E354" s="58">
        <v>13149995.206720572</v>
      </c>
      <c r="F354" s="58" t="s">
        <v>301</v>
      </c>
      <c r="G354" s="25">
        <f t="shared" si="4"/>
        <v>4.3088123254042099E-2</v>
      </c>
      <c r="I354" s="59">
        <v>3.0000000000000047E-2</v>
      </c>
      <c r="J354">
        <v>3</v>
      </c>
      <c r="L354" s="59">
        <v>3.0000000000000047E-2</v>
      </c>
      <c r="M354" s="1">
        <f t="shared" si="5"/>
        <v>1.4258352000483665</v>
      </c>
    </row>
    <row r="355" spans="1:13" ht="15">
      <c r="A355" s="58">
        <v>117.23693810565807</v>
      </c>
      <c r="B355" s="58">
        <v>119.38697874335735</v>
      </c>
      <c r="C355" s="58">
        <v>112.97667239762431</v>
      </c>
      <c r="D355" s="58">
        <v>113.59879063769934</v>
      </c>
      <c r="E355" s="58">
        <v>13262052.884038622</v>
      </c>
      <c r="F355" s="58" t="s">
        <v>302</v>
      </c>
      <c r="G355" s="25">
        <f t="shared" si="4"/>
        <v>3.2026286966045925E-2</v>
      </c>
      <c r="I355" s="59">
        <v>3.1000000000000048E-2</v>
      </c>
      <c r="J355">
        <v>0</v>
      </c>
      <c r="L355" s="59">
        <v>3.1000000000000048E-2</v>
      </c>
      <c r="M355" s="1">
        <f t="shared" si="5"/>
        <v>1.1473056923918994</v>
      </c>
    </row>
    <row r="356" spans="1:13" ht="15">
      <c r="A356" s="58">
        <v>116.25150281337923</v>
      </c>
      <c r="B356" s="58">
        <v>116.36099562363245</v>
      </c>
      <c r="C356" s="58">
        <v>113.60874452954054</v>
      </c>
      <c r="D356" s="58">
        <v>113.72321428571433</v>
      </c>
      <c r="E356" s="58">
        <v>8525574.8559315335</v>
      </c>
      <c r="F356" s="58" t="s">
        <v>303</v>
      </c>
      <c r="G356" s="25">
        <f t="shared" si="4"/>
        <v>2.2231947483588588E-2</v>
      </c>
      <c r="I356" s="59">
        <v>3.2000000000000049E-2</v>
      </c>
      <c r="J356">
        <v>2</v>
      </c>
      <c r="L356" s="59">
        <v>3.2000000000000049E-2</v>
      </c>
      <c r="M356" s="1">
        <f t="shared" si="5"/>
        <v>0.91655301687112212</v>
      </c>
    </row>
    <row r="357" spans="1:13" ht="15">
      <c r="A357" s="58">
        <v>112.95676461394191</v>
      </c>
      <c r="B357" s="58">
        <v>114.26072444513916</v>
      </c>
      <c r="C357" s="58">
        <v>112.86717958737111</v>
      </c>
      <c r="D357" s="58">
        <v>113.09611909971872</v>
      </c>
      <c r="E357" s="58">
        <v>6489770.1351966681</v>
      </c>
      <c r="F357" s="58" t="s">
        <v>304</v>
      </c>
      <c r="G357" s="25">
        <f t="shared" si="4"/>
        <v>-1.2321774335504188E-3</v>
      </c>
      <c r="I357" s="59">
        <v>3.300000000000005E-2</v>
      </c>
      <c r="J357">
        <v>5</v>
      </c>
      <c r="L357" s="59">
        <v>3.300000000000005E-2</v>
      </c>
      <c r="M357" s="1">
        <f t="shared" si="5"/>
        <v>0.72695020065266824</v>
      </c>
    </row>
    <row r="358" spans="1:13" ht="15">
      <c r="A358" s="58">
        <v>113.38478196311353</v>
      </c>
      <c r="B358" s="58">
        <v>113.42459753047832</v>
      </c>
      <c r="C358" s="58">
        <v>110.50810722100661</v>
      </c>
      <c r="D358" s="58">
        <v>110.50810722100661</v>
      </c>
      <c r="E358" s="58">
        <v>5624635.1571013555</v>
      </c>
      <c r="F358" s="58" t="s">
        <v>305</v>
      </c>
      <c r="G358" s="25">
        <f t="shared" si="4"/>
        <v>2.6031345703476871E-2</v>
      </c>
      <c r="I358" s="59">
        <v>3.4000000000000051E-2</v>
      </c>
      <c r="J358">
        <v>0</v>
      </c>
      <c r="L358" s="59">
        <v>3.4000000000000051E-2</v>
      </c>
      <c r="M358" s="1">
        <f t="shared" si="5"/>
        <v>0.57242732515314199</v>
      </c>
    </row>
    <row r="359" spans="1:13" ht="15">
      <c r="A359" s="58">
        <v>110.58773835573621</v>
      </c>
      <c r="B359" s="58">
        <v>112.24008440137548</v>
      </c>
      <c r="C359" s="58">
        <v>110.34884495154741</v>
      </c>
      <c r="D359" s="58">
        <v>111.63289699906227</v>
      </c>
      <c r="E359" s="58">
        <v>6574003.5198241314</v>
      </c>
      <c r="F359" s="58" t="s">
        <v>306</v>
      </c>
      <c r="G359" s="25">
        <f t="shared" si="4"/>
        <v>-9.3624609897460243E-3</v>
      </c>
      <c r="I359" s="59">
        <v>3.5000000000000052E-2</v>
      </c>
      <c r="J359">
        <v>3</v>
      </c>
      <c r="L359" s="59">
        <v>3.5000000000000052E-2</v>
      </c>
      <c r="M359" s="1">
        <f t="shared" si="5"/>
        <v>0.44751199406635461</v>
      </c>
    </row>
    <row r="360" spans="1:13" ht="15">
      <c r="A360" s="58">
        <v>111.91160597061582</v>
      </c>
      <c r="B360" s="58">
        <v>112.69385839245963</v>
      </c>
      <c r="C360" s="58">
        <v>111.1887651251146</v>
      </c>
      <c r="D360" s="58">
        <v>112.44631015769893</v>
      </c>
      <c r="E360" s="58">
        <v>4011715.1348706488</v>
      </c>
      <c r="F360" s="58" t="s">
        <v>307</v>
      </c>
      <c r="G360" s="25">
        <f t="shared" si="4"/>
        <v>-4.7551954913702676E-3</v>
      </c>
      <c r="I360" s="59">
        <v>3.6000000000000053E-2</v>
      </c>
      <c r="J360">
        <v>2</v>
      </c>
      <c r="L360" s="59">
        <v>3.6000000000000053E-2</v>
      </c>
      <c r="M360" s="1">
        <f t="shared" si="5"/>
        <v>0.34734226260609141</v>
      </c>
    </row>
    <row r="361" spans="1:13" ht="15">
      <c r="A361" s="58">
        <v>112.07993877025311</v>
      </c>
      <c r="B361" s="58">
        <v>112.27797735806166</v>
      </c>
      <c r="C361" s="58">
        <v>110.88180531401133</v>
      </c>
      <c r="D361" s="58">
        <v>111.49572493621785</v>
      </c>
      <c r="E361" s="58">
        <v>4453376.5351455929</v>
      </c>
      <c r="F361" s="58" t="s">
        <v>308</v>
      </c>
      <c r="G361" s="25">
        <f t="shared" si="4"/>
        <v>5.2397868561280259E-3</v>
      </c>
      <c r="I361" s="59">
        <v>3.7000000000000054E-2</v>
      </c>
      <c r="J361">
        <v>0</v>
      </c>
      <c r="L361" s="59">
        <v>3.7000000000000054E-2</v>
      </c>
      <c r="M361" s="1">
        <f t="shared" si="5"/>
        <v>0.26765736918371924</v>
      </c>
    </row>
    <row r="362" spans="1:13" ht="15">
      <c r="A362" s="58">
        <v>111.20856898389545</v>
      </c>
      <c r="B362" s="58">
        <v>112.72356418063092</v>
      </c>
      <c r="C362" s="58">
        <v>110.69366865559321</v>
      </c>
      <c r="D362" s="58">
        <v>112.65425067489791</v>
      </c>
      <c r="E362" s="58">
        <v>5159731.8043279126</v>
      </c>
      <c r="F362" s="58" t="s">
        <v>309</v>
      </c>
      <c r="G362" s="25">
        <f t="shared" si="4"/>
        <v>-1.283290849960439E-2</v>
      </c>
      <c r="I362" s="59">
        <v>3.8000000000000055E-2</v>
      </c>
      <c r="J362">
        <v>1</v>
      </c>
      <c r="L362" s="59">
        <v>3.8000000000000055E-2</v>
      </c>
      <c r="M362" s="1">
        <f t="shared" si="5"/>
        <v>0.2047714509259406</v>
      </c>
    </row>
    <row r="363" spans="1:13" ht="15">
      <c r="A363" s="58">
        <v>113.12954328563846</v>
      </c>
      <c r="B363" s="58">
        <v>113.18895486198103</v>
      </c>
      <c r="C363" s="58">
        <v>111.15905933694332</v>
      </c>
      <c r="D363" s="58">
        <v>112.42650629891808</v>
      </c>
      <c r="E363" s="58">
        <v>4499900.8014613409</v>
      </c>
      <c r="F363" s="58" t="s">
        <v>310</v>
      </c>
      <c r="G363" s="25">
        <f t="shared" si="4"/>
        <v>6.2533028007749625E-3</v>
      </c>
      <c r="I363" s="59">
        <v>3.9000000000000055E-2</v>
      </c>
      <c r="J363">
        <v>0</v>
      </c>
      <c r="L363" s="59">
        <v>3.9000000000000055E-2</v>
      </c>
      <c r="M363" s="1">
        <f t="shared" si="5"/>
        <v>0.15553503695793749</v>
      </c>
    </row>
    <row r="364" spans="1:13" ht="15">
      <c r="A364" s="58">
        <v>112.2878792874521</v>
      </c>
      <c r="B364" s="58">
        <v>113.56899091198564</v>
      </c>
      <c r="C364" s="58">
        <v>112.06013491147225</v>
      </c>
      <c r="D364" s="58">
        <v>112.25817349928082</v>
      </c>
      <c r="E364" s="58">
        <v>5352706.3171382314</v>
      </c>
      <c r="F364" s="58" t="s">
        <v>311</v>
      </c>
      <c r="G364" s="25">
        <f t="shared" si="4"/>
        <v>2.6462026991258547E-4</v>
      </c>
      <c r="I364" s="59">
        <v>4.0000000000000056E-2</v>
      </c>
      <c r="J364">
        <v>1</v>
      </c>
      <c r="L364" s="59">
        <v>4.0000000000000056E-2</v>
      </c>
      <c r="M364" s="1">
        <f t="shared" si="5"/>
        <v>0.1172885703268681</v>
      </c>
    </row>
    <row r="365" spans="1:13" ht="15.75" thickBot="1">
      <c r="A365" s="58">
        <v>111.93140982939669</v>
      </c>
      <c r="B365" s="58">
        <v>113.13904913785328</v>
      </c>
      <c r="C365" s="58">
        <v>111.67891062994077</v>
      </c>
      <c r="D365" s="58">
        <v>112.3968005107468</v>
      </c>
      <c r="E365" s="58">
        <v>6097002.6769087324</v>
      </c>
      <c r="F365" s="58" t="s">
        <v>312</v>
      </c>
      <c r="G365" s="25">
        <f t="shared" si="4"/>
        <v>-4.1406043520395563E-3</v>
      </c>
      <c r="I365" s="60" t="s">
        <v>1398</v>
      </c>
      <c r="J365" s="60">
        <v>5</v>
      </c>
    </row>
    <row r="366" spans="1:13">
      <c r="A366" s="58">
        <v>112.71366225124049</v>
      </c>
      <c r="B366" s="58">
        <v>113.1097394268576</v>
      </c>
      <c r="C366" s="58">
        <v>112.16410517007175</v>
      </c>
      <c r="D366" s="58">
        <v>112.82258347453519</v>
      </c>
      <c r="E366" s="58">
        <v>4460572.1025133906</v>
      </c>
      <c r="F366" s="58" t="s">
        <v>313</v>
      </c>
      <c r="G366" s="25">
        <f t="shared" si="4"/>
        <v>-9.6542039670000079E-4</v>
      </c>
    </row>
    <row r="367" spans="1:13">
      <c r="A367" s="58">
        <v>112.32748700501379</v>
      </c>
      <c r="B367" s="58">
        <v>112.84238733331604</v>
      </c>
      <c r="C367" s="58">
        <v>111.64920484176949</v>
      </c>
      <c r="D367" s="58">
        <v>112.57503523977449</v>
      </c>
      <c r="E367" s="58">
        <v>3604488.4378293608</v>
      </c>
      <c r="F367" s="58" t="s">
        <v>314</v>
      </c>
      <c r="G367" s="25">
        <f t="shared" si="4"/>
        <v>-2.1989620898935636E-3</v>
      </c>
    </row>
    <row r="368" spans="1:13">
      <c r="A368" s="58">
        <v>112.00072333512968</v>
      </c>
      <c r="B368" s="58">
        <v>112.65920163959314</v>
      </c>
      <c r="C368" s="58">
        <v>111.44126432457051</v>
      </c>
      <c r="D368" s="58">
        <v>111.95121368817755</v>
      </c>
      <c r="E368" s="58">
        <v>3555045.5483988146</v>
      </c>
      <c r="F368" s="58" t="s">
        <v>315</v>
      </c>
      <c r="G368" s="25">
        <f t="shared" si="4"/>
        <v>4.4224305678386422E-4</v>
      </c>
    </row>
    <row r="369" spans="1:7">
      <c r="A369" s="58">
        <v>111.69376352402641</v>
      </c>
      <c r="B369" s="58">
        <v>113.51571853186515</v>
      </c>
      <c r="C369" s="58">
        <v>111.41650950109444</v>
      </c>
      <c r="D369" s="58">
        <v>113.01072013295332</v>
      </c>
      <c r="E369" s="58">
        <v>3510458.2783232681</v>
      </c>
      <c r="F369" s="58" t="s">
        <v>316</v>
      </c>
      <c r="G369" s="25">
        <f t="shared" si="4"/>
        <v>-1.1653377727153358E-2</v>
      </c>
    </row>
    <row r="370" spans="1:7">
      <c r="A370" s="58">
        <v>113.86228606053011</v>
      </c>
      <c r="B370" s="58">
        <v>114.8128712820112</v>
      </c>
      <c r="C370" s="58">
        <v>113.38699344978959</v>
      </c>
      <c r="D370" s="58">
        <v>113.88208991931099</v>
      </c>
      <c r="E370" s="58">
        <v>2857948.070944299</v>
      </c>
      <c r="F370" s="58" t="s">
        <v>317</v>
      </c>
      <c r="G370" s="25">
        <f t="shared" si="4"/>
        <v>-1.7389792192001874E-4</v>
      </c>
    </row>
    <row r="371" spans="1:7">
      <c r="A371" s="58">
        <v>114.13954008346209</v>
      </c>
      <c r="B371" s="58">
        <v>114.6742442705452</v>
      </c>
      <c r="C371" s="58">
        <v>112.70405737973178</v>
      </c>
      <c r="D371" s="58">
        <v>113.08003363868632</v>
      </c>
      <c r="E371" s="58">
        <v>2989998.0935655469</v>
      </c>
      <c r="F371" s="58" t="s">
        <v>318</v>
      </c>
      <c r="G371" s="25">
        <f t="shared" si="4"/>
        <v>9.3695271453588802E-3</v>
      </c>
    </row>
    <row r="372" spans="1:7">
      <c r="A372" s="58">
        <v>113.63454168455029</v>
      </c>
      <c r="B372" s="58">
        <v>113.70385519028328</v>
      </c>
      <c r="C372" s="58">
        <v>112.47601594587022</v>
      </c>
      <c r="D372" s="58">
        <v>113.02062206234375</v>
      </c>
      <c r="E372" s="58">
        <v>1494642.0456509115</v>
      </c>
      <c r="F372" s="58" t="s">
        <v>319</v>
      </c>
      <c r="G372" s="25">
        <f t="shared" si="4"/>
        <v>5.4319257052743986E-3</v>
      </c>
    </row>
    <row r="373" spans="1:7">
      <c r="A373" s="58">
        <v>113.18895486198103</v>
      </c>
      <c r="B373" s="58">
        <v>113.38699344978959</v>
      </c>
      <c r="C373" s="58">
        <v>111.85219439427325</v>
      </c>
      <c r="D373" s="58">
        <v>112.88199505087776</v>
      </c>
      <c r="E373" s="58">
        <v>4068127.3731299909</v>
      </c>
      <c r="F373" s="58" t="s">
        <v>320</v>
      </c>
      <c r="G373" s="25">
        <f t="shared" si="4"/>
        <v>2.7192982456141213E-3</v>
      </c>
    </row>
    <row r="374" spans="1:7">
      <c r="A374" s="58">
        <v>113.1097394268576</v>
      </c>
      <c r="B374" s="58">
        <v>113.98110921321525</v>
      </c>
      <c r="C374" s="58">
        <v>111.41650950109444</v>
      </c>
      <c r="D374" s="58">
        <v>111.53533265377958</v>
      </c>
      <c r="E374" s="58">
        <v>12433866.688548449</v>
      </c>
      <c r="F374" s="58" t="s">
        <v>321</v>
      </c>
      <c r="G374" s="25">
        <f t="shared" si="4"/>
        <v>1.4115767045454586E-2</v>
      </c>
    </row>
    <row r="375" spans="1:7">
      <c r="A375" s="58">
        <v>111.31749020719016</v>
      </c>
      <c r="B375" s="58">
        <v>112.1839090288526</v>
      </c>
      <c r="C375" s="58">
        <v>110.18867025668138</v>
      </c>
      <c r="D375" s="58">
        <v>110.44612042083251</v>
      </c>
      <c r="E375" s="58">
        <v>7815306.1841472127</v>
      </c>
      <c r="F375" s="58" t="s">
        <v>322</v>
      </c>
      <c r="G375" s="25">
        <f t="shared" si="4"/>
        <v>7.8895463510848529E-3</v>
      </c>
    </row>
    <row r="376" spans="1:7">
      <c r="A376" s="58">
        <v>110.8322956670592</v>
      </c>
      <c r="B376" s="58">
        <v>113.03052399173419</v>
      </c>
      <c r="C376" s="58">
        <v>110.75308023193577</v>
      </c>
      <c r="D376" s="58">
        <v>111.92150790000626</v>
      </c>
      <c r="E376" s="58">
        <v>6518802.2914401712</v>
      </c>
      <c r="F376" s="58" t="s">
        <v>323</v>
      </c>
      <c r="G376" s="25">
        <f t="shared" si="4"/>
        <v>-9.7319295762187119E-3</v>
      </c>
    </row>
    <row r="377" spans="1:7">
      <c r="A377" s="58">
        <v>112.17895806415738</v>
      </c>
      <c r="B377" s="58">
        <v>112.72356418063092</v>
      </c>
      <c r="C377" s="58">
        <v>111.09964776060075</v>
      </c>
      <c r="D377" s="58">
        <v>111.10954968999117</v>
      </c>
      <c r="E377" s="58">
        <v>5863287.6190900868</v>
      </c>
      <c r="F377" s="58" t="s">
        <v>324</v>
      </c>
      <c r="G377" s="25">
        <f t="shared" si="4"/>
        <v>9.6248106229390729E-3</v>
      </c>
    </row>
    <row r="378" spans="1:7">
      <c r="A378" s="58">
        <v>111.51552879499872</v>
      </c>
      <c r="B378" s="58">
        <v>112.53473438715545</v>
      </c>
      <c r="C378" s="58">
        <v>111.28283345432367</v>
      </c>
      <c r="D378" s="58">
        <v>111.59474423012215</v>
      </c>
      <c r="E378" s="58">
        <v>5097214.6952281017</v>
      </c>
      <c r="F378" s="58" t="s">
        <v>325</v>
      </c>
      <c r="G378" s="25">
        <f t="shared" si="4"/>
        <v>-7.0984915705418761E-4</v>
      </c>
    </row>
    <row r="379" spans="1:7">
      <c r="A379" s="58">
        <v>112.26807542867122</v>
      </c>
      <c r="B379" s="58">
        <v>113.16915100320017</v>
      </c>
      <c r="C379" s="58">
        <v>111.04023618425818</v>
      </c>
      <c r="D379" s="58">
        <v>112.73346611002134</v>
      </c>
      <c r="E379" s="58">
        <v>4595972.9872436002</v>
      </c>
      <c r="F379" s="58" t="s">
        <v>326</v>
      </c>
      <c r="G379" s="25">
        <f t="shared" si="4"/>
        <v>-4.1282389108476814E-3</v>
      </c>
    </row>
    <row r="380" spans="1:7">
      <c r="A380" s="58">
        <v>112.74336803941178</v>
      </c>
      <c r="B380" s="58">
        <v>113.64939457863592</v>
      </c>
      <c r="C380" s="58">
        <v>112.18885999354781</v>
      </c>
      <c r="D380" s="58">
        <v>113.27807222649488</v>
      </c>
      <c r="E380" s="58">
        <v>3801973.1827610251</v>
      </c>
      <c r="F380" s="58" t="s">
        <v>327</v>
      </c>
      <c r="G380" s="25">
        <f t="shared" si="4"/>
        <v>-4.7202797202797742E-3</v>
      </c>
    </row>
    <row r="381" spans="1:7">
      <c r="A381" s="58">
        <v>113.02062206234375</v>
      </c>
      <c r="B381" s="58">
        <v>114.45145085926058</v>
      </c>
      <c r="C381" s="58">
        <v>112.89219403814991</v>
      </c>
      <c r="D381" s="58">
        <v>114.17914780102382</v>
      </c>
      <c r="E381" s="58">
        <v>4795110.9453375228</v>
      </c>
      <c r="F381" s="58" t="s">
        <v>328</v>
      </c>
      <c r="G381" s="25">
        <f t="shared" si="4"/>
        <v>-1.0146561443066582E-2</v>
      </c>
    </row>
    <row r="382" spans="1:7">
      <c r="A382" s="58">
        <v>114.36728445944195</v>
      </c>
      <c r="B382" s="58">
        <v>115.24855617519002</v>
      </c>
      <c r="C382" s="58">
        <v>113.14934714441931</v>
      </c>
      <c r="D382" s="58">
        <v>113.95140342504396</v>
      </c>
      <c r="E382" s="58">
        <v>4112428.8403192097</v>
      </c>
      <c r="F382" s="58" t="s">
        <v>329</v>
      </c>
      <c r="G382" s="25">
        <f t="shared" si="4"/>
        <v>3.6496350364965124E-3</v>
      </c>
    </row>
    <row r="383" spans="1:7">
      <c r="A383" s="58">
        <v>113.77316869601627</v>
      </c>
      <c r="B383" s="58">
        <v>114.73365584688777</v>
      </c>
      <c r="C383" s="58">
        <v>112.73346611002134</v>
      </c>
      <c r="D383" s="58">
        <v>114.53561725907922</v>
      </c>
      <c r="E383" s="58">
        <v>4916261.0720148208</v>
      </c>
      <c r="F383" s="58" t="s">
        <v>330</v>
      </c>
      <c r="G383" s="25">
        <f t="shared" si="4"/>
        <v>-6.6568686781360853E-3</v>
      </c>
    </row>
    <row r="384" spans="1:7">
      <c r="A384" s="58">
        <v>114.46630375334621</v>
      </c>
      <c r="B384" s="58">
        <v>115.0604195167719</v>
      </c>
      <c r="C384" s="58">
        <v>113.97120728382482</v>
      </c>
      <c r="D384" s="58">
        <v>114.00091307199611</v>
      </c>
      <c r="E384" s="58">
        <v>5353178.9523000745</v>
      </c>
      <c r="F384" s="58" t="s">
        <v>331</v>
      </c>
      <c r="G384" s="25">
        <f t="shared" si="4"/>
        <v>4.0823417006861096E-3</v>
      </c>
    </row>
    <row r="385" spans="1:7">
      <c r="A385" s="58">
        <v>114.4564018239558</v>
      </c>
      <c r="B385" s="58">
        <v>115.15032903563699</v>
      </c>
      <c r="C385" s="58">
        <v>113.75831580193064</v>
      </c>
      <c r="D385" s="58">
        <v>114.12963815407169</v>
      </c>
      <c r="E385" s="58">
        <v>3302183.717004579</v>
      </c>
      <c r="F385" s="58" t="s">
        <v>332</v>
      </c>
      <c r="G385" s="25">
        <f t="shared" si="4"/>
        <v>2.8630921395105258E-3</v>
      </c>
    </row>
    <row r="386" spans="1:7">
      <c r="A386" s="58">
        <v>114.83267514079205</v>
      </c>
      <c r="B386" s="58">
        <v>115.86247579739656</v>
      </c>
      <c r="C386" s="58">
        <v>114.15934394224297</v>
      </c>
      <c r="D386" s="58">
        <v>115.86247579739656</v>
      </c>
      <c r="E386" s="58">
        <v>3592416.0431185318</v>
      </c>
      <c r="F386" s="58" t="s">
        <v>333</v>
      </c>
      <c r="G386" s="25">
        <f t="shared" si="4"/>
        <v>-8.8881292197249273E-3</v>
      </c>
    </row>
    <row r="387" spans="1:7">
      <c r="A387" s="58">
        <v>115.14953688128575</v>
      </c>
      <c r="B387" s="58">
        <v>116.28825876118495</v>
      </c>
      <c r="C387" s="58">
        <v>114.93169443469633</v>
      </c>
      <c r="D387" s="58">
        <v>115.95060296897137</v>
      </c>
      <c r="E387" s="58">
        <v>4842375.4714259859</v>
      </c>
      <c r="F387" s="58" t="s">
        <v>334</v>
      </c>
      <c r="G387" s="25">
        <f t="shared" ref="G387:G450" si="6">A387/D387-1</f>
        <v>-6.9086841049026404E-3</v>
      </c>
    </row>
    <row r="388" spans="1:7">
      <c r="A388" s="58">
        <v>115.664437209588</v>
      </c>
      <c r="B388" s="58">
        <v>117.64482308767357</v>
      </c>
      <c r="C388" s="58">
        <v>115.44659476299859</v>
      </c>
      <c r="D388" s="58">
        <v>117.585411511331</v>
      </c>
      <c r="E388" s="58">
        <v>5392192.5611401293</v>
      </c>
      <c r="F388" s="58" t="s">
        <v>335</v>
      </c>
      <c r="G388" s="25">
        <f t="shared" si="6"/>
        <v>-1.6336842105263094E-2</v>
      </c>
    </row>
    <row r="389" spans="1:7">
      <c r="A389" s="58">
        <v>117.60521537011185</v>
      </c>
      <c r="B389" s="58">
        <v>118.02109640450982</v>
      </c>
      <c r="C389" s="58">
        <v>116.70413979558292</v>
      </c>
      <c r="D389" s="58">
        <v>117.54580379376928</v>
      </c>
      <c r="E389" s="58">
        <v>2548184.1977576148</v>
      </c>
      <c r="F389" s="58" t="s">
        <v>336</v>
      </c>
      <c r="G389" s="25">
        <f t="shared" si="6"/>
        <v>5.0543340914832591E-4</v>
      </c>
    </row>
    <row r="390" spans="1:7">
      <c r="A390" s="58">
        <v>117.78345009913956</v>
      </c>
      <c r="B390" s="58">
        <v>119.34795494282716</v>
      </c>
      <c r="C390" s="58">
        <v>116.94178610095318</v>
      </c>
      <c r="D390" s="58">
        <v>117.18933433571388</v>
      </c>
      <c r="E390" s="58">
        <v>3545075.7742156708</v>
      </c>
      <c r="F390" s="58" t="s">
        <v>337</v>
      </c>
      <c r="G390" s="25">
        <f t="shared" si="6"/>
        <v>5.069708491761693E-3</v>
      </c>
    </row>
    <row r="391" spans="1:7">
      <c r="A391" s="58">
        <v>116.8031590894872</v>
      </c>
      <c r="B391" s="58">
        <v>117.8329597460917</v>
      </c>
      <c r="C391" s="58">
        <v>115.86247579739656</v>
      </c>
      <c r="D391" s="58">
        <v>117.47649028803629</v>
      </c>
      <c r="E391" s="58">
        <v>4096996.4943616916</v>
      </c>
      <c r="F391" s="58" t="s">
        <v>338</v>
      </c>
      <c r="G391" s="25">
        <f t="shared" si="6"/>
        <v>-5.7316250842885941E-3</v>
      </c>
    </row>
    <row r="392" spans="1:7">
      <c r="A392" s="58">
        <v>116.97149188912447</v>
      </c>
      <c r="B392" s="58">
        <v>117.48639221742673</v>
      </c>
      <c r="C392" s="58">
        <v>116.42688577265093</v>
      </c>
      <c r="D392" s="58">
        <v>117.12002082998089</v>
      </c>
      <c r="E392" s="58">
        <v>6947473.2940937849</v>
      </c>
      <c r="F392" s="58" t="s">
        <v>339</v>
      </c>
      <c r="G392" s="25">
        <f t="shared" si="6"/>
        <v>-1.268177206628418E-3</v>
      </c>
    </row>
    <row r="393" spans="1:7">
      <c r="A393" s="58">
        <v>116.60512050167864</v>
      </c>
      <c r="B393" s="58">
        <v>116.84276680704892</v>
      </c>
      <c r="C393" s="58">
        <v>115.23865424579959</v>
      </c>
      <c r="D393" s="58">
        <v>116.07437708635172</v>
      </c>
      <c r="E393" s="58">
        <v>5402760.1986049209</v>
      </c>
      <c r="F393" s="58" t="s">
        <v>340</v>
      </c>
      <c r="G393" s="25">
        <f t="shared" si="6"/>
        <v>4.5724425032416249E-3</v>
      </c>
    </row>
    <row r="394" spans="1:7">
      <c r="A394" s="58">
        <v>116.11002403215726</v>
      </c>
      <c r="B394" s="58">
        <v>116.4862973489935</v>
      </c>
      <c r="C394" s="58">
        <v>114.01081500138653</v>
      </c>
      <c r="D394" s="58">
        <v>114.54551918846965</v>
      </c>
      <c r="E394" s="58">
        <v>5617093.1751712477</v>
      </c>
      <c r="F394" s="58" t="s">
        <v>341</v>
      </c>
      <c r="G394" s="25">
        <f t="shared" si="6"/>
        <v>1.3658367911479896E-2</v>
      </c>
    </row>
    <row r="395" spans="1:7">
      <c r="A395" s="58">
        <v>114.79306742323035</v>
      </c>
      <c r="B395" s="58">
        <v>115.62482949202628</v>
      </c>
      <c r="C395" s="58">
        <v>114.39699024761323</v>
      </c>
      <c r="D395" s="58">
        <v>115.54561405690286</v>
      </c>
      <c r="E395" s="58">
        <v>5680158.6622472983</v>
      </c>
      <c r="F395" s="58" t="s">
        <v>342</v>
      </c>
      <c r="G395" s="25">
        <f t="shared" si="6"/>
        <v>-6.51298311766213E-3</v>
      </c>
    </row>
    <row r="396" spans="1:7">
      <c r="A396" s="58">
        <v>115.98129895008168</v>
      </c>
      <c r="B396" s="58">
        <v>116.39717998447965</v>
      </c>
      <c r="C396" s="58">
        <v>114.3177748124898</v>
      </c>
      <c r="D396" s="58">
        <v>115.39708511604644</v>
      </c>
      <c r="E396" s="58">
        <v>4587914.9616958592</v>
      </c>
      <c r="F396" s="58" t="s">
        <v>343</v>
      </c>
      <c r="G396" s="25">
        <f t="shared" si="6"/>
        <v>5.0626394371031669E-3</v>
      </c>
    </row>
    <row r="397" spans="1:7">
      <c r="A397" s="58">
        <v>116.20904332606153</v>
      </c>
      <c r="B397" s="58">
        <v>116.78335523070633</v>
      </c>
      <c r="C397" s="58">
        <v>114.37718638883237</v>
      </c>
      <c r="D397" s="58">
        <v>114.44154892987015</v>
      </c>
      <c r="E397" s="58">
        <v>6146859.6270579873</v>
      </c>
      <c r="F397" s="58" t="s">
        <v>344</v>
      </c>
      <c r="G397" s="25">
        <f t="shared" si="6"/>
        <v>1.5444516547696407E-2</v>
      </c>
    </row>
    <row r="398" spans="1:7">
      <c r="A398" s="58">
        <v>114.76336163505906</v>
      </c>
      <c r="B398" s="58">
        <v>115.20894845762831</v>
      </c>
      <c r="C398" s="58">
        <v>113.30777801466617</v>
      </c>
      <c r="D398" s="58">
        <v>113.74346290784499</v>
      </c>
      <c r="E398" s="58">
        <v>6966930.1082563093</v>
      </c>
      <c r="F398" s="58" t="s">
        <v>345</v>
      </c>
      <c r="G398" s="25">
        <f t="shared" si="6"/>
        <v>8.9666579611735742E-3</v>
      </c>
    </row>
    <row r="399" spans="1:7">
      <c r="A399" s="58">
        <v>113.90189377809183</v>
      </c>
      <c r="B399" s="58">
        <v>114.95149829347719</v>
      </c>
      <c r="C399" s="58">
        <v>113.80287448418756</v>
      </c>
      <c r="D399" s="58">
        <v>114.84257707018249</v>
      </c>
      <c r="E399" s="58">
        <v>3850037.5529695298</v>
      </c>
      <c r="F399" s="58" t="s">
        <v>346</v>
      </c>
      <c r="G399" s="25">
        <f t="shared" si="6"/>
        <v>-8.191067425418197E-3</v>
      </c>
    </row>
    <row r="400" spans="1:7">
      <c r="A400" s="58">
        <v>114.60493076481221</v>
      </c>
      <c r="B400" s="58">
        <v>115.664437209588</v>
      </c>
      <c r="C400" s="58">
        <v>114.41679410639408</v>
      </c>
      <c r="D400" s="58">
        <v>114.94159636408676</v>
      </c>
      <c r="E400" s="58">
        <v>4807949.8573300578</v>
      </c>
      <c r="F400" s="58" t="s">
        <v>347</v>
      </c>
      <c r="G400" s="25">
        <f t="shared" si="6"/>
        <v>-2.9290144727774914E-3</v>
      </c>
    </row>
    <row r="401" spans="1:7">
      <c r="A401" s="58">
        <v>115.29806582214216</v>
      </c>
      <c r="B401" s="58">
        <v>116.14963174971896</v>
      </c>
      <c r="C401" s="58">
        <v>115.2782619633613</v>
      </c>
      <c r="D401" s="58">
        <v>115.53571212751244</v>
      </c>
      <c r="E401" s="58">
        <v>4644465.5568295009</v>
      </c>
      <c r="F401" s="58" t="s">
        <v>348</v>
      </c>
      <c r="G401" s="25">
        <f t="shared" si="6"/>
        <v>-2.056907781967876E-3</v>
      </c>
    </row>
    <row r="402" spans="1:7">
      <c r="A402" s="58">
        <v>115.65453528019756</v>
      </c>
      <c r="B402" s="58">
        <v>116.68433593680207</v>
      </c>
      <c r="C402" s="58">
        <v>115.18914459884745</v>
      </c>
      <c r="D402" s="58">
        <v>115.79316229166355</v>
      </c>
      <c r="E402" s="58">
        <v>5353706.1222882839</v>
      </c>
      <c r="F402" s="58" t="s">
        <v>349</v>
      </c>
      <c r="G402" s="25">
        <f t="shared" si="6"/>
        <v>-1.1971951428082495E-3</v>
      </c>
    </row>
    <row r="403" spans="1:7">
      <c r="A403" s="58">
        <v>115.44659476299859</v>
      </c>
      <c r="B403" s="58">
        <v>116.10012210276682</v>
      </c>
      <c r="C403" s="58">
        <v>113.56740660328317</v>
      </c>
      <c r="D403" s="58">
        <v>114.19895165980466</v>
      </c>
      <c r="E403" s="58">
        <v>5742207.1758020343</v>
      </c>
      <c r="F403" s="58" t="s">
        <v>350</v>
      </c>
      <c r="G403" s="25">
        <f t="shared" si="6"/>
        <v>1.0925171247724075E-2</v>
      </c>
    </row>
    <row r="404" spans="1:7">
      <c r="A404" s="58">
        <v>114.16924587163338</v>
      </c>
      <c r="B404" s="58">
        <v>116.33776840813708</v>
      </c>
      <c r="C404" s="58">
        <v>113.41669923796087</v>
      </c>
      <c r="D404" s="58">
        <v>116.33776840813708</v>
      </c>
      <c r="E404" s="58">
        <v>5573643.057215861</v>
      </c>
      <c r="F404" s="58" t="s">
        <v>351</v>
      </c>
      <c r="G404" s="25">
        <f t="shared" si="6"/>
        <v>-1.8639884245467697E-2</v>
      </c>
    </row>
    <row r="405" spans="1:7">
      <c r="A405" s="58">
        <v>115.65453528019756</v>
      </c>
      <c r="B405" s="58">
        <v>119.81334562417727</v>
      </c>
      <c r="C405" s="58">
        <v>114.36728445944195</v>
      </c>
      <c r="D405" s="58">
        <v>119.81334562417727</v>
      </c>
      <c r="E405" s="58">
        <v>5308198.8294938505</v>
      </c>
      <c r="F405" s="58" t="s">
        <v>352</v>
      </c>
      <c r="G405" s="25">
        <f t="shared" si="6"/>
        <v>-3.4710743801652955E-2</v>
      </c>
    </row>
    <row r="406" spans="1:7">
      <c r="A406" s="58">
        <v>116.57541471350736</v>
      </c>
      <c r="B406" s="58">
        <v>117.0903150418096</v>
      </c>
      <c r="C406" s="58">
        <v>115.18914459884745</v>
      </c>
      <c r="D406" s="58">
        <v>116.43678770204137</v>
      </c>
      <c r="E406" s="58">
        <v>4099426.3238475751</v>
      </c>
      <c r="F406" s="58" t="s">
        <v>353</v>
      </c>
      <c r="G406" s="25">
        <f t="shared" si="6"/>
        <v>1.1905774300535743E-3</v>
      </c>
    </row>
    <row r="407" spans="1:7">
      <c r="A407" s="58">
        <v>116.49619927838394</v>
      </c>
      <c r="B407" s="58">
        <v>119.38756266038887</v>
      </c>
      <c r="C407" s="58">
        <v>116.32786647874667</v>
      </c>
      <c r="D407" s="58">
        <v>118.42707550951737</v>
      </c>
      <c r="E407" s="58">
        <v>5659477.8442041036</v>
      </c>
      <c r="F407" s="58" t="s">
        <v>354</v>
      </c>
      <c r="G407" s="25">
        <f t="shared" si="6"/>
        <v>-1.6304347826086918E-2</v>
      </c>
    </row>
    <row r="408" spans="1:7">
      <c r="A408" s="58">
        <v>117.43688257047458</v>
      </c>
      <c r="B408" s="58">
        <v>118.74393725001106</v>
      </c>
      <c r="C408" s="58">
        <v>115.94169123251997</v>
      </c>
      <c r="D408" s="58">
        <v>118.57560445037379</v>
      </c>
      <c r="E408" s="58">
        <v>10249825.665098423</v>
      </c>
      <c r="F408" s="58" t="s">
        <v>355</v>
      </c>
      <c r="G408" s="25">
        <f t="shared" si="6"/>
        <v>-9.6033402922756084E-3</v>
      </c>
    </row>
    <row r="409" spans="1:7">
      <c r="A409" s="58">
        <v>112.25817349928082</v>
      </c>
      <c r="B409" s="58">
        <v>113.34738573222786</v>
      </c>
      <c r="C409" s="58">
        <v>112.15915420537652</v>
      </c>
      <c r="D409" s="58">
        <v>112.45621208708936</v>
      </c>
      <c r="E409" s="58">
        <v>5375886.6480565565</v>
      </c>
      <c r="F409" s="58" t="s">
        <v>356</v>
      </c>
      <c r="G409" s="25">
        <f t="shared" si="6"/>
        <v>-1.7610284406092136E-3</v>
      </c>
    </row>
    <row r="410" spans="1:7">
      <c r="A410" s="58">
        <v>113.32758187344702</v>
      </c>
      <c r="B410" s="58">
        <v>113.60978686107421</v>
      </c>
      <c r="C410" s="58">
        <v>111.39670564231358</v>
      </c>
      <c r="D410" s="58">
        <v>111.53533265377958</v>
      </c>
      <c r="E410" s="58">
        <v>5239383.9578529056</v>
      </c>
      <c r="F410" s="58" t="s">
        <v>357</v>
      </c>
      <c r="G410" s="25">
        <f t="shared" si="6"/>
        <v>1.6068892045454586E-2</v>
      </c>
    </row>
    <row r="411" spans="1:7">
      <c r="A411" s="58">
        <v>112.2878792874521</v>
      </c>
      <c r="B411" s="58">
        <v>113.61473782576942</v>
      </c>
      <c r="C411" s="58">
        <v>112.23836964049994</v>
      </c>
      <c r="D411" s="58">
        <v>113.02062206234375</v>
      </c>
      <c r="E411" s="58">
        <v>4588608.7658757437</v>
      </c>
      <c r="F411" s="58" t="s">
        <v>358</v>
      </c>
      <c r="G411" s="25">
        <f t="shared" si="6"/>
        <v>-6.483266164359458E-3</v>
      </c>
    </row>
    <row r="412" spans="1:7">
      <c r="A412" s="58">
        <v>112.95130855661075</v>
      </c>
      <c r="B412" s="58">
        <v>113.70385519028328</v>
      </c>
      <c r="C412" s="58">
        <v>112.43650724760241</v>
      </c>
      <c r="D412" s="58">
        <v>113.64345342100167</v>
      </c>
      <c r="E412" s="58">
        <v>4145359.7962110201</v>
      </c>
      <c r="F412" s="58" t="s">
        <v>359</v>
      </c>
      <c r="G412" s="25">
        <f t="shared" si="6"/>
        <v>-6.0904948200298792E-3</v>
      </c>
    </row>
    <row r="413" spans="1:7">
      <c r="A413" s="58">
        <v>113.09983749746718</v>
      </c>
      <c r="B413" s="58">
        <v>115.24855617519002</v>
      </c>
      <c r="C413" s="58">
        <v>112.08627600506297</v>
      </c>
      <c r="D413" s="58">
        <v>115.00595890512453</v>
      </c>
      <c r="E413" s="58">
        <v>6048933.2571792677</v>
      </c>
      <c r="F413" s="58" t="s">
        <v>360</v>
      </c>
      <c r="G413" s="25">
        <f t="shared" si="6"/>
        <v>-1.6574109948770843E-2</v>
      </c>
    </row>
    <row r="414" spans="1:7">
      <c r="A414" s="58">
        <v>115.39708511604644</v>
      </c>
      <c r="B414" s="58">
        <v>116.25855297301366</v>
      </c>
      <c r="C414" s="58">
        <v>115.07032144616231</v>
      </c>
      <c r="D414" s="58">
        <v>116.0605143852051</v>
      </c>
      <c r="E414" s="58">
        <v>3805301.8269777633</v>
      </c>
      <c r="F414" s="58" t="s">
        <v>361</v>
      </c>
      <c r="G414" s="25">
        <f t="shared" si="6"/>
        <v>-5.7162358160565141E-3</v>
      </c>
    </row>
    <row r="415" spans="1:7">
      <c r="A415" s="58">
        <v>115.86247579739656</v>
      </c>
      <c r="B415" s="58">
        <v>116.00110280886254</v>
      </c>
      <c r="C415" s="58">
        <v>114.79306742323035</v>
      </c>
      <c r="D415" s="58">
        <v>115.02081179921018</v>
      </c>
      <c r="E415" s="58">
        <v>3691908.7743989993</v>
      </c>
      <c r="F415" s="58" t="s">
        <v>362</v>
      </c>
      <c r="G415" s="25">
        <f t="shared" si="6"/>
        <v>7.317493112947826E-3</v>
      </c>
    </row>
    <row r="416" spans="1:7">
      <c r="A416" s="58">
        <v>114.98120408164847</v>
      </c>
      <c r="B416" s="58">
        <v>116.05061245581469</v>
      </c>
      <c r="C416" s="58">
        <v>114.70395005871649</v>
      </c>
      <c r="D416" s="58">
        <v>115.71889782123534</v>
      </c>
      <c r="E416" s="58">
        <v>5413048.0926085357</v>
      </c>
      <c r="F416" s="58" t="s">
        <v>363</v>
      </c>
      <c r="G416" s="25">
        <f t="shared" si="6"/>
        <v>-6.3748769948230866E-3</v>
      </c>
    </row>
    <row r="417" spans="1:7">
      <c r="A417" s="58">
        <v>115.84267193861569</v>
      </c>
      <c r="B417" s="58">
        <v>117.75374431096827</v>
      </c>
      <c r="C417" s="58">
        <v>115.45649669238901</v>
      </c>
      <c r="D417" s="58">
        <v>117.72403852279699</v>
      </c>
      <c r="E417" s="58">
        <v>8385627.3586709555</v>
      </c>
      <c r="F417" s="58" t="s">
        <v>364</v>
      </c>
      <c r="G417" s="25">
        <f t="shared" si="6"/>
        <v>-1.5981159054588301E-2</v>
      </c>
    </row>
    <row r="418" spans="1:7">
      <c r="A418" s="58">
        <v>118.21913499231839</v>
      </c>
      <c r="B418" s="58">
        <v>118.67462374427807</v>
      </c>
      <c r="C418" s="58">
        <v>116.51600313716479</v>
      </c>
      <c r="D418" s="58">
        <v>116.74374751314464</v>
      </c>
      <c r="E418" s="58">
        <v>6808806.3792067384</v>
      </c>
      <c r="F418" s="58" t="s">
        <v>365</v>
      </c>
      <c r="G418" s="25">
        <f t="shared" si="6"/>
        <v>1.2637828668363049E-2</v>
      </c>
    </row>
    <row r="419" spans="1:7">
      <c r="A419" s="58">
        <v>116.7338455837542</v>
      </c>
      <c r="B419" s="58">
        <v>117.59531344072144</v>
      </c>
      <c r="C419" s="58">
        <v>116.04071052642425</v>
      </c>
      <c r="D419" s="58">
        <v>117.54580379376928</v>
      </c>
      <c r="E419" s="58">
        <v>5097125.8236592086</v>
      </c>
      <c r="F419" s="58" t="s">
        <v>366</v>
      </c>
      <c r="G419" s="25">
        <f t="shared" si="6"/>
        <v>-6.9075899250272688E-3</v>
      </c>
    </row>
    <row r="420" spans="1:7">
      <c r="A420" s="58">
        <v>116.6645320780212</v>
      </c>
      <c r="B420" s="58">
        <v>118.34786007439395</v>
      </c>
      <c r="C420" s="58">
        <v>115.49610440995072</v>
      </c>
      <c r="D420" s="58">
        <v>116.85266873643934</v>
      </c>
      <c r="E420" s="58">
        <v>7429104.6824785816</v>
      </c>
      <c r="F420" s="58" t="s">
        <v>367</v>
      </c>
      <c r="G420" s="25">
        <f t="shared" si="6"/>
        <v>-1.610033048046855E-3</v>
      </c>
    </row>
    <row r="421" spans="1:7">
      <c r="A421" s="58">
        <v>114.91189057591548</v>
      </c>
      <c r="B421" s="58">
        <v>117.19923626510432</v>
      </c>
      <c r="C421" s="58">
        <v>114.6742442705452</v>
      </c>
      <c r="D421" s="58">
        <v>115.60502563324543</v>
      </c>
      <c r="E421" s="58">
        <v>6609683.5696756961</v>
      </c>
      <c r="F421" s="58" t="s">
        <v>368</v>
      </c>
      <c r="G421" s="25">
        <f t="shared" si="6"/>
        <v>-5.9957173447537926E-3</v>
      </c>
    </row>
    <row r="422" spans="1:7">
      <c r="A422" s="58">
        <v>115.55551598629332</v>
      </c>
      <c r="B422" s="58">
        <v>115.88074686284322</v>
      </c>
      <c r="C422" s="58">
        <v>114.30386988563156</v>
      </c>
      <c r="D422" s="58">
        <v>114.5798233566436</v>
      </c>
      <c r="E422" s="58">
        <v>3727976.3005956216</v>
      </c>
      <c r="F422" s="58" t="s">
        <v>369</v>
      </c>
      <c r="G422" s="25">
        <f t="shared" si="6"/>
        <v>8.5153965250299724E-3</v>
      </c>
    </row>
    <row r="423" spans="1:7">
      <c r="A423" s="58">
        <v>114.44184662113757</v>
      </c>
      <c r="B423" s="58">
        <v>115.58508242961604</v>
      </c>
      <c r="C423" s="58">
        <v>114.26937570175504</v>
      </c>
      <c r="D423" s="58">
        <v>114.53054595110572</v>
      </c>
      <c r="E423" s="58">
        <v>3522193.3481589714</v>
      </c>
      <c r="F423" s="58" t="s">
        <v>370</v>
      </c>
      <c r="G423" s="25">
        <f t="shared" si="6"/>
        <v>-7.7446002925729562E-4</v>
      </c>
    </row>
    <row r="424" spans="1:7">
      <c r="A424" s="58">
        <v>113.94907256575893</v>
      </c>
      <c r="B424" s="58">
        <v>115.1612967419904</v>
      </c>
      <c r="C424" s="58">
        <v>113.78152938693019</v>
      </c>
      <c r="D424" s="58">
        <v>114.53547369165952</v>
      </c>
      <c r="E424" s="58">
        <v>4128111.0029968861</v>
      </c>
      <c r="F424" s="58" t="s">
        <v>371</v>
      </c>
      <c r="G424" s="25">
        <f t="shared" si="6"/>
        <v>-5.1198210213827533E-3</v>
      </c>
    </row>
    <row r="425" spans="1:7">
      <c r="A425" s="58">
        <v>114.27430344230883</v>
      </c>
      <c r="B425" s="58">
        <v>114.58967883775117</v>
      </c>
      <c r="C425" s="58">
        <v>112.90439156835619</v>
      </c>
      <c r="D425" s="58">
        <v>113.31832177487425</v>
      </c>
      <c r="E425" s="58">
        <v>4319391.3656116985</v>
      </c>
      <c r="F425" s="58" t="s">
        <v>372</v>
      </c>
      <c r="G425" s="25">
        <f t="shared" si="6"/>
        <v>8.4362497825709593E-3</v>
      </c>
    </row>
    <row r="426" spans="1:7">
      <c r="A426" s="58">
        <v>112.9733799361092</v>
      </c>
      <c r="B426" s="58">
        <v>113.6287694297628</v>
      </c>
      <c r="C426" s="58">
        <v>112.10609759864278</v>
      </c>
      <c r="D426" s="58">
        <v>112.10609759864278</v>
      </c>
      <c r="E426" s="58">
        <v>4405283.6717061764</v>
      </c>
      <c r="F426" s="58" t="s">
        <v>373</v>
      </c>
      <c r="G426" s="25">
        <f t="shared" si="6"/>
        <v>7.7362637362636821E-3</v>
      </c>
    </row>
    <row r="427" spans="1:7">
      <c r="A427" s="58">
        <v>111.72173383544742</v>
      </c>
      <c r="B427" s="58">
        <v>111.96812086313675</v>
      </c>
      <c r="C427" s="58">
        <v>110.18427878266604</v>
      </c>
      <c r="D427" s="58">
        <v>110.67705283804469</v>
      </c>
      <c r="E427" s="58">
        <v>7014316.1196748326</v>
      </c>
      <c r="F427" s="58" t="s">
        <v>374</v>
      </c>
      <c r="G427" s="25">
        <f t="shared" si="6"/>
        <v>9.4390026714157305E-3</v>
      </c>
    </row>
    <row r="428" spans="1:7">
      <c r="A428" s="58">
        <v>111.01213919570218</v>
      </c>
      <c r="B428" s="58">
        <v>111.12054948788547</v>
      </c>
      <c r="C428" s="58">
        <v>110.06601300937517</v>
      </c>
      <c r="D428" s="58">
        <v>110.50950965921594</v>
      </c>
      <c r="E428" s="58">
        <v>4430314.413210053</v>
      </c>
      <c r="F428" s="58" t="s">
        <v>375</v>
      </c>
      <c r="G428" s="25">
        <f t="shared" si="6"/>
        <v>4.5482921608848148E-3</v>
      </c>
    </row>
    <row r="429" spans="1:7">
      <c r="A429" s="58">
        <v>110.60806447029168</v>
      </c>
      <c r="B429" s="58">
        <v>111.86956605206103</v>
      </c>
      <c r="C429" s="58">
        <v>110.17442330155848</v>
      </c>
      <c r="D429" s="58">
        <v>111.86463831150724</v>
      </c>
      <c r="E429" s="58">
        <v>3523117.7068889574</v>
      </c>
      <c r="F429" s="58" t="s">
        <v>376</v>
      </c>
      <c r="G429" s="25">
        <f t="shared" si="6"/>
        <v>-1.1232985331042666E-2</v>
      </c>
    </row>
    <row r="430" spans="1:7">
      <c r="A430" s="58">
        <v>111.99768730645947</v>
      </c>
      <c r="B430" s="58">
        <v>112.14551952307308</v>
      </c>
      <c r="C430" s="58">
        <v>110.41095484814022</v>
      </c>
      <c r="D430" s="58">
        <v>111.73651705710878</v>
      </c>
      <c r="E430" s="58">
        <v>3504658.9428758835</v>
      </c>
      <c r="F430" s="58" t="s">
        <v>377</v>
      </c>
      <c r="G430" s="25">
        <f t="shared" si="6"/>
        <v>2.3373759647189463E-3</v>
      </c>
    </row>
    <row r="431" spans="1:7">
      <c r="A431" s="58">
        <v>111.91884345759888</v>
      </c>
      <c r="B431" s="58">
        <v>112.5693052106987</v>
      </c>
      <c r="C431" s="58">
        <v>111.16982689342333</v>
      </c>
      <c r="D431" s="58">
        <v>112.55944972959112</v>
      </c>
      <c r="E431" s="58">
        <v>4326485.8949641297</v>
      </c>
      <c r="F431" s="58" t="s">
        <v>378</v>
      </c>
      <c r="G431" s="25">
        <f t="shared" si="6"/>
        <v>-5.6912704666841618E-3</v>
      </c>
    </row>
    <row r="432" spans="1:7">
      <c r="A432" s="58">
        <v>112.36234010743968</v>
      </c>
      <c r="B432" s="58">
        <v>112.44118395630025</v>
      </c>
      <c r="C432" s="58">
        <v>110.47994321589323</v>
      </c>
      <c r="D432" s="58">
        <v>110.94315082794915</v>
      </c>
      <c r="E432" s="58">
        <v>5110129.0185926119</v>
      </c>
      <c r="F432" s="58" t="s">
        <v>379</v>
      </c>
      <c r="G432" s="25">
        <f t="shared" si="6"/>
        <v>1.2792040508128322E-2</v>
      </c>
    </row>
    <row r="433" spans="1:7">
      <c r="A433" s="58">
        <v>110.80517409244314</v>
      </c>
      <c r="B433" s="58">
        <v>111.74144479766257</v>
      </c>
      <c r="C433" s="58">
        <v>110.69676380025983</v>
      </c>
      <c r="D433" s="58">
        <v>111.2979481478218</v>
      </c>
      <c r="E433" s="58">
        <v>3618661.4951345106</v>
      </c>
      <c r="F433" s="58" t="s">
        <v>380</v>
      </c>
      <c r="G433" s="25">
        <f t="shared" si="6"/>
        <v>-4.4275214734792456E-3</v>
      </c>
    </row>
    <row r="434" spans="1:7">
      <c r="A434" s="58">
        <v>111.10083852567033</v>
      </c>
      <c r="B434" s="58">
        <v>111.2979481478218</v>
      </c>
      <c r="C434" s="58">
        <v>110.47994321589323</v>
      </c>
      <c r="D434" s="58">
        <v>110.68690831915227</v>
      </c>
      <c r="E434" s="58">
        <v>3560386.3085930152</v>
      </c>
      <c r="F434" s="58" t="s">
        <v>381</v>
      </c>
      <c r="G434" s="25">
        <f t="shared" si="6"/>
        <v>3.7396491852905722E-3</v>
      </c>
    </row>
    <row r="435" spans="1:7">
      <c r="A435" s="58">
        <v>110.98257275237945</v>
      </c>
      <c r="B435" s="58">
        <v>112.53973876737598</v>
      </c>
      <c r="C435" s="58">
        <v>110.23355618820389</v>
      </c>
      <c r="D435" s="58">
        <v>112.17508596639577</v>
      </c>
      <c r="E435" s="58">
        <v>5234908.3151664799</v>
      </c>
      <c r="F435" s="58" t="s">
        <v>382</v>
      </c>
      <c r="G435" s="25">
        <f t="shared" si="6"/>
        <v>-1.0630820593920065E-2</v>
      </c>
    </row>
    <row r="436" spans="1:7">
      <c r="A436" s="58">
        <v>111.70202287323228</v>
      </c>
      <c r="B436" s="58">
        <v>112.75655935174258</v>
      </c>
      <c r="C436" s="58">
        <v>111.54433517551112</v>
      </c>
      <c r="D436" s="58">
        <v>112.55944972959112</v>
      </c>
      <c r="E436" s="58">
        <v>5103576.3197141802</v>
      </c>
      <c r="F436" s="58" t="s">
        <v>383</v>
      </c>
      <c r="G436" s="25">
        <f t="shared" si="6"/>
        <v>-7.6175466246387602E-3</v>
      </c>
    </row>
    <row r="437" spans="1:7">
      <c r="A437" s="58">
        <v>113.15077859604551</v>
      </c>
      <c r="B437" s="58">
        <v>113.23947792601368</v>
      </c>
      <c r="C437" s="58">
        <v>111.32751459114449</v>
      </c>
      <c r="D437" s="58">
        <v>112.14551952307308</v>
      </c>
      <c r="E437" s="58">
        <v>5078798.2294987412</v>
      </c>
      <c r="F437" s="58" t="s">
        <v>384</v>
      </c>
      <c r="G437" s="25">
        <f t="shared" si="6"/>
        <v>8.9638808331136133E-3</v>
      </c>
    </row>
    <row r="438" spans="1:7">
      <c r="A438" s="58">
        <v>112.05682019310491</v>
      </c>
      <c r="B438" s="58">
        <v>112.51017232405326</v>
      </c>
      <c r="C438" s="58">
        <v>111.56404613772627</v>
      </c>
      <c r="D438" s="58">
        <v>112.10609759864278</v>
      </c>
      <c r="E438" s="58">
        <v>8526612.6618038006</v>
      </c>
      <c r="F438" s="58" t="s">
        <v>385</v>
      </c>
      <c r="G438" s="25">
        <f t="shared" si="6"/>
        <v>-4.3956043956039359E-4</v>
      </c>
    </row>
    <row r="439" spans="1:7">
      <c r="A439" s="58">
        <v>112.50031684294569</v>
      </c>
      <c r="B439" s="58">
        <v>113.98849449018921</v>
      </c>
      <c r="C439" s="58">
        <v>111.61332354326412</v>
      </c>
      <c r="D439" s="58">
        <v>113.82095131136046</v>
      </c>
      <c r="E439" s="58">
        <v>8263603.6852041455</v>
      </c>
      <c r="F439" s="58" t="s">
        <v>386</v>
      </c>
      <c r="G439" s="25">
        <f t="shared" si="6"/>
        <v>-1.160273616763341E-2</v>
      </c>
    </row>
    <row r="440" spans="1:7">
      <c r="A440" s="58">
        <v>113.21976696379852</v>
      </c>
      <c r="B440" s="58">
        <v>115.80190301398264</v>
      </c>
      <c r="C440" s="58">
        <v>112.86122456110502</v>
      </c>
      <c r="D440" s="58">
        <v>115.80190301398264</v>
      </c>
      <c r="E440" s="58">
        <v>6078081.7644681744</v>
      </c>
      <c r="F440" s="58" t="s">
        <v>387</v>
      </c>
      <c r="G440" s="25">
        <f t="shared" si="6"/>
        <v>-2.2297872340425462E-2</v>
      </c>
    </row>
    <row r="441" spans="1:7">
      <c r="A441" s="58">
        <v>116.42279832375974</v>
      </c>
      <c r="B441" s="58">
        <v>116.82687304917025</v>
      </c>
      <c r="C441" s="58">
        <v>115.56537146740089</v>
      </c>
      <c r="D441" s="58">
        <v>116.09756744720983</v>
      </c>
      <c r="E441" s="58">
        <v>5055606.0588167477</v>
      </c>
      <c r="F441" s="58" t="s">
        <v>388</v>
      </c>
      <c r="G441" s="25">
        <f t="shared" si="6"/>
        <v>2.8013582342953924E-3</v>
      </c>
    </row>
    <row r="442" spans="1:7">
      <c r="A442" s="58">
        <v>115.93002426838109</v>
      </c>
      <c r="B442" s="58">
        <v>115.97930167391897</v>
      </c>
      <c r="C442" s="58">
        <v>114.73751105436476</v>
      </c>
      <c r="D442" s="58">
        <v>115.30912895860399</v>
      </c>
      <c r="E442" s="58">
        <v>3690501.7221383401</v>
      </c>
      <c r="F442" s="58" t="s">
        <v>389</v>
      </c>
      <c r="G442" s="25">
        <f t="shared" si="6"/>
        <v>5.3846153846153211E-3</v>
      </c>
    </row>
    <row r="443" spans="1:7">
      <c r="A443" s="58">
        <v>114.71780009214962</v>
      </c>
      <c r="B443" s="58">
        <v>115.35840636414186</v>
      </c>
      <c r="C443" s="58">
        <v>114.26444796120126</v>
      </c>
      <c r="D443" s="58">
        <v>114.34329181006184</v>
      </c>
      <c r="E443" s="58">
        <v>3399199.8598889192</v>
      </c>
      <c r="F443" s="58" t="s">
        <v>390</v>
      </c>
      <c r="G443" s="25">
        <f t="shared" si="6"/>
        <v>3.2752973625236326E-3</v>
      </c>
    </row>
    <row r="444" spans="1:7">
      <c r="A444" s="58">
        <v>115.14158577977526</v>
      </c>
      <c r="B444" s="58">
        <v>115.60972113238498</v>
      </c>
      <c r="C444" s="58">
        <v>113.9195061224362</v>
      </c>
      <c r="D444" s="58">
        <v>114.81142716267156</v>
      </c>
      <c r="E444" s="58">
        <v>4413157.4628639081</v>
      </c>
      <c r="F444" s="58" t="s">
        <v>391</v>
      </c>
      <c r="G444" s="25">
        <f t="shared" si="6"/>
        <v>2.8756598995665072E-3</v>
      </c>
    </row>
    <row r="445" spans="1:7">
      <c r="A445" s="58">
        <v>114.91490971430107</v>
      </c>
      <c r="B445" s="58">
        <v>115.03317548759195</v>
      </c>
      <c r="C445" s="58">
        <v>113.06207926607735</v>
      </c>
      <c r="D445" s="58">
        <v>114.70794461104204</v>
      </c>
      <c r="E445" s="58">
        <v>6631442.8779920386</v>
      </c>
      <c r="F445" s="58" t="s">
        <v>392</v>
      </c>
      <c r="G445" s="25">
        <f t="shared" si="6"/>
        <v>1.8042787181029585E-3</v>
      </c>
    </row>
    <row r="446" spans="1:7">
      <c r="A446" s="58">
        <v>115.4175392507873</v>
      </c>
      <c r="B446" s="58">
        <v>115.55551598629332</v>
      </c>
      <c r="C446" s="58">
        <v>113.76181842471505</v>
      </c>
      <c r="D446" s="58">
        <v>114.47141306446029</v>
      </c>
      <c r="E446" s="58">
        <v>5036538.4965182813</v>
      </c>
      <c r="F446" s="58" t="s">
        <v>393</v>
      </c>
      <c r="G446" s="25">
        <f t="shared" si="6"/>
        <v>8.2651743435213643E-3</v>
      </c>
    </row>
    <row r="447" spans="1:7">
      <c r="A447" s="58">
        <v>114.74736653547234</v>
      </c>
      <c r="B447" s="58">
        <v>115.04303096869953</v>
      </c>
      <c r="C447" s="58">
        <v>112.66786002177443</v>
      </c>
      <c r="D447" s="58">
        <v>112.80583675728045</v>
      </c>
      <c r="E447" s="58">
        <v>5175799.0749739977</v>
      </c>
      <c r="F447" s="58" t="s">
        <v>394</v>
      </c>
      <c r="G447" s="25">
        <f t="shared" si="6"/>
        <v>1.7211252839419933E-2</v>
      </c>
    </row>
    <row r="448" spans="1:7">
      <c r="A448" s="58">
        <v>112.21450789082607</v>
      </c>
      <c r="B448" s="58">
        <v>112.68757098398959</v>
      </c>
      <c r="C448" s="58">
        <v>111.37679199668237</v>
      </c>
      <c r="D448" s="58">
        <v>111.98783182535189</v>
      </c>
      <c r="E448" s="58">
        <v>3858076.4941838123</v>
      </c>
      <c r="F448" s="58" t="s">
        <v>395</v>
      </c>
      <c r="G448" s="25">
        <f t="shared" si="6"/>
        <v>2.0241133503475783E-3</v>
      </c>
    </row>
    <row r="449" spans="1:7">
      <c r="A449" s="58">
        <v>111.46549132665052</v>
      </c>
      <c r="B449" s="58">
        <v>112.8255477194956</v>
      </c>
      <c r="C449" s="58">
        <v>110.89387342241129</v>
      </c>
      <c r="D449" s="58">
        <v>112.608727135129</v>
      </c>
      <c r="E449" s="58">
        <v>2970944.7646854157</v>
      </c>
      <c r="F449" s="58" t="s">
        <v>396</v>
      </c>
      <c r="G449" s="25">
        <f t="shared" si="6"/>
        <v>-1.0152284263959532E-2</v>
      </c>
    </row>
    <row r="450" spans="1:7">
      <c r="A450" s="58">
        <v>112.74670387063502</v>
      </c>
      <c r="B450" s="58">
        <v>113.9195061224362</v>
      </c>
      <c r="C450" s="58">
        <v>111.92869893870645</v>
      </c>
      <c r="D450" s="58">
        <v>113.03251282275463</v>
      </c>
      <c r="E450" s="58">
        <v>3712859.8391693477</v>
      </c>
      <c r="F450" s="58" t="s">
        <v>397</v>
      </c>
      <c r="G450" s="25">
        <f t="shared" si="6"/>
        <v>-2.5285552358531582E-3</v>
      </c>
    </row>
    <row r="451" spans="1:7">
      <c r="A451" s="58">
        <v>113.0029463794319</v>
      </c>
      <c r="B451" s="58">
        <v>113.17048955826066</v>
      </c>
      <c r="C451" s="58">
        <v>111.72173383544742</v>
      </c>
      <c r="D451" s="58">
        <v>111.72173383544742</v>
      </c>
      <c r="E451" s="58">
        <v>4502054.1884967936</v>
      </c>
      <c r="F451" s="58" t="s">
        <v>398</v>
      </c>
      <c r="G451" s="25">
        <f t="shared" ref="G451:G514" si="7">A451/D451-1</f>
        <v>1.1467889908256756E-2</v>
      </c>
    </row>
    <row r="452" spans="1:7">
      <c r="A452" s="58">
        <v>111.63303450547926</v>
      </c>
      <c r="B452" s="58">
        <v>111.83014412763073</v>
      </c>
      <c r="C452" s="58">
        <v>110.27297811263419</v>
      </c>
      <c r="D452" s="58">
        <v>111.36693651557479</v>
      </c>
      <c r="E452" s="58">
        <v>4383488.6930891564</v>
      </c>
      <c r="F452" s="58" t="s">
        <v>399</v>
      </c>
      <c r="G452" s="25">
        <f t="shared" si="7"/>
        <v>2.3893805309733729E-3</v>
      </c>
    </row>
    <row r="453" spans="1:7">
      <c r="A453" s="58">
        <v>111.13040496899305</v>
      </c>
      <c r="B453" s="58">
        <v>111.85971057095345</v>
      </c>
      <c r="C453" s="58">
        <v>110.89387342241129</v>
      </c>
      <c r="D453" s="58">
        <v>111.6576732082482</v>
      </c>
      <c r="E453" s="58">
        <v>3425268.6024693884</v>
      </c>
      <c r="F453" s="58" t="s">
        <v>400</v>
      </c>
      <c r="G453" s="25">
        <f t="shared" si="7"/>
        <v>-4.7221854450769651E-3</v>
      </c>
    </row>
    <row r="454" spans="1:7">
      <c r="A454" s="58">
        <v>111.26838170449908</v>
      </c>
      <c r="B454" s="58">
        <v>111.78086672209287</v>
      </c>
      <c r="C454" s="58">
        <v>110.74604120579771</v>
      </c>
      <c r="D454" s="58">
        <v>111.46549132665052</v>
      </c>
      <c r="E454" s="58">
        <v>3892910.917410112</v>
      </c>
      <c r="F454" s="58" t="s">
        <v>401</v>
      </c>
      <c r="G454" s="25">
        <f t="shared" si="7"/>
        <v>-1.7683465959326128E-3</v>
      </c>
    </row>
    <row r="455" spans="1:7">
      <c r="A455" s="58">
        <v>111.46549132665052</v>
      </c>
      <c r="B455" s="58">
        <v>111.53447969440354</v>
      </c>
      <c r="C455" s="58">
        <v>110.51936514032352</v>
      </c>
      <c r="D455" s="58">
        <v>111.42114166166645</v>
      </c>
      <c r="E455" s="58">
        <v>2745063.3515203698</v>
      </c>
      <c r="F455" s="58" t="s">
        <v>402</v>
      </c>
      <c r="G455" s="25">
        <f t="shared" si="7"/>
        <v>3.9803635398683035E-4</v>
      </c>
    </row>
    <row r="456" spans="1:7">
      <c r="A456" s="58">
        <v>111.0712720823476</v>
      </c>
      <c r="B456" s="58">
        <v>111.6182512838179</v>
      </c>
      <c r="C456" s="58">
        <v>110.44052129146294</v>
      </c>
      <c r="D456" s="58">
        <v>111.10576626622411</v>
      </c>
      <c r="E456" s="58">
        <v>3259814.4777846974</v>
      </c>
      <c r="F456" s="58" t="s">
        <v>403</v>
      </c>
      <c r="G456" s="25">
        <f t="shared" si="7"/>
        <v>-3.1046258925793158E-4</v>
      </c>
    </row>
    <row r="457" spans="1:7">
      <c r="A457" s="58">
        <v>111.06141660124003</v>
      </c>
      <c r="B457" s="58">
        <v>111.15011593120819</v>
      </c>
      <c r="C457" s="58">
        <v>110.27297811263419</v>
      </c>
      <c r="D457" s="58">
        <v>110.77560764912042</v>
      </c>
      <c r="E457" s="58">
        <v>4577794.7831823658</v>
      </c>
      <c r="F457" s="58" t="s">
        <v>404</v>
      </c>
      <c r="G457" s="25">
        <f t="shared" si="7"/>
        <v>2.5800711743770854E-3</v>
      </c>
    </row>
    <row r="458" spans="1:7">
      <c r="A458" s="58">
        <v>110.47994321589323</v>
      </c>
      <c r="B458" s="58">
        <v>110.52922062143109</v>
      </c>
      <c r="C458" s="58">
        <v>109.44511769959806</v>
      </c>
      <c r="D458" s="58">
        <v>110.17442330155848</v>
      </c>
      <c r="E458" s="58">
        <v>3744542.7166049369</v>
      </c>
      <c r="F458" s="58" t="s">
        <v>405</v>
      </c>
      <c r="G458" s="25">
        <f t="shared" si="7"/>
        <v>2.7730566240271592E-3</v>
      </c>
    </row>
    <row r="459" spans="1:7">
      <c r="A459" s="58">
        <v>109.78020405725555</v>
      </c>
      <c r="B459" s="58">
        <v>109.83933694390099</v>
      </c>
      <c r="C459" s="58">
        <v>109.08046489861788</v>
      </c>
      <c r="D459" s="58">
        <v>109.36627385073749</v>
      </c>
      <c r="E459" s="58">
        <v>4141481.2280078949</v>
      </c>
      <c r="F459" s="58" t="s">
        <v>406</v>
      </c>
      <c r="G459" s="25">
        <f t="shared" si="7"/>
        <v>3.7848067045147538E-3</v>
      </c>
    </row>
    <row r="460" spans="1:7">
      <c r="A460" s="58">
        <v>109.16916422858601</v>
      </c>
      <c r="B460" s="58">
        <v>110.47008773478566</v>
      </c>
      <c r="C460" s="58">
        <v>108.73552305985281</v>
      </c>
      <c r="D460" s="58">
        <v>110.20398974488118</v>
      </c>
      <c r="E460" s="58">
        <v>5907768.4148022486</v>
      </c>
      <c r="F460" s="58" t="s">
        <v>407</v>
      </c>
      <c r="G460" s="25">
        <f t="shared" si="7"/>
        <v>-9.3900912180290286E-3</v>
      </c>
    </row>
    <row r="461" spans="1:7">
      <c r="A461" s="58">
        <v>110.28283359374177</v>
      </c>
      <c r="B461" s="58">
        <v>110.62777543250682</v>
      </c>
      <c r="C461" s="58">
        <v>109.23815259633903</v>
      </c>
      <c r="D461" s="58">
        <v>109.39584029406019</v>
      </c>
      <c r="E461" s="58">
        <v>3547166.2538257358</v>
      </c>
      <c r="F461" s="58" t="s">
        <v>408</v>
      </c>
      <c r="G461" s="25">
        <f t="shared" si="7"/>
        <v>8.1081081081082473E-3</v>
      </c>
    </row>
    <row r="462" spans="1:7">
      <c r="A462" s="58">
        <v>109.39584029406019</v>
      </c>
      <c r="B462" s="58">
        <v>109.98716916051457</v>
      </c>
      <c r="C462" s="58">
        <v>108.97205460643455</v>
      </c>
      <c r="D462" s="58">
        <v>109.75063761393282</v>
      </c>
      <c r="E462" s="58">
        <v>4711381.361618232</v>
      </c>
      <c r="F462" s="58" t="s">
        <v>409</v>
      </c>
      <c r="G462" s="25">
        <f t="shared" si="7"/>
        <v>-3.2327586206897241E-3</v>
      </c>
    </row>
    <row r="463" spans="1:7">
      <c r="A463" s="58">
        <v>109.33670740741476</v>
      </c>
      <c r="B463" s="58">
        <v>109.7210711706101</v>
      </c>
      <c r="C463" s="58">
        <v>108.17376063672116</v>
      </c>
      <c r="D463" s="58">
        <v>108.87349979535882</v>
      </c>
      <c r="E463" s="58">
        <v>7567983.6616690103</v>
      </c>
      <c r="F463" s="58" t="s">
        <v>410</v>
      </c>
      <c r="G463" s="25">
        <f t="shared" si="7"/>
        <v>4.2545487462659626E-3</v>
      </c>
    </row>
    <row r="464" spans="1:7">
      <c r="A464" s="58">
        <v>108.30188189111959</v>
      </c>
      <c r="B464" s="58">
        <v>108.58769084323922</v>
      </c>
      <c r="C464" s="58">
        <v>106.15338700966868</v>
      </c>
      <c r="D464" s="58">
        <v>106.50818432954131</v>
      </c>
      <c r="E464" s="58">
        <v>5908526.3686675616</v>
      </c>
      <c r="F464" s="58" t="s">
        <v>411</v>
      </c>
      <c r="G464" s="25">
        <f t="shared" si="7"/>
        <v>1.6840936430091658E-2</v>
      </c>
    </row>
    <row r="465" spans="1:7">
      <c r="A465" s="58">
        <v>106.67572750837004</v>
      </c>
      <c r="B465" s="58">
        <v>106.99110290381239</v>
      </c>
      <c r="C465" s="58">
        <v>106.04497671748538</v>
      </c>
      <c r="D465" s="58">
        <v>106.24208633963684</v>
      </c>
      <c r="E465" s="58">
        <v>4992685.7413577139</v>
      </c>
      <c r="F465" s="58" t="s">
        <v>412</v>
      </c>
      <c r="G465" s="25">
        <f t="shared" si="7"/>
        <v>4.0816326530610514E-3</v>
      </c>
    </row>
    <row r="466" spans="1:7">
      <c r="A466" s="58">
        <v>106.24208633963684</v>
      </c>
      <c r="B466" s="58">
        <v>106.83341520609123</v>
      </c>
      <c r="C466" s="58">
        <v>105.55713040266052</v>
      </c>
      <c r="D466" s="58">
        <v>106.83341520609123</v>
      </c>
      <c r="E466" s="58">
        <v>4866272.8360513784</v>
      </c>
      <c r="F466" s="58" t="s">
        <v>413</v>
      </c>
      <c r="G466" s="25">
        <f t="shared" si="7"/>
        <v>-5.5350553505536526E-3</v>
      </c>
    </row>
    <row r="467" spans="1:7">
      <c r="A467" s="58">
        <v>107.13893512042598</v>
      </c>
      <c r="B467" s="58">
        <v>107.70069754355765</v>
      </c>
      <c r="C467" s="58">
        <v>106.13367604745353</v>
      </c>
      <c r="D467" s="58">
        <v>107.70069754355765</v>
      </c>
      <c r="E467" s="58">
        <v>5514852.0307381116</v>
      </c>
      <c r="F467" s="58" t="s">
        <v>414</v>
      </c>
      <c r="G467" s="25">
        <f t="shared" si="7"/>
        <v>-5.2159590043924231E-3</v>
      </c>
    </row>
    <row r="468" spans="1:7">
      <c r="A468" s="58">
        <v>108.17376063672116</v>
      </c>
      <c r="B468" s="58">
        <v>109.61266087842681</v>
      </c>
      <c r="C468" s="58">
        <v>107.64156465691221</v>
      </c>
      <c r="D468" s="58">
        <v>108.36101477776504</v>
      </c>
      <c r="E468" s="58">
        <v>5556859.1124301339</v>
      </c>
      <c r="F468" s="58" t="s">
        <v>415</v>
      </c>
      <c r="G468" s="25">
        <f t="shared" si="7"/>
        <v>-1.7280582082763729E-3</v>
      </c>
    </row>
    <row r="469" spans="1:7">
      <c r="A469" s="58">
        <v>108.35115929665746</v>
      </c>
      <c r="B469" s="58">
        <v>110.72633024358255</v>
      </c>
      <c r="C469" s="58">
        <v>107.81896331684852</v>
      </c>
      <c r="D469" s="58">
        <v>108.02592842010755</v>
      </c>
      <c r="E469" s="58">
        <v>6458522.8570008278</v>
      </c>
      <c r="F469" s="58" t="s">
        <v>416</v>
      </c>
      <c r="G469" s="25">
        <f t="shared" si="7"/>
        <v>3.0106742085576066E-3</v>
      </c>
    </row>
    <row r="470" spans="1:7">
      <c r="A470" s="58">
        <v>107.91751812792425</v>
      </c>
      <c r="B470" s="58">
        <v>109.04104297418758</v>
      </c>
      <c r="C470" s="58">
        <v>107.0600912715654</v>
      </c>
      <c r="D470" s="58">
        <v>107.37546666700774</v>
      </c>
      <c r="E470" s="58">
        <v>5717439.8068402652</v>
      </c>
      <c r="F470" s="58" t="s">
        <v>417</v>
      </c>
      <c r="G470" s="25">
        <f t="shared" si="7"/>
        <v>5.0481872418539631E-3</v>
      </c>
    </row>
    <row r="471" spans="1:7">
      <c r="A471" s="58">
        <v>107.0600912715654</v>
      </c>
      <c r="B471" s="58">
        <v>110.3813884048175</v>
      </c>
      <c r="C471" s="58">
        <v>106.80384876276851</v>
      </c>
      <c r="D471" s="58">
        <v>109.73092665171768</v>
      </c>
      <c r="E471" s="58">
        <v>7225801.4827179844</v>
      </c>
      <c r="F471" s="58" t="s">
        <v>418</v>
      </c>
      <c r="G471" s="25">
        <f t="shared" si="7"/>
        <v>-2.4339859888629412E-2</v>
      </c>
    </row>
    <row r="472" spans="1:7">
      <c r="A472" s="58">
        <v>109.70136020839496</v>
      </c>
      <c r="B472" s="58">
        <v>110.4208103292478</v>
      </c>
      <c r="C472" s="58">
        <v>106.83341520609123</v>
      </c>
      <c r="D472" s="58">
        <v>108.58769084323922</v>
      </c>
      <c r="E472" s="58">
        <v>10030651.869855238</v>
      </c>
      <c r="F472" s="58" t="s">
        <v>419</v>
      </c>
      <c r="G472" s="25">
        <f t="shared" si="7"/>
        <v>1.0255944817571194E-2</v>
      </c>
    </row>
    <row r="473" spans="1:7">
      <c r="A473" s="58">
        <v>108.55812439991649</v>
      </c>
      <c r="B473" s="58">
        <v>109.08046489861788</v>
      </c>
      <c r="C473" s="58">
        <v>104.79333061682361</v>
      </c>
      <c r="D473" s="58">
        <v>105.10870601226596</v>
      </c>
      <c r="E473" s="58">
        <v>9202142.341921011</v>
      </c>
      <c r="F473" s="58" t="s">
        <v>420</v>
      </c>
      <c r="G473" s="25">
        <f t="shared" si="7"/>
        <v>3.2817627754336609E-2</v>
      </c>
    </row>
    <row r="474" spans="1:7">
      <c r="A474" s="58">
        <v>104.40896685362826</v>
      </c>
      <c r="B474" s="58">
        <v>105.28610467220226</v>
      </c>
      <c r="C474" s="58">
        <v>102.05350686891832</v>
      </c>
      <c r="D474" s="58">
        <v>103.97532568489505</v>
      </c>
      <c r="E474" s="58">
        <v>8359210.3826058554</v>
      </c>
      <c r="F474" s="58" t="s">
        <v>421</v>
      </c>
      <c r="G474" s="25">
        <f t="shared" si="7"/>
        <v>4.1706161137440301E-3</v>
      </c>
    </row>
    <row r="475" spans="1:7">
      <c r="A475" s="58">
        <v>103.79792702495874</v>
      </c>
      <c r="B475" s="58">
        <v>104.14779660427757</v>
      </c>
      <c r="C475" s="58">
        <v>101.29463482363521</v>
      </c>
      <c r="D475" s="58">
        <v>103.24602008293466</v>
      </c>
      <c r="E475" s="58">
        <v>9260149.6572169345</v>
      </c>
      <c r="F475" s="58" t="s">
        <v>422</v>
      </c>
      <c r="G475" s="25">
        <f t="shared" si="7"/>
        <v>5.3455517373042216E-3</v>
      </c>
    </row>
    <row r="476" spans="1:7">
      <c r="A476" s="58">
        <v>103.25587556404223</v>
      </c>
      <c r="B476" s="58">
        <v>103.65502254889893</v>
      </c>
      <c r="C476" s="58">
        <v>98.475967226869329</v>
      </c>
      <c r="D476" s="58">
        <v>99.136284461076713</v>
      </c>
      <c r="E476" s="58">
        <v>19737936.471769478</v>
      </c>
      <c r="F476" s="58" t="s">
        <v>423</v>
      </c>
      <c r="G476" s="25">
        <f t="shared" si="7"/>
        <v>4.1554826523511279E-2</v>
      </c>
    </row>
    <row r="477" spans="1:7">
      <c r="A477" s="58">
        <v>103.71908317609815</v>
      </c>
      <c r="B477" s="58">
        <v>105.59162458653702</v>
      </c>
      <c r="C477" s="58">
        <v>103.14746527185892</v>
      </c>
      <c r="D477" s="58">
        <v>104.92145187122206</v>
      </c>
      <c r="E477" s="58">
        <v>8737838.2709118519</v>
      </c>
      <c r="F477" s="58" t="s">
        <v>424</v>
      </c>
      <c r="G477" s="25">
        <f t="shared" si="7"/>
        <v>-1.1459703174901414E-2</v>
      </c>
    </row>
    <row r="478" spans="1:7">
      <c r="A478" s="58">
        <v>104.4286778158434</v>
      </c>
      <c r="B478" s="58">
        <v>107.13893512042598</v>
      </c>
      <c r="C478" s="58">
        <v>104.38925589141311</v>
      </c>
      <c r="D478" s="58">
        <v>105.47335881324615</v>
      </c>
      <c r="E478" s="58">
        <v>6449837.3347959081</v>
      </c>
      <c r="F478" s="58" t="s">
        <v>425</v>
      </c>
      <c r="G478" s="25">
        <f t="shared" si="7"/>
        <v>-9.9046907120166061E-3</v>
      </c>
    </row>
    <row r="479" spans="1:7">
      <c r="A479" s="58">
        <v>105.70989035982791</v>
      </c>
      <c r="B479" s="58">
        <v>105.75916776536577</v>
      </c>
      <c r="C479" s="58">
        <v>102.04365138781075</v>
      </c>
      <c r="D479" s="58">
        <v>102.71382410312572</v>
      </c>
      <c r="E479" s="58">
        <v>8808194.0447631348</v>
      </c>
      <c r="F479" s="58" t="s">
        <v>426</v>
      </c>
      <c r="G479" s="25">
        <f t="shared" si="7"/>
        <v>2.9169065438495512E-2</v>
      </c>
    </row>
    <row r="480" spans="1:7">
      <c r="A480" s="58">
        <v>102.41815966989853</v>
      </c>
      <c r="B480" s="58">
        <v>102.82223439530901</v>
      </c>
      <c r="C480" s="58">
        <v>101.87610820898202</v>
      </c>
      <c r="D480" s="58">
        <v>102.50685899986668</v>
      </c>
      <c r="E480" s="58">
        <v>5981089.0363033889</v>
      </c>
      <c r="F480" s="58" t="s">
        <v>427</v>
      </c>
      <c r="G480" s="25">
        <f t="shared" si="7"/>
        <v>-8.6530141332552546E-4</v>
      </c>
    </row>
    <row r="481" spans="1:7">
      <c r="A481" s="58">
        <v>102.22105004774706</v>
      </c>
      <c r="B481" s="58">
        <v>102.32946033993036</v>
      </c>
      <c r="C481" s="58">
        <v>100.83142721157927</v>
      </c>
      <c r="D481" s="58">
        <v>101.01868135262316</v>
      </c>
      <c r="E481" s="58">
        <v>7995808.5394175043</v>
      </c>
      <c r="F481" s="58" t="s">
        <v>428</v>
      </c>
      <c r="G481" s="25">
        <f t="shared" si="7"/>
        <v>1.1902439024390032E-2</v>
      </c>
    </row>
    <row r="482" spans="1:7">
      <c r="A482" s="58">
        <v>100.55547374056722</v>
      </c>
      <c r="B482" s="58">
        <v>100.92012654154743</v>
      </c>
      <c r="C482" s="58">
        <v>98.633654924590488</v>
      </c>
      <c r="D482" s="58">
        <v>99.155995423291856</v>
      </c>
      <c r="E482" s="58">
        <v>12139012.666573057</v>
      </c>
      <c r="F482" s="58" t="s">
        <v>429</v>
      </c>
      <c r="G482" s="25">
        <f t="shared" si="7"/>
        <v>1.4113905178411823E-2</v>
      </c>
    </row>
    <row r="483" spans="1:7">
      <c r="A483" s="58">
        <v>98.623799443482909</v>
      </c>
      <c r="B483" s="58">
        <v>102.63990799481891</v>
      </c>
      <c r="C483" s="58">
        <v>98.269002123610292</v>
      </c>
      <c r="D483" s="58">
        <v>100.91027106043985</v>
      </c>
      <c r="E483" s="58">
        <v>13270568.790345719</v>
      </c>
      <c r="F483" s="58" t="s">
        <v>430</v>
      </c>
      <c r="G483" s="25">
        <f t="shared" si="7"/>
        <v>-2.2658462740502094E-2</v>
      </c>
    </row>
    <row r="484" spans="1:7">
      <c r="A484" s="58">
        <v>103.16717623407408</v>
      </c>
      <c r="B484" s="58">
        <v>104.12315790150865</v>
      </c>
      <c r="C484" s="58">
        <v>101.01868135262316</v>
      </c>
      <c r="D484" s="58">
        <v>101.16651356923676</v>
      </c>
      <c r="E484" s="58">
        <v>13635402.32416855</v>
      </c>
      <c r="F484" s="58" t="s">
        <v>431</v>
      </c>
      <c r="G484" s="25">
        <f t="shared" si="7"/>
        <v>1.9775937652216413E-2</v>
      </c>
    </row>
    <row r="485" spans="1:7">
      <c r="A485" s="58">
        <v>101.23550193698976</v>
      </c>
      <c r="B485" s="58">
        <v>102.36888226436066</v>
      </c>
      <c r="C485" s="58">
        <v>101.02853683373074</v>
      </c>
      <c r="D485" s="58">
        <v>101.42768381858744</v>
      </c>
      <c r="E485" s="58">
        <v>7769210.7736033136</v>
      </c>
      <c r="F485" s="58" t="s">
        <v>432</v>
      </c>
      <c r="G485" s="25">
        <f t="shared" si="7"/>
        <v>-1.8947675265996722E-3</v>
      </c>
    </row>
    <row r="486" spans="1:7">
      <c r="A486" s="58">
        <v>101.47203348357151</v>
      </c>
      <c r="B486" s="58">
        <v>102.65469121648027</v>
      </c>
      <c r="C486" s="58">
        <v>101.09752520148373</v>
      </c>
      <c r="D486" s="58">
        <v>102.42801515100611</v>
      </c>
      <c r="E486" s="58">
        <v>5043784.2107782513</v>
      </c>
      <c r="F486" s="58" t="s">
        <v>433</v>
      </c>
      <c r="G486" s="25">
        <f t="shared" si="7"/>
        <v>-9.3332050418553081E-3</v>
      </c>
    </row>
    <row r="487" spans="1:7">
      <c r="A487" s="58">
        <v>102.17177264220919</v>
      </c>
      <c r="B487" s="58">
        <v>102.8678190687681</v>
      </c>
      <c r="C487" s="58">
        <v>102.06393446344654</v>
      </c>
      <c r="D487" s="58">
        <v>102.61292882805638</v>
      </c>
      <c r="E487" s="58">
        <v>4363497.4681433719</v>
      </c>
      <c r="F487" s="58" t="s">
        <v>434</v>
      </c>
      <c r="G487" s="25">
        <f t="shared" si="7"/>
        <v>-4.2992261392948983E-3</v>
      </c>
    </row>
    <row r="488" spans="1:7">
      <c r="A488" s="58">
        <v>102.13255875902279</v>
      </c>
      <c r="B488" s="58">
        <v>102.58351841566657</v>
      </c>
      <c r="C488" s="58">
        <v>101.03457002980311</v>
      </c>
      <c r="D488" s="58">
        <v>101.34828109529444</v>
      </c>
      <c r="E488" s="58">
        <v>5126024.3481733883</v>
      </c>
      <c r="F488" s="58" t="s">
        <v>435</v>
      </c>
      <c r="G488" s="25">
        <f t="shared" si="7"/>
        <v>7.7384407041982683E-3</v>
      </c>
    </row>
    <row r="489" spans="1:7">
      <c r="A489" s="58">
        <v>101.02476655900649</v>
      </c>
      <c r="B489" s="58">
        <v>101.05417697139632</v>
      </c>
      <c r="C489" s="58">
        <v>99.279748757210939</v>
      </c>
      <c r="D489" s="58">
        <v>99.426800819160007</v>
      </c>
      <c r="E489" s="58">
        <v>6731242.5740950657</v>
      </c>
      <c r="F489" s="58" t="s">
        <v>436</v>
      </c>
      <c r="G489" s="25">
        <f t="shared" si="7"/>
        <v>1.607178071386306E-2</v>
      </c>
    </row>
    <row r="490" spans="1:7">
      <c r="A490" s="58">
        <v>99.642477176685304</v>
      </c>
      <c r="B490" s="58">
        <v>100.5738069023627</v>
      </c>
      <c r="C490" s="58">
        <v>98.769968275787534</v>
      </c>
      <c r="D490" s="58">
        <v>100.37773748643062</v>
      </c>
      <c r="E490" s="58">
        <v>6394913.7301164512</v>
      </c>
      <c r="F490" s="58" t="s">
        <v>437</v>
      </c>
      <c r="G490" s="25">
        <f t="shared" si="7"/>
        <v>-7.3249340755933146E-3</v>
      </c>
    </row>
    <row r="491" spans="1:7">
      <c r="A491" s="58">
        <v>100.11304377492232</v>
      </c>
      <c r="B491" s="58">
        <v>101.80904422273483</v>
      </c>
      <c r="C491" s="58">
        <v>99.936581300583427</v>
      </c>
      <c r="D491" s="58">
        <v>101.74041992715861</v>
      </c>
      <c r="E491" s="58">
        <v>4633010.1799999932</v>
      </c>
      <c r="F491" s="58" t="s">
        <v>438</v>
      </c>
      <c r="G491" s="25">
        <f t="shared" si="7"/>
        <v>-1.5995374831374032E-2</v>
      </c>
    </row>
    <row r="492" spans="1:7">
      <c r="A492" s="58">
        <v>101.9757032262771</v>
      </c>
      <c r="B492" s="58">
        <v>102.02472058026012</v>
      </c>
      <c r="C492" s="58">
        <v>99.760118826244565</v>
      </c>
      <c r="D492" s="58">
        <v>100.02481253775287</v>
      </c>
      <c r="E492" s="58">
        <v>6714754.5359957432</v>
      </c>
      <c r="F492" s="58" t="s">
        <v>439</v>
      </c>
      <c r="G492" s="25">
        <f t="shared" si="7"/>
        <v>1.9504067431147742E-2</v>
      </c>
    </row>
    <row r="493" spans="1:7">
      <c r="A493" s="58">
        <v>100.31891666165099</v>
      </c>
      <c r="B493" s="58">
        <v>101.62277827759935</v>
      </c>
      <c r="C493" s="58">
        <v>100.17186459970193</v>
      </c>
      <c r="D493" s="58">
        <v>101.32867415370123</v>
      </c>
      <c r="E493" s="58">
        <v>2058297.5579413695</v>
      </c>
      <c r="F493" s="58" t="s">
        <v>440</v>
      </c>
      <c r="G493" s="25">
        <f t="shared" si="7"/>
        <v>-9.9651702786378582E-3</v>
      </c>
    </row>
    <row r="494" spans="1:7">
      <c r="A494" s="58">
        <v>101.17181862095556</v>
      </c>
      <c r="B494" s="58">
        <v>101.35808456609104</v>
      </c>
      <c r="C494" s="58">
        <v>100.68164508112535</v>
      </c>
      <c r="D494" s="58">
        <v>100.68164508112535</v>
      </c>
      <c r="E494" s="58">
        <v>3723697.530944332</v>
      </c>
      <c r="F494" s="58" t="s">
        <v>441</v>
      </c>
      <c r="G494" s="25">
        <f t="shared" si="7"/>
        <v>4.8685491723465812E-3</v>
      </c>
    </row>
    <row r="495" spans="1:7">
      <c r="A495" s="58">
        <v>101.17181862095556</v>
      </c>
      <c r="B495" s="58">
        <v>103.43642037497115</v>
      </c>
      <c r="C495" s="58">
        <v>100.59341384395591</v>
      </c>
      <c r="D495" s="58">
        <v>102.11295181742956</v>
      </c>
      <c r="E495" s="58">
        <v>4680855.4798669005</v>
      </c>
      <c r="F495" s="58" t="s">
        <v>442</v>
      </c>
      <c r="G495" s="25">
        <f t="shared" si="7"/>
        <v>-9.2165898617511122E-3</v>
      </c>
    </row>
    <row r="496" spans="1:7">
      <c r="A496" s="58">
        <v>101.86786504751446</v>
      </c>
      <c r="B496" s="58">
        <v>103.09329889708998</v>
      </c>
      <c r="C496" s="58">
        <v>101.49533315724351</v>
      </c>
      <c r="D496" s="58">
        <v>102.6423392404462</v>
      </c>
      <c r="E496" s="58">
        <v>8449637.0437185466</v>
      </c>
      <c r="F496" s="58" t="s">
        <v>443</v>
      </c>
      <c r="G496" s="25">
        <f t="shared" si="7"/>
        <v>-7.5453677172876432E-3</v>
      </c>
    </row>
    <row r="497" spans="1:7">
      <c r="A497" s="58">
        <v>102.59332188646319</v>
      </c>
      <c r="B497" s="58">
        <v>103.25015442983565</v>
      </c>
      <c r="C497" s="58">
        <v>101.87766851831107</v>
      </c>
      <c r="D497" s="58">
        <v>103.18153013425943</v>
      </c>
      <c r="E497" s="58">
        <v>4220542.9952759212</v>
      </c>
      <c r="F497" s="58" t="s">
        <v>444</v>
      </c>
      <c r="G497" s="25">
        <f t="shared" si="7"/>
        <v>-5.7007125890735644E-3</v>
      </c>
    </row>
    <row r="498" spans="1:7">
      <c r="A498" s="58">
        <v>102.81880171478507</v>
      </c>
      <c r="B498" s="58">
        <v>103.57366896612361</v>
      </c>
      <c r="C498" s="58">
        <v>102.26980735017523</v>
      </c>
      <c r="D498" s="58">
        <v>103.02467460151377</v>
      </c>
      <c r="E498" s="58">
        <v>5515008.0131546622</v>
      </c>
      <c r="F498" s="58" t="s">
        <v>445</v>
      </c>
      <c r="G498" s="25">
        <f t="shared" si="7"/>
        <v>-1.998287182415126E-3</v>
      </c>
    </row>
    <row r="499" spans="1:7">
      <c r="A499" s="58">
        <v>103.41681343337792</v>
      </c>
      <c r="B499" s="58">
        <v>103.89718350241154</v>
      </c>
      <c r="C499" s="58">
        <v>102.75998089000544</v>
      </c>
      <c r="D499" s="58">
        <v>103.3285821962085</v>
      </c>
      <c r="E499" s="58">
        <v>4817269.4120084876</v>
      </c>
      <c r="F499" s="58" t="s">
        <v>446</v>
      </c>
      <c r="G499" s="25">
        <f t="shared" si="7"/>
        <v>8.5388994307389332E-4</v>
      </c>
    </row>
    <row r="500" spans="1:7">
      <c r="A500" s="58">
        <v>103.23054748824245</v>
      </c>
      <c r="B500" s="58">
        <v>104.20109109710627</v>
      </c>
      <c r="C500" s="58">
        <v>102.87772057427266</v>
      </c>
      <c r="D500" s="58">
        <v>104.20109109710627</v>
      </c>
      <c r="E500" s="58">
        <v>5305547.5024229651</v>
      </c>
      <c r="F500" s="58" t="s">
        <v>447</v>
      </c>
      <c r="G500" s="25">
        <f t="shared" si="7"/>
        <v>-9.3141405588484938E-3</v>
      </c>
    </row>
    <row r="501" spans="1:7">
      <c r="A501" s="58">
        <v>103.64229326169982</v>
      </c>
      <c r="B501" s="58">
        <v>104.82851322808894</v>
      </c>
      <c r="C501" s="58">
        <v>103.17172666346282</v>
      </c>
      <c r="D501" s="58">
        <v>104.56381951658062</v>
      </c>
      <c r="E501" s="58">
        <v>10536213.36188186</v>
      </c>
      <c r="F501" s="58" t="s">
        <v>448</v>
      </c>
      <c r="G501" s="25">
        <f t="shared" si="7"/>
        <v>-8.8130508156760712E-3</v>
      </c>
    </row>
    <row r="502" spans="1:7">
      <c r="A502" s="58">
        <v>104.47558827941118</v>
      </c>
      <c r="B502" s="58">
        <v>104.7402819909195</v>
      </c>
      <c r="C502" s="58">
        <v>101.43651233246388</v>
      </c>
      <c r="D502" s="58">
        <v>101.4904314218452</v>
      </c>
      <c r="E502" s="58">
        <v>9338622.1981414892</v>
      </c>
      <c r="F502" s="58" t="s">
        <v>449</v>
      </c>
      <c r="G502" s="25">
        <f t="shared" si="7"/>
        <v>2.9413185220961147E-2</v>
      </c>
    </row>
    <row r="503" spans="1:7">
      <c r="A503" s="58">
        <v>101.9462928138873</v>
      </c>
      <c r="B503" s="58">
        <v>102.04511179951707</v>
      </c>
      <c r="C503" s="58">
        <v>101.22083597493858</v>
      </c>
      <c r="D503" s="58">
        <v>101.23063944573519</v>
      </c>
      <c r="E503" s="58">
        <v>4591215.7983467197</v>
      </c>
      <c r="F503" s="58" t="s">
        <v>450</v>
      </c>
      <c r="G503" s="25">
        <f t="shared" si="7"/>
        <v>7.0695332171217817E-3</v>
      </c>
    </row>
    <row r="504" spans="1:7">
      <c r="A504" s="58">
        <v>101.41690539087067</v>
      </c>
      <c r="B504" s="58">
        <v>101.89727545990428</v>
      </c>
      <c r="C504" s="58">
        <v>100.52478954837969</v>
      </c>
      <c r="D504" s="58">
        <v>100.88751796785404</v>
      </c>
      <c r="E504" s="58">
        <v>4015322.8195095095</v>
      </c>
      <c r="F504" s="58" t="s">
        <v>451</v>
      </c>
      <c r="G504" s="25">
        <f t="shared" si="7"/>
        <v>5.2473034690505571E-3</v>
      </c>
    </row>
    <row r="505" spans="1:7">
      <c r="A505" s="58">
        <v>101.64238521919258</v>
      </c>
      <c r="B505" s="58">
        <v>101.68159910237898</v>
      </c>
      <c r="C505" s="58">
        <v>100.41695136961704</v>
      </c>
      <c r="D505" s="58">
        <v>101.260049858125</v>
      </c>
      <c r="E505" s="58">
        <v>3756980.6412600195</v>
      </c>
      <c r="F505" s="58" t="s">
        <v>452</v>
      </c>
      <c r="G505" s="25">
        <f t="shared" si="7"/>
        <v>3.7757769387163354E-3</v>
      </c>
    </row>
    <row r="506" spans="1:7">
      <c r="A506" s="58">
        <v>101.41690539087067</v>
      </c>
      <c r="B506" s="58">
        <v>101.66199216078577</v>
      </c>
      <c r="C506" s="58">
        <v>100.5836103731593</v>
      </c>
      <c r="D506" s="58">
        <v>101.59826960060785</v>
      </c>
      <c r="E506" s="58">
        <v>4814105.2265232066</v>
      </c>
      <c r="F506" s="58" t="s">
        <v>453</v>
      </c>
      <c r="G506" s="25">
        <f t="shared" si="7"/>
        <v>-1.7851112076036069E-3</v>
      </c>
    </row>
    <row r="507" spans="1:7">
      <c r="A507" s="58">
        <v>102.32862817495486</v>
      </c>
      <c r="B507" s="58">
        <v>103.82855920683531</v>
      </c>
      <c r="C507" s="58">
        <v>102.24039693778543</v>
      </c>
      <c r="D507" s="58">
        <v>103.82855920683531</v>
      </c>
      <c r="E507" s="58">
        <v>4660623.8696428258</v>
      </c>
      <c r="F507" s="58" t="s">
        <v>454</v>
      </c>
      <c r="G507" s="25">
        <f t="shared" si="7"/>
        <v>-1.4446227929374E-2</v>
      </c>
    </row>
    <row r="508" spans="1:7">
      <c r="A508" s="58">
        <v>103.73052449886927</v>
      </c>
      <c r="B508" s="58">
        <v>105.2108485891565</v>
      </c>
      <c r="C508" s="58">
        <v>103.45602731656435</v>
      </c>
      <c r="D508" s="58">
        <v>105.2108485891565</v>
      </c>
      <c r="E508" s="58">
        <v>7687260.1105829002</v>
      </c>
      <c r="F508" s="58" t="s">
        <v>455</v>
      </c>
      <c r="G508" s="25">
        <f t="shared" si="7"/>
        <v>-1.4070070816250335E-2</v>
      </c>
    </row>
    <row r="509" spans="1:7">
      <c r="A509" s="58">
        <v>105.37750759269876</v>
      </c>
      <c r="B509" s="58">
        <v>106.83822474139281</v>
      </c>
      <c r="C509" s="58">
        <v>104.93635140685159</v>
      </c>
      <c r="D509" s="58">
        <v>105.51475618385123</v>
      </c>
      <c r="E509" s="58">
        <v>8728026.2037031259</v>
      </c>
      <c r="F509" s="58" t="s">
        <v>456</v>
      </c>
      <c r="G509" s="25">
        <f t="shared" si="7"/>
        <v>-1.3007525782775531E-3</v>
      </c>
    </row>
    <row r="510" spans="1:7">
      <c r="A510" s="58">
        <v>105.46573882986822</v>
      </c>
      <c r="B510" s="58">
        <v>106.00492972368144</v>
      </c>
      <c r="C510" s="58">
        <v>101.33857565920579</v>
      </c>
      <c r="D510" s="58">
        <v>101.81884769353144</v>
      </c>
      <c r="E510" s="58">
        <v>8840380.2896031458</v>
      </c>
      <c r="F510" s="58" t="s">
        <v>457</v>
      </c>
      <c r="G510" s="25">
        <f t="shared" si="7"/>
        <v>3.5817446562680599E-2</v>
      </c>
    </row>
    <row r="511" spans="1:7">
      <c r="A511" s="58">
        <v>102.22078999619221</v>
      </c>
      <c r="B511" s="58">
        <v>102.93644336434433</v>
      </c>
      <c r="C511" s="58">
        <v>100.789483259888</v>
      </c>
      <c r="D511" s="58">
        <v>101.260049858125</v>
      </c>
      <c r="E511" s="58">
        <v>10032636.608054018</v>
      </c>
      <c r="F511" s="58" t="s">
        <v>458</v>
      </c>
      <c r="G511" s="25">
        <f t="shared" si="7"/>
        <v>9.4878497434407461E-3</v>
      </c>
    </row>
    <row r="512" spans="1:7">
      <c r="A512" s="58">
        <v>101.20122903334538</v>
      </c>
      <c r="B512" s="58">
        <v>101.38749497848086</v>
      </c>
      <c r="C512" s="58">
        <v>99.975795183769847</v>
      </c>
      <c r="D512" s="58">
        <v>100.90712490944726</v>
      </c>
      <c r="E512" s="58">
        <v>3368708.9690152789</v>
      </c>
      <c r="F512" s="58" t="s">
        <v>459</v>
      </c>
      <c r="G512" s="25">
        <f t="shared" si="7"/>
        <v>2.9146021568056124E-3</v>
      </c>
    </row>
    <row r="513" spans="1:7">
      <c r="A513" s="58">
        <v>101.39729844927747</v>
      </c>
      <c r="B513" s="58">
        <v>101.45611927405707</v>
      </c>
      <c r="C513" s="58">
        <v>100.51988781298138</v>
      </c>
      <c r="D513" s="58">
        <v>100.77967978909139</v>
      </c>
      <c r="E513" s="58">
        <v>3958192.0327075534</v>
      </c>
      <c r="F513" s="58" t="s">
        <v>460</v>
      </c>
      <c r="G513" s="25">
        <f t="shared" si="7"/>
        <v>6.1284046692609007E-3</v>
      </c>
    </row>
    <row r="514" spans="1:7">
      <c r="A514" s="58">
        <v>100.84830408466763</v>
      </c>
      <c r="B514" s="58">
        <v>102.08354140503975</v>
      </c>
      <c r="C514" s="58">
        <v>99.916974358990217</v>
      </c>
      <c r="D514" s="58">
        <v>100.16206112890534</v>
      </c>
      <c r="E514" s="58">
        <v>5013613.1396469427</v>
      </c>
      <c r="F514" s="58" t="s">
        <v>461</v>
      </c>
      <c r="G514" s="25">
        <f t="shared" si="7"/>
        <v>6.8513262210041503E-3</v>
      </c>
    </row>
    <row r="515" spans="1:7">
      <c r="A515" s="58">
        <v>100.18166807049853</v>
      </c>
      <c r="B515" s="58">
        <v>100.28852590218153</v>
      </c>
      <c r="C515" s="58">
        <v>99.397390406770199</v>
      </c>
      <c r="D515" s="58">
        <v>99.858153534210601</v>
      </c>
      <c r="E515" s="58">
        <v>8074360.7689858926</v>
      </c>
      <c r="F515" s="58" t="s">
        <v>462</v>
      </c>
      <c r="G515" s="25">
        <f t="shared" ref="G515:G578" si="8">A515/D515-1</f>
        <v>3.2397408207343048E-3</v>
      </c>
    </row>
    <row r="516" spans="1:7">
      <c r="A516" s="58">
        <v>99.74051188465134</v>
      </c>
      <c r="B516" s="58">
        <v>100.59341384395591</v>
      </c>
      <c r="C516" s="58">
        <v>98.877806454550168</v>
      </c>
      <c r="D516" s="58">
        <v>99.289552228007551</v>
      </c>
      <c r="E516" s="58">
        <v>5229504.0260392511</v>
      </c>
      <c r="F516" s="58" t="s">
        <v>463</v>
      </c>
      <c r="G516" s="25">
        <f t="shared" si="8"/>
        <v>4.5418641390204684E-3</v>
      </c>
    </row>
    <row r="517" spans="1:7">
      <c r="A517" s="58">
        <v>98.750361334194324</v>
      </c>
      <c r="B517" s="58">
        <v>99.769922297041148</v>
      </c>
      <c r="C517" s="58">
        <v>98.662130097024885</v>
      </c>
      <c r="D517" s="58">
        <v>99.103286282872077</v>
      </c>
      <c r="E517" s="58">
        <v>5060783.1684657335</v>
      </c>
      <c r="F517" s="58" t="s">
        <v>464</v>
      </c>
      <c r="G517" s="25">
        <f t="shared" si="8"/>
        <v>-3.5611831041646447E-3</v>
      </c>
    </row>
    <row r="518" spans="1:7">
      <c r="A518" s="58">
        <v>99.946384771380039</v>
      </c>
      <c r="B518" s="58">
        <v>101.55415398202312</v>
      </c>
      <c r="C518" s="58">
        <v>99.564049410312478</v>
      </c>
      <c r="D518" s="58">
        <v>101.53454704042991</v>
      </c>
      <c r="E518" s="58">
        <v>4866773.3081355719</v>
      </c>
      <c r="F518" s="58" t="s">
        <v>465</v>
      </c>
      <c r="G518" s="25">
        <f t="shared" si="8"/>
        <v>-1.5641595056483437E-2</v>
      </c>
    </row>
    <row r="519" spans="1:7">
      <c r="A519" s="58">
        <v>101.90707893070088</v>
      </c>
      <c r="B519" s="58">
        <v>102.3178443570786</v>
      </c>
      <c r="C519" s="58">
        <v>101.54435051122653</v>
      </c>
      <c r="D519" s="58">
        <v>102.10314834663296</v>
      </c>
      <c r="E519" s="58">
        <v>4545192.3022440653</v>
      </c>
      <c r="F519" s="58" t="s">
        <v>466</v>
      </c>
      <c r="G519" s="25">
        <f t="shared" si="8"/>
        <v>-1.9203072491599249E-3</v>
      </c>
    </row>
    <row r="520" spans="1:7">
      <c r="A520" s="58">
        <v>102.1815761130058</v>
      </c>
      <c r="B520" s="58">
        <v>102.84821212717488</v>
      </c>
      <c r="C520" s="58">
        <v>101.40710192007406</v>
      </c>
      <c r="D520" s="58">
        <v>101.91688240149747</v>
      </c>
      <c r="E520" s="58">
        <v>5979717.9199336013</v>
      </c>
      <c r="F520" s="58" t="s">
        <v>467</v>
      </c>
      <c r="G520" s="25">
        <f t="shared" si="8"/>
        <v>2.5971527510582071E-3</v>
      </c>
    </row>
    <row r="521" spans="1:7">
      <c r="A521" s="58">
        <v>102.75998089000544</v>
      </c>
      <c r="B521" s="58">
        <v>103.07369195549678</v>
      </c>
      <c r="C521" s="58">
        <v>100.91692838024385</v>
      </c>
      <c r="D521" s="58">
        <v>100.92673185104046</v>
      </c>
      <c r="E521" s="58">
        <v>6052548.2485808106</v>
      </c>
      <c r="F521" s="58" t="s">
        <v>468</v>
      </c>
      <c r="G521" s="25">
        <f t="shared" si="8"/>
        <v>1.8164157357940747E-2</v>
      </c>
    </row>
    <row r="522" spans="1:7">
      <c r="A522" s="58">
        <v>100.93653532183706</v>
      </c>
      <c r="B522" s="58">
        <v>101.81884769353144</v>
      </c>
      <c r="C522" s="58">
        <v>100.39705032389993</v>
      </c>
      <c r="D522" s="58">
        <v>101.4855296864469</v>
      </c>
      <c r="E522" s="58">
        <v>4479609.4068247508</v>
      </c>
      <c r="F522" s="58" t="s">
        <v>469</v>
      </c>
      <c r="G522" s="25">
        <f t="shared" si="8"/>
        <v>-5.4095826893354459E-3</v>
      </c>
    </row>
    <row r="523" spans="1:7">
      <c r="A523" s="58">
        <v>101.18162209175216</v>
      </c>
      <c r="B523" s="58">
        <v>101.76002686875181</v>
      </c>
      <c r="C523" s="58">
        <v>100.99535614661669</v>
      </c>
      <c r="D523" s="58">
        <v>101.74041992715861</v>
      </c>
      <c r="E523" s="58">
        <v>7309559.1843678104</v>
      </c>
      <c r="F523" s="58" t="s">
        <v>470</v>
      </c>
      <c r="G523" s="25">
        <f t="shared" si="8"/>
        <v>-5.4923877433032953E-3</v>
      </c>
    </row>
    <row r="524" spans="1:7">
      <c r="A524" s="58">
        <v>102.04432752185335</v>
      </c>
      <c r="B524" s="58">
        <v>102.74037394841224</v>
      </c>
      <c r="C524" s="58">
        <v>101.89727545990428</v>
      </c>
      <c r="D524" s="58">
        <v>102.35803858734467</v>
      </c>
      <c r="E524" s="58">
        <v>7144993.9978668392</v>
      </c>
      <c r="F524" s="58" t="s">
        <v>471</v>
      </c>
      <c r="G524" s="25">
        <f t="shared" si="8"/>
        <v>-3.0648405325158778E-3</v>
      </c>
    </row>
    <row r="525" spans="1:7">
      <c r="A525" s="58">
        <v>102.80899824398847</v>
      </c>
      <c r="B525" s="58">
        <v>103.1227093094798</v>
      </c>
      <c r="C525" s="58">
        <v>102.11295181742956</v>
      </c>
      <c r="D525" s="58">
        <v>102.39725247053109</v>
      </c>
      <c r="E525" s="58">
        <v>8882840.7618824299</v>
      </c>
      <c r="F525" s="58" t="s">
        <v>472</v>
      </c>
      <c r="G525" s="25">
        <f t="shared" si="8"/>
        <v>4.0210627094303675E-3</v>
      </c>
    </row>
    <row r="526" spans="1:7">
      <c r="A526" s="58">
        <v>102.53450106168356</v>
      </c>
      <c r="B526" s="58">
        <v>102.76978436080205</v>
      </c>
      <c r="C526" s="58">
        <v>102.05413099264993</v>
      </c>
      <c r="D526" s="58">
        <v>102.05413099264993</v>
      </c>
      <c r="E526" s="58">
        <v>5552290.7273671227</v>
      </c>
      <c r="F526" s="58" t="s">
        <v>473</v>
      </c>
      <c r="G526" s="25">
        <f t="shared" si="8"/>
        <v>4.7070124879924347E-3</v>
      </c>
    </row>
    <row r="527" spans="1:7">
      <c r="A527" s="58">
        <v>101.96589975548051</v>
      </c>
      <c r="B527" s="58">
        <v>103.06388848470017</v>
      </c>
      <c r="C527" s="58">
        <v>101.32867415370123</v>
      </c>
      <c r="D527" s="58">
        <v>102.78939130239526</v>
      </c>
      <c r="E527" s="58">
        <v>7176160.5108640352</v>
      </c>
      <c r="F527" s="58" t="s">
        <v>474</v>
      </c>
      <c r="G527" s="25">
        <f t="shared" si="8"/>
        <v>-8.0114449213161132E-3</v>
      </c>
    </row>
    <row r="528" spans="1:7">
      <c r="A528" s="58">
        <v>102.71096353602242</v>
      </c>
      <c r="B528" s="58">
        <v>103.42661690417454</v>
      </c>
      <c r="C528" s="58">
        <v>102.34823511654807</v>
      </c>
      <c r="D528" s="58">
        <v>102.92663989354772</v>
      </c>
      <c r="E528" s="58">
        <v>5568622.6982906722</v>
      </c>
      <c r="F528" s="58" t="s">
        <v>475</v>
      </c>
      <c r="G528" s="25">
        <f t="shared" si="8"/>
        <v>-2.0954376607296155E-3</v>
      </c>
    </row>
    <row r="529" spans="1:7">
      <c r="A529" s="58">
        <v>102.68155312363261</v>
      </c>
      <c r="B529" s="58">
        <v>103.5932759077168</v>
      </c>
      <c r="C529" s="58">
        <v>102.36784205814128</v>
      </c>
      <c r="D529" s="58">
        <v>102.4462698245141</v>
      </c>
      <c r="E529" s="58">
        <v>7497068.2858012272</v>
      </c>
      <c r="F529" s="58" t="s">
        <v>476</v>
      </c>
      <c r="G529" s="25">
        <f t="shared" si="8"/>
        <v>2.2966507177033524E-3</v>
      </c>
    </row>
    <row r="530" spans="1:7">
      <c r="A530" s="58">
        <v>102.61292882805638</v>
      </c>
      <c r="B530" s="58">
        <v>102.94624683514093</v>
      </c>
      <c r="C530" s="58">
        <v>102.4462698245141</v>
      </c>
      <c r="D530" s="58">
        <v>102.67174965283601</v>
      </c>
      <c r="E530" s="58">
        <v>6020561.61787563</v>
      </c>
      <c r="F530" s="58" t="s">
        <v>477</v>
      </c>
      <c r="G530" s="25">
        <f t="shared" si="8"/>
        <v>-5.7290174735036281E-4</v>
      </c>
    </row>
    <row r="531" spans="1:7">
      <c r="A531" s="58">
        <v>102.8776225395647</v>
      </c>
      <c r="B531" s="58">
        <v>104.25010845108929</v>
      </c>
      <c r="C531" s="58">
        <v>102.23059346698882</v>
      </c>
      <c r="D531" s="58">
        <v>104.25010845108929</v>
      </c>
      <c r="E531" s="58">
        <v>6359697.630924359</v>
      </c>
      <c r="F531" s="58" t="s">
        <v>478</v>
      </c>
      <c r="G531" s="25">
        <f t="shared" si="8"/>
        <v>-1.3165318788790681E-2</v>
      </c>
    </row>
    <row r="532" spans="1:7">
      <c r="A532" s="58">
        <v>104.08344944754701</v>
      </c>
      <c r="B532" s="58">
        <v>104.50499869180099</v>
      </c>
      <c r="C532" s="58">
        <v>103.71091755727606</v>
      </c>
      <c r="D532" s="58">
        <v>104.42657092542817</v>
      </c>
      <c r="E532" s="58">
        <v>6687831.418104535</v>
      </c>
      <c r="F532" s="58" t="s">
        <v>479</v>
      </c>
      <c r="G532" s="25">
        <f t="shared" si="8"/>
        <v>-3.2857679309050702E-3</v>
      </c>
    </row>
    <row r="533" spans="1:7">
      <c r="A533" s="58">
        <v>103.56386549532699</v>
      </c>
      <c r="B533" s="58">
        <v>104.08344944754701</v>
      </c>
      <c r="C533" s="58">
        <v>103.07369195549678</v>
      </c>
      <c r="D533" s="58">
        <v>104.02462862276739</v>
      </c>
      <c r="E533" s="58">
        <v>3865709.480475741</v>
      </c>
      <c r="F533" s="58" t="s">
        <v>480</v>
      </c>
      <c r="G533" s="25">
        <f t="shared" si="8"/>
        <v>-4.4293657525209529E-3</v>
      </c>
    </row>
    <row r="534" spans="1:7">
      <c r="A534" s="58">
        <v>103.81875573603871</v>
      </c>
      <c r="B534" s="58">
        <v>104.54421257498741</v>
      </c>
      <c r="C534" s="58">
        <v>103.40210822718302</v>
      </c>
      <c r="D534" s="58">
        <v>104.02462862276739</v>
      </c>
      <c r="E534" s="58">
        <v>3682871.1737996116</v>
      </c>
      <c r="F534" s="58" t="s">
        <v>481</v>
      </c>
      <c r="G534" s="25">
        <f t="shared" si="8"/>
        <v>-1.9790783149561397E-3</v>
      </c>
    </row>
    <row r="535" spans="1:7">
      <c r="A535" s="58">
        <v>103.83836267763191</v>
      </c>
      <c r="B535" s="58">
        <v>104.56381951658062</v>
      </c>
      <c r="C535" s="58">
        <v>103.0834954262934</v>
      </c>
      <c r="D535" s="58">
        <v>104.56381951658062</v>
      </c>
      <c r="E535" s="58">
        <v>3782859.2311251392</v>
      </c>
      <c r="F535" s="58" t="s">
        <v>482</v>
      </c>
      <c r="G535" s="25">
        <f t="shared" si="8"/>
        <v>-6.9379336208513775E-3</v>
      </c>
    </row>
    <row r="536" spans="1:7">
      <c r="A536" s="58">
        <v>104.20109109710627</v>
      </c>
      <c r="B536" s="58">
        <v>105.05399305641083</v>
      </c>
      <c r="C536" s="58">
        <v>103.82855920683531</v>
      </c>
      <c r="D536" s="58">
        <v>103.84816614842852</v>
      </c>
      <c r="E536" s="58">
        <v>4179242.3163224785</v>
      </c>
      <c r="F536" s="58" t="s">
        <v>483</v>
      </c>
      <c r="G536" s="25">
        <f t="shared" si="8"/>
        <v>3.3984706881902138E-3</v>
      </c>
    </row>
    <row r="537" spans="1:7">
      <c r="A537" s="58">
        <v>103.88738003161492</v>
      </c>
      <c r="B537" s="58">
        <v>104.76969240330932</v>
      </c>
      <c r="C537" s="58">
        <v>103.81385400064039</v>
      </c>
      <c r="D537" s="58">
        <v>104.42657092542817</v>
      </c>
      <c r="E537" s="58">
        <v>5175688.3916638475</v>
      </c>
      <c r="F537" s="58" t="s">
        <v>484</v>
      </c>
      <c r="G537" s="25">
        <f t="shared" si="8"/>
        <v>-5.1633496057079675E-3</v>
      </c>
    </row>
    <row r="538" spans="1:7">
      <c r="A538" s="58">
        <v>105.16183123517348</v>
      </c>
      <c r="B538" s="58">
        <v>106.06375054846107</v>
      </c>
      <c r="C538" s="58">
        <v>104.50499869180099</v>
      </c>
      <c r="D538" s="58">
        <v>105.27947288473273</v>
      </c>
      <c r="E538" s="58">
        <v>3373317.5409116372</v>
      </c>
      <c r="F538" s="58" t="s">
        <v>485</v>
      </c>
      <c r="G538" s="25">
        <f t="shared" si="8"/>
        <v>-1.1174224788155218E-3</v>
      </c>
    </row>
    <row r="539" spans="1:7">
      <c r="A539" s="58">
        <v>105.4167214758852</v>
      </c>
      <c r="B539" s="58">
        <v>105.73641265856246</v>
      </c>
      <c r="C539" s="58">
        <v>104.29912580507231</v>
      </c>
      <c r="D539" s="58">
        <v>104.41676745463157</v>
      </c>
      <c r="E539" s="58">
        <v>3647245.0157535267</v>
      </c>
      <c r="F539" s="58" t="s">
        <v>486</v>
      </c>
      <c r="G539" s="25">
        <f t="shared" si="8"/>
        <v>9.5765655806965277E-3</v>
      </c>
    </row>
    <row r="540" spans="1:7">
      <c r="A540" s="58">
        <v>104.75988893251271</v>
      </c>
      <c r="B540" s="58">
        <v>105.34319544491066</v>
      </c>
      <c r="C540" s="58">
        <v>104.0540390351572</v>
      </c>
      <c r="D540" s="58">
        <v>104.54911431038572</v>
      </c>
      <c r="E540" s="58">
        <v>3174890.8775024074</v>
      </c>
      <c r="F540" s="58" t="s">
        <v>487</v>
      </c>
      <c r="G540" s="25">
        <f t="shared" si="8"/>
        <v>2.0160345070092678E-3</v>
      </c>
    </row>
    <row r="541" spans="1:7">
      <c r="A541" s="58">
        <v>104.78929934490252</v>
      </c>
      <c r="B541" s="58">
        <v>105.00497570242781</v>
      </c>
      <c r="C541" s="58">
        <v>103.48543772895417</v>
      </c>
      <c r="D541" s="58">
        <v>104.61283687056364</v>
      </c>
      <c r="E541" s="58">
        <v>5153981.7936216816</v>
      </c>
      <c r="F541" s="58" t="s">
        <v>488</v>
      </c>
      <c r="G541" s="25">
        <f t="shared" si="8"/>
        <v>1.6868147315152182E-3</v>
      </c>
    </row>
    <row r="542" spans="1:7">
      <c r="A542" s="58">
        <v>105.47554230066481</v>
      </c>
      <c r="B542" s="58">
        <v>105.98532278208823</v>
      </c>
      <c r="C542" s="58">
        <v>105.20114315306787</v>
      </c>
      <c r="D542" s="58">
        <v>105.55397006703765</v>
      </c>
      <c r="E542" s="58">
        <v>3926761.3275631336</v>
      </c>
      <c r="F542" s="58" t="s">
        <v>489</v>
      </c>
      <c r="G542" s="25">
        <f t="shared" si="8"/>
        <v>-7.4301105228946618E-4</v>
      </c>
    </row>
    <row r="543" spans="1:7">
      <c r="A543" s="58">
        <v>104.96576181924139</v>
      </c>
      <c r="B543" s="58">
        <v>105.77944989535955</v>
      </c>
      <c r="C543" s="58">
        <v>104.18148415551306</v>
      </c>
      <c r="D543" s="58">
        <v>105.36770412190218</v>
      </c>
      <c r="E543" s="58">
        <v>5047513.3783374187</v>
      </c>
      <c r="F543" s="58" t="s">
        <v>490</v>
      </c>
      <c r="G543" s="25">
        <f t="shared" si="8"/>
        <v>-3.8146631931523789E-3</v>
      </c>
    </row>
    <row r="544" spans="1:7">
      <c r="A544" s="58">
        <v>105.17163470597009</v>
      </c>
      <c r="B544" s="58">
        <v>105.65200477500369</v>
      </c>
      <c r="C544" s="58">
        <v>103.30897525461528</v>
      </c>
      <c r="D544" s="58">
        <v>103.89718350241154</v>
      </c>
      <c r="E544" s="58">
        <v>10744782.351622541</v>
      </c>
      <c r="F544" s="58" t="s">
        <v>491</v>
      </c>
      <c r="G544" s="25">
        <f t="shared" si="8"/>
        <v>1.2266465370824653E-2</v>
      </c>
    </row>
    <row r="545" spans="1:7">
      <c r="A545" s="58">
        <v>103.20113707585263</v>
      </c>
      <c r="B545" s="58">
        <v>104.92654793605497</v>
      </c>
      <c r="C545" s="58">
        <v>102.4168594121243</v>
      </c>
      <c r="D545" s="58">
        <v>104.40696398383496</v>
      </c>
      <c r="E545" s="58">
        <v>7452920.6559485514</v>
      </c>
      <c r="F545" s="58" t="s">
        <v>492</v>
      </c>
      <c r="G545" s="25">
        <f t="shared" si="8"/>
        <v>-1.1549295774647916E-2</v>
      </c>
    </row>
    <row r="546" spans="1:7">
      <c r="A546" s="58">
        <v>103.81875573603871</v>
      </c>
      <c r="B546" s="58">
        <v>106.58333450068109</v>
      </c>
      <c r="C546" s="58">
        <v>102.201183054599</v>
      </c>
      <c r="D546" s="58">
        <v>105.4167214758852</v>
      </c>
      <c r="E546" s="58">
        <v>12243506.661087442</v>
      </c>
      <c r="F546" s="58" t="s">
        <v>493</v>
      </c>
      <c r="G546" s="25">
        <f t="shared" si="8"/>
        <v>-1.5158560401748344E-2</v>
      </c>
    </row>
    <row r="547" spans="1:7">
      <c r="A547" s="58">
        <v>107.06370456971469</v>
      </c>
      <c r="B547" s="58">
        <v>108.16169329893437</v>
      </c>
      <c r="C547" s="58">
        <v>106.01473319447805</v>
      </c>
      <c r="D547" s="58">
        <v>106.70097615024035</v>
      </c>
      <c r="E547" s="58">
        <v>7429885.9568419633</v>
      </c>
      <c r="F547" s="58" t="s">
        <v>494</v>
      </c>
      <c r="G547" s="25">
        <f t="shared" si="8"/>
        <v>3.3994854832779531E-3</v>
      </c>
    </row>
    <row r="548" spans="1:7">
      <c r="A548" s="58">
        <v>106.74999350422337</v>
      </c>
      <c r="B548" s="58">
        <v>108.71068766354421</v>
      </c>
      <c r="C548" s="58">
        <v>106.6921530265234</v>
      </c>
      <c r="D548" s="58">
        <v>107.92640999981587</v>
      </c>
      <c r="E548" s="58">
        <v>4687756.0971486326</v>
      </c>
      <c r="F548" s="58" t="s">
        <v>495</v>
      </c>
      <c r="G548" s="25">
        <f t="shared" si="8"/>
        <v>-1.0900172586065904E-2</v>
      </c>
    </row>
    <row r="549" spans="1:7">
      <c r="A549" s="58">
        <v>106.96566986174865</v>
      </c>
      <c r="B549" s="58">
        <v>108.32835230247665</v>
      </c>
      <c r="C549" s="58">
        <v>106.35942322768666</v>
      </c>
      <c r="D549" s="58">
        <v>108.10287247415474</v>
      </c>
      <c r="E549" s="58">
        <v>4122636.8536742684</v>
      </c>
      <c r="F549" s="58" t="s">
        <v>496</v>
      </c>
      <c r="G549" s="25">
        <f t="shared" si="8"/>
        <v>-1.0519633626552949E-2</v>
      </c>
    </row>
    <row r="550" spans="1:7">
      <c r="A550" s="58">
        <v>108.72049113434078</v>
      </c>
      <c r="B550" s="58">
        <v>109.23751096656331</v>
      </c>
      <c r="C550" s="58">
        <v>107.60841074050364</v>
      </c>
      <c r="D550" s="58">
        <v>108.91559295782098</v>
      </c>
      <c r="E550" s="58">
        <v>4429949.3699387098</v>
      </c>
      <c r="F550" s="58" t="s">
        <v>497</v>
      </c>
      <c r="G550" s="25">
        <f t="shared" si="8"/>
        <v>-1.7913121361397E-3</v>
      </c>
    </row>
    <row r="551" spans="1:7">
      <c r="A551" s="58">
        <v>108.44734858146849</v>
      </c>
      <c r="B551" s="58">
        <v>108.93510314016899</v>
      </c>
      <c r="C551" s="58">
        <v>107.64743110519967</v>
      </c>
      <c r="D551" s="58">
        <v>108.49612403733853</v>
      </c>
      <c r="E551" s="58">
        <v>4065116.2857044968</v>
      </c>
      <c r="F551" s="58" t="s">
        <v>498</v>
      </c>
      <c r="G551" s="25">
        <f t="shared" si="8"/>
        <v>-4.4955943175684077E-4</v>
      </c>
    </row>
    <row r="552" spans="1:7">
      <c r="A552" s="58">
        <v>109.68624516056775</v>
      </c>
      <c r="B552" s="58">
        <v>109.81306134582988</v>
      </c>
      <c r="C552" s="58">
        <v>107.8717982022019</v>
      </c>
      <c r="D552" s="58">
        <v>107.88155329337592</v>
      </c>
      <c r="E552" s="58">
        <v>4342147.012716054</v>
      </c>
      <c r="F552" s="58" t="s">
        <v>499</v>
      </c>
      <c r="G552" s="25">
        <f t="shared" si="8"/>
        <v>1.6728456460801011E-2</v>
      </c>
    </row>
    <row r="553" spans="1:7">
      <c r="A553" s="58">
        <v>107.81326765515784</v>
      </c>
      <c r="B553" s="58">
        <v>108.7497564078628</v>
      </c>
      <c r="C553" s="58">
        <v>107.44257419054547</v>
      </c>
      <c r="D553" s="58">
        <v>108.57416476673062</v>
      </c>
      <c r="E553" s="58">
        <v>5956356.4259456713</v>
      </c>
      <c r="F553" s="58" t="s">
        <v>500</v>
      </c>
      <c r="G553" s="25">
        <f t="shared" si="8"/>
        <v>-7.008086253369239E-3</v>
      </c>
    </row>
    <row r="554" spans="1:7">
      <c r="A554" s="58">
        <v>108.47661385499052</v>
      </c>
      <c r="B554" s="58">
        <v>108.53514440203459</v>
      </c>
      <c r="C554" s="58">
        <v>106.85726872010487</v>
      </c>
      <c r="D554" s="58">
        <v>107.01335017888903</v>
      </c>
      <c r="E554" s="58">
        <v>5731590.7153143166</v>
      </c>
      <c r="F554" s="58" t="s">
        <v>501</v>
      </c>
      <c r="G554" s="25">
        <f t="shared" si="8"/>
        <v>1.3673655423883213E-2</v>
      </c>
    </row>
    <row r="555" spans="1:7">
      <c r="A555" s="58">
        <v>107.41330891702344</v>
      </c>
      <c r="B555" s="58">
        <v>109.25702114891132</v>
      </c>
      <c r="C555" s="58">
        <v>107.14748268253167</v>
      </c>
      <c r="D555" s="58">
        <v>109.10093969012716</v>
      </c>
      <c r="E555" s="58">
        <v>4920246.1713405093</v>
      </c>
      <c r="F555" s="58" t="s">
        <v>502</v>
      </c>
      <c r="G555" s="25">
        <f t="shared" si="8"/>
        <v>-1.5468526466380528E-2</v>
      </c>
    </row>
    <row r="556" spans="1:7">
      <c r="A556" s="58">
        <v>108.5546545843826</v>
      </c>
      <c r="B556" s="58">
        <v>109.79355116348187</v>
      </c>
      <c r="C556" s="58">
        <v>108.33028748738037</v>
      </c>
      <c r="D556" s="58">
        <v>109.39359242534745</v>
      </c>
      <c r="E556" s="58">
        <v>4520623.0483515384</v>
      </c>
      <c r="F556" s="58" t="s">
        <v>503</v>
      </c>
      <c r="G556" s="25">
        <f t="shared" si="8"/>
        <v>-7.66898519707504E-3</v>
      </c>
    </row>
    <row r="557" spans="1:7">
      <c r="A557" s="58">
        <v>109.27653133125933</v>
      </c>
      <c r="B557" s="58">
        <v>109.66673497821974</v>
      </c>
      <c r="C557" s="58">
        <v>108.4571036726425</v>
      </c>
      <c r="D557" s="58">
        <v>109.15000779873242</v>
      </c>
      <c r="E557" s="58">
        <v>4675240.7728909589</v>
      </c>
      <c r="F557" s="58" t="s">
        <v>504</v>
      </c>
      <c r="G557" s="25">
        <f t="shared" si="8"/>
        <v>1.1591710809606415E-3</v>
      </c>
    </row>
    <row r="558" spans="1:7">
      <c r="A558" s="58">
        <v>109.34481696947741</v>
      </c>
      <c r="B558" s="58">
        <v>110.87636628379695</v>
      </c>
      <c r="C558" s="58">
        <v>109.08142950777913</v>
      </c>
      <c r="D558" s="58">
        <v>110.87636628379695</v>
      </c>
      <c r="E558" s="58">
        <v>4063515.0705316835</v>
      </c>
      <c r="F558" s="58" t="s">
        <v>505</v>
      </c>
      <c r="G558" s="25">
        <f t="shared" si="8"/>
        <v>-1.3813126869611003E-2</v>
      </c>
    </row>
    <row r="559" spans="1:7">
      <c r="A559" s="58">
        <v>110.87636628379695</v>
      </c>
      <c r="B559" s="58">
        <v>111.22754956606131</v>
      </c>
      <c r="C559" s="58">
        <v>110.16424462809425</v>
      </c>
      <c r="D559" s="58">
        <v>110.50567281918458</v>
      </c>
      <c r="E559" s="58">
        <v>5410728.5168820526</v>
      </c>
      <c r="F559" s="58" t="s">
        <v>506</v>
      </c>
      <c r="G559" s="25">
        <f t="shared" si="8"/>
        <v>3.3545197740112442E-3</v>
      </c>
    </row>
    <row r="560" spans="1:7">
      <c r="A560" s="58">
        <v>110.7007746426648</v>
      </c>
      <c r="B560" s="58">
        <v>110.91538664849301</v>
      </c>
      <c r="C560" s="58">
        <v>109.19849060186725</v>
      </c>
      <c r="D560" s="58">
        <v>109.25702114891132</v>
      </c>
      <c r="E560" s="58">
        <v>7722486.5105010904</v>
      </c>
      <c r="F560" s="58" t="s">
        <v>507</v>
      </c>
      <c r="G560" s="25">
        <f t="shared" si="8"/>
        <v>1.3214285714285845E-2</v>
      </c>
    </row>
    <row r="561" spans="1:7">
      <c r="A561" s="58">
        <v>108.76926659021082</v>
      </c>
      <c r="B561" s="58">
        <v>109.15947023717122</v>
      </c>
      <c r="C561" s="58">
        <v>107.23771727589127</v>
      </c>
      <c r="D561" s="58">
        <v>107.78400238163582</v>
      </c>
      <c r="E561" s="58">
        <v>7965921.4469501609</v>
      </c>
      <c r="F561" s="58" t="s">
        <v>508</v>
      </c>
      <c r="G561" s="25">
        <f t="shared" si="8"/>
        <v>9.1410987419675571E-3</v>
      </c>
    </row>
    <row r="562" spans="1:7">
      <c r="A562" s="58">
        <v>107.31575800528334</v>
      </c>
      <c r="B562" s="58">
        <v>108.08641020803012</v>
      </c>
      <c r="C562" s="58">
        <v>106.43779979962244</v>
      </c>
      <c r="D562" s="58">
        <v>107.74498201693977</v>
      </c>
      <c r="E562" s="58">
        <v>6788674.6334506916</v>
      </c>
      <c r="F562" s="58" t="s">
        <v>509</v>
      </c>
      <c r="G562" s="25">
        <f t="shared" si="8"/>
        <v>-3.9837030330465151E-3</v>
      </c>
    </row>
    <row r="563" spans="1:7">
      <c r="A563" s="58">
        <v>107.86204311102789</v>
      </c>
      <c r="B563" s="58">
        <v>109.23751096656331</v>
      </c>
      <c r="C563" s="58">
        <v>107.83658232306372</v>
      </c>
      <c r="D563" s="58">
        <v>108.78877677255883</v>
      </c>
      <c r="E563" s="58">
        <v>5522981.696321059</v>
      </c>
      <c r="F563" s="58" t="s">
        <v>510</v>
      </c>
      <c r="G563" s="25">
        <f t="shared" si="8"/>
        <v>-8.518651362984242E-3</v>
      </c>
    </row>
    <row r="564" spans="1:7">
      <c r="A564" s="58">
        <v>108.77902168138483</v>
      </c>
      <c r="B564" s="58">
        <v>109.39359242534745</v>
      </c>
      <c r="C564" s="58">
        <v>108.29126712268433</v>
      </c>
      <c r="D564" s="58">
        <v>109.20824569304126</v>
      </c>
      <c r="E564" s="58">
        <v>9966757.6925407574</v>
      </c>
      <c r="F564" s="58" t="s">
        <v>511</v>
      </c>
      <c r="G564" s="25">
        <f t="shared" si="8"/>
        <v>-3.9303260384099259E-3</v>
      </c>
    </row>
    <row r="565" spans="1:7">
      <c r="A565" s="58">
        <v>108.76926659021082</v>
      </c>
      <c r="B565" s="58">
        <v>110.46665245448854</v>
      </c>
      <c r="C565" s="58">
        <v>108.01812456981206</v>
      </c>
      <c r="D565" s="58">
        <v>110.23253026631231</v>
      </c>
      <c r="E565" s="58">
        <v>8526094.5814216193</v>
      </c>
      <c r="F565" s="58" t="s">
        <v>512</v>
      </c>
      <c r="G565" s="25">
        <f t="shared" si="8"/>
        <v>-1.3274336283185861E-2</v>
      </c>
    </row>
    <row r="566" spans="1:7">
      <c r="A566" s="58">
        <v>110.38861172509647</v>
      </c>
      <c r="B566" s="58">
        <v>111.61775321302173</v>
      </c>
      <c r="C566" s="58">
        <v>109.29604151360736</v>
      </c>
      <c r="D566" s="58">
        <v>109.68624516056775</v>
      </c>
      <c r="E566" s="58">
        <v>8507667.2805595901</v>
      </c>
      <c r="F566" s="58" t="s">
        <v>513</v>
      </c>
      <c r="G566" s="25">
        <f t="shared" si="8"/>
        <v>6.4034151547491813E-3</v>
      </c>
    </row>
    <row r="567" spans="1:7">
      <c r="A567" s="58">
        <v>109.68624516056775</v>
      </c>
      <c r="B567" s="58">
        <v>112.92493543033906</v>
      </c>
      <c r="C567" s="58">
        <v>109.53991879295761</v>
      </c>
      <c r="D567" s="58">
        <v>112.52497669220465</v>
      </c>
      <c r="E567" s="58">
        <v>13317148.726002019</v>
      </c>
      <c r="F567" s="58" t="s">
        <v>514</v>
      </c>
      <c r="G567" s="25">
        <f t="shared" si="8"/>
        <v>-2.5227568270481227E-2</v>
      </c>
    </row>
    <row r="568" spans="1:7">
      <c r="A568" s="58">
        <v>112.66154796864078</v>
      </c>
      <c r="B568" s="58">
        <v>112.66154796864078</v>
      </c>
      <c r="C568" s="58">
        <v>109.51065351943558</v>
      </c>
      <c r="D568" s="58">
        <v>110.25204044866032</v>
      </c>
      <c r="E568" s="58">
        <v>22978440.283286236</v>
      </c>
      <c r="F568" s="58" t="s">
        <v>515</v>
      </c>
      <c r="G568" s="25">
        <f t="shared" si="8"/>
        <v>2.1854539019642516E-2</v>
      </c>
    </row>
    <row r="569" spans="1:7">
      <c r="A569" s="58">
        <v>115.93925860310812</v>
      </c>
      <c r="B569" s="58">
        <v>117.39276718803561</v>
      </c>
      <c r="C569" s="58">
        <v>114.96374948570713</v>
      </c>
      <c r="D569" s="58">
        <v>117.07084917929328</v>
      </c>
      <c r="E569" s="58">
        <v>5076589.1488478202</v>
      </c>
      <c r="F569" s="58" t="s">
        <v>516</v>
      </c>
      <c r="G569" s="25">
        <f t="shared" si="8"/>
        <v>-9.6658611782352022E-3</v>
      </c>
    </row>
    <row r="570" spans="1:7">
      <c r="A570" s="58">
        <v>117.21717554690342</v>
      </c>
      <c r="B570" s="58">
        <v>117.96831756730219</v>
      </c>
      <c r="C570" s="58">
        <v>116.69040062350689</v>
      </c>
      <c r="D570" s="58">
        <v>117.56835882916778</v>
      </c>
      <c r="E570" s="58">
        <v>3507588.949159435</v>
      </c>
      <c r="F570" s="58" t="s">
        <v>517</v>
      </c>
      <c r="G570" s="25">
        <f t="shared" si="8"/>
        <v>-2.9870560902754972E-3</v>
      </c>
    </row>
    <row r="571" spans="1:7">
      <c r="A571" s="58">
        <v>117.80248101734402</v>
      </c>
      <c r="B571" s="58">
        <v>118.11464393491234</v>
      </c>
      <c r="C571" s="58">
        <v>116.14411551776233</v>
      </c>
      <c r="D571" s="58">
        <v>117.01231863224922</v>
      </c>
      <c r="E571" s="58">
        <v>3157044.8138969513</v>
      </c>
      <c r="F571" s="58" t="s">
        <v>518</v>
      </c>
      <c r="G571" s="25">
        <f t="shared" si="8"/>
        <v>6.7528136723633558E-3</v>
      </c>
    </row>
    <row r="572" spans="1:7">
      <c r="A572" s="58">
        <v>117.24644082042545</v>
      </c>
      <c r="B572" s="58">
        <v>118.44631703482868</v>
      </c>
      <c r="C572" s="58">
        <v>116.68620593430207</v>
      </c>
      <c r="D572" s="58">
        <v>117.96831756730219</v>
      </c>
      <c r="E572" s="58">
        <v>3983590.6509550381</v>
      </c>
      <c r="F572" s="58" t="s">
        <v>519</v>
      </c>
      <c r="G572" s="25">
        <f t="shared" si="8"/>
        <v>-6.1192425370049097E-3</v>
      </c>
    </row>
    <row r="573" spans="1:7">
      <c r="A573" s="58">
        <v>117.99758284082421</v>
      </c>
      <c r="B573" s="58">
        <v>118.6609290406569</v>
      </c>
      <c r="C573" s="58">
        <v>117.65127710414687</v>
      </c>
      <c r="D573" s="58">
        <v>118.00733793199822</v>
      </c>
      <c r="E573" s="58">
        <v>3441733.0808194652</v>
      </c>
      <c r="F573" s="58" t="s">
        <v>520</v>
      </c>
      <c r="G573" s="25">
        <f t="shared" si="8"/>
        <v>-8.2665123584346745E-5</v>
      </c>
    </row>
    <row r="574" spans="1:7">
      <c r="A574" s="58">
        <v>117.95856247612818</v>
      </c>
      <c r="B574" s="58">
        <v>118.52435776422075</v>
      </c>
      <c r="C574" s="58">
        <v>117.01241618316097</v>
      </c>
      <c r="D574" s="58">
        <v>117.15376745427236</v>
      </c>
      <c r="E574" s="58">
        <v>4306322.6422651578</v>
      </c>
      <c r="F574" s="58" t="s">
        <v>521</v>
      </c>
      <c r="G574" s="25">
        <f t="shared" si="8"/>
        <v>6.8695615970690849E-3</v>
      </c>
    </row>
    <row r="575" spans="1:7">
      <c r="A575" s="58">
        <v>116.41725807063462</v>
      </c>
      <c r="B575" s="58">
        <v>116.65138025881085</v>
      </c>
      <c r="C575" s="58">
        <v>115.5197896826257</v>
      </c>
      <c r="D575" s="58">
        <v>115.69538132375787</v>
      </c>
      <c r="E575" s="58">
        <v>3473898.8488684599</v>
      </c>
      <c r="F575" s="58" t="s">
        <v>522</v>
      </c>
      <c r="G575" s="25">
        <f t="shared" si="8"/>
        <v>6.239460370994987E-3</v>
      </c>
    </row>
    <row r="576" spans="1:7">
      <c r="A576" s="58">
        <v>115.57832022966976</v>
      </c>
      <c r="B576" s="58">
        <v>117.64639955855986</v>
      </c>
      <c r="C576" s="58">
        <v>115.18811658270936</v>
      </c>
      <c r="D576" s="58">
        <v>117.49031809977571</v>
      </c>
      <c r="E576" s="58">
        <v>3590268.8529771315</v>
      </c>
      <c r="F576" s="58" t="s">
        <v>523</v>
      </c>
      <c r="G576" s="25">
        <f t="shared" si="8"/>
        <v>-1.6273663234805724E-2</v>
      </c>
    </row>
    <row r="577" spans="1:7">
      <c r="A577" s="58">
        <v>117.10011445281532</v>
      </c>
      <c r="B577" s="58">
        <v>117.33423664099155</v>
      </c>
      <c r="C577" s="58">
        <v>115.27591240327546</v>
      </c>
      <c r="D577" s="58">
        <v>115.40272858853757</v>
      </c>
      <c r="E577" s="58">
        <v>3243506.3328058817</v>
      </c>
      <c r="F577" s="58" t="s">
        <v>524</v>
      </c>
      <c r="G577" s="25">
        <f t="shared" si="8"/>
        <v>1.4708368554522622E-2</v>
      </c>
    </row>
    <row r="578" spans="1:7">
      <c r="A578" s="58">
        <v>115.7148915061059</v>
      </c>
      <c r="B578" s="58">
        <v>116.52944161913572</v>
      </c>
      <c r="C578" s="58">
        <v>114.94423930335911</v>
      </c>
      <c r="D578" s="58">
        <v>115.66611605023584</v>
      </c>
      <c r="E578" s="58">
        <v>3997327.0679305154</v>
      </c>
      <c r="F578" s="58" t="s">
        <v>525</v>
      </c>
      <c r="G578" s="25">
        <f t="shared" si="8"/>
        <v>4.2169182761253587E-4</v>
      </c>
    </row>
    <row r="579" spans="1:7">
      <c r="A579" s="58">
        <v>115.73440168845391</v>
      </c>
      <c r="B579" s="58">
        <v>117.4951956453627</v>
      </c>
      <c r="C579" s="58">
        <v>115.62221813995281</v>
      </c>
      <c r="D579" s="58">
        <v>117.37325700568758</v>
      </c>
      <c r="E579" s="58">
        <v>6289273.8679325329</v>
      </c>
      <c r="F579" s="58" t="s">
        <v>526</v>
      </c>
      <c r="G579" s="25">
        <f t="shared" ref="G579:G642" si="9">A579/D579-1</f>
        <v>-1.3962765957446721E-2</v>
      </c>
    </row>
    <row r="580" spans="1:7">
      <c r="A580" s="58">
        <v>117.10986954398932</v>
      </c>
      <c r="B580" s="58">
        <v>117.16840009103338</v>
      </c>
      <c r="C580" s="58">
        <v>116.34897243241653</v>
      </c>
      <c r="D580" s="58">
        <v>116.56358443824476</v>
      </c>
      <c r="E580" s="58">
        <v>3468939.387276866</v>
      </c>
      <c r="F580" s="58" t="s">
        <v>527</v>
      </c>
      <c r="G580" s="25">
        <f t="shared" si="9"/>
        <v>4.6865846514352327E-3</v>
      </c>
    </row>
    <row r="581" spans="1:7">
      <c r="A581" s="58">
        <v>116.47578861767867</v>
      </c>
      <c r="B581" s="58">
        <v>116.57333952941877</v>
      </c>
      <c r="C581" s="58">
        <v>114.94423930335911</v>
      </c>
      <c r="D581" s="58">
        <v>115.26615731210144</v>
      </c>
      <c r="E581" s="58">
        <v>3283732.5073233973</v>
      </c>
      <c r="F581" s="58" t="s">
        <v>528</v>
      </c>
      <c r="G581" s="25">
        <f t="shared" si="9"/>
        <v>1.04942450914014E-2</v>
      </c>
    </row>
    <row r="582" spans="1:7">
      <c r="A582" s="58">
        <v>115.78317714432396</v>
      </c>
      <c r="B582" s="58">
        <v>117.01231863224922</v>
      </c>
      <c r="C582" s="58">
        <v>115.49052440910367</v>
      </c>
      <c r="D582" s="58">
        <v>116.57333952941877</v>
      </c>
      <c r="E582" s="58">
        <v>3570548.8937713658</v>
      </c>
      <c r="F582" s="58" t="s">
        <v>529</v>
      </c>
      <c r="G582" s="25">
        <f t="shared" si="9"/>
        <v>-6.7782426778243421E-3</v>
      </c>
    </row>
    <row r="583" spans="1:7">
      <c r="A583" s="58">
        <v>116.53431916472272</v>
      </c>
      <c r="B583" s="58">
        <v>117.20742045572942</v>
      </c>
      <c r="C583" s="58">
        <v>115.94901369428213</v>
      </c>
      <c r="D583" s="58">
        <v>116.45627843533065</v>
      </c>
      <c r="E583" s="58">
        <v>4368503.5065113148</v>
      </c>
      <c r="F583" s="58" t="s">
        <v>530</v>
      </c>
      <c r="G583" s="25">
        <f t="shared" si="9"/>
        <v>6.701289998323201E-4</v>
      </c>
    </row>
    <row r="584" spans="1:7">
      <c r="A584" s="58">
        <v>116.10509515306629</v>
      </c>
      <c r="B584" s="58">
        <v>116.32946225006852</v>
      </c>
      <c r="C584" s="58">
        <v>113.93946491243608</v>
      </c>
      <c r="D584" s="58">
        <v>115.20762676505737</v>
      </c>
      <c r="E584" s="58">
        <v>5039643.3127125083</v>
      </c>
      <c r="F584" s="58" t="s">
        <v>531</v>
      </c>
      <c r="G584" s="25">
        <f t="shared" si="9"/>
        <v>7.7900084674005221E-3</v>
      </c>
    </row>
    <row r="585" spans="1:7">
      <c r="A585" s="58">
        <v>114.98325966805515</v>
      </c>
      <c r="B585" s="58">
        <v>115.08568812538225</v>
      </c>
      <c r="C585" s="58">
        <v>113.12003725381925</v>
      </c>
      <c r="D585" s="58">
        <v>113.12003725381925</v>
      </c>
      <c r="E585" s="58">
        <v>6299084.1299068099</v>
      </c>
      <c r="F585" s="58" t="s">
        <v>532</v>
      </c>
      <c r="G585" s="25">
        <f t="shared" si="9"/>
        <v>1.6471196964470636E-2</v>
      </c>
    </row>
    <row r="586" spans="1:7">
      <c r="A586" s="58">
        <v>113.78338345365192</v>
      </c>
      <c r="B586" s="58">
        <v>114.31991346822247</v>
      </c>
      <c r="C586" s="58">
        <v>111.16901901901726</v>
      </c>
      <c r="D586" s="58">
        <v>111.52995739245563</v>
      </c>
      <c r="E586" s="58">
        <v>9842336.507915264</v>
      </c>
      <c r="F586" s="58" t="s">
        <v>533</v>
      </c>
      <c r="G586" s="25">
        <f t="shared" si="9"/>
        <v>2.0204670690107562E-2</v>
      </c>
    </row>
    <row r="587" spans="1:7">
      <c r="A587" s="58">
        <v>111.21779447488731</v>
      </c>
      <c r="B587" s="58">
        <v>112.66154796864078</v>
      </c>
      <c r="C587" s="58">
        <v>110.67150936914275</v>
      </c>
      <c r="D587" s="58">
        <v>110.72028482501281</v>
      </c>
      <c r="E587" s="58">
        <v>7340893.9724510498</v>
      </c>
      <c r="F587" s="58" t="s">
        <v>534</v>
      </c>
      <c r="G587" s="25">
        <f t="shared" si="9"/>
        <v>4.4933920704846031E-3</v>
      </c>
    </row>
    <row r="588" spans="1:7">
      <c r="A588" s="58">
        <v>110.85685610144894</v>
      </c>
      <c r="B588" s="58">
        <v>111.47142684541157</v>
      </c>
      <c r="C588" s="58">
        <v>109.52040861060958</v>
      </c>
      <c r="D588" s="58">
        <v>109.52040861060958</v>
      </c>
      <c r="E588" s="58">
        <v>5587527.4795196364</v>
      </c>
      <c r="F588" s="58" t="s">
        <v>535</v>
      </c>
      <c r="G588" s="25">
        <f t="shared" si="9"/>
        <v>1.2202725572281192E-2</v>
      </c>
    </row>
    <row r="589" spans="1:7">
      <c r="A589" s="58">
        <v>109.31555169595538</v>
      </c>
      <c r="B589" s="58">
        <v>109.62771461352369</v>
      </c>
      <c r="C589" s="58">
        <v>108.39857312559845</v>
      </c>
      <c r="D589" s="58">
        <v>108.90583786664696</v>
      </c>
      <c r="E589" s="58">
        <v>4091435.875692958</v>
      </c>
      <c r="F589" s="58" t="s">
        <v>536</v>
      </c>
      <c r="G589" s="25">
        <f t="shared" si="9"/>
        <v>3.7620924399857092E-3</v>
      </c>
    </row>
    <row r="590" spans="1:7">
      <c r="A590" s="58">
        <v>108.61318513142666</v>
      </c>
      <c r="B590" s="58">
        <v>110.33983626922642</v>
      </c>
      <c r="C590" s="58">
        <v>107.8717982022019</v>
      </c>
      <c r="D590" s="58">
        <v>109.71551043408978</v>
      </c>
      <c r="E590" s="58">
        <v>4370654.1783631472</v>
      </c>
      <c r="F590" s="58" t="s">
        <v>537</v>
      </c>
      <c r="G590" s="25">
        <f t="shared" si="9"/>
        <v>-1.0047123677424996E-2</v>
      </c>
    </row>
    <row r="591" spans="1:7">
      <c r="A591" s="58">
        <v>109.77404098113384</v>
      </c>
      <c r="B591" s="58">
        <v>109.87159189287394</v>
      </c>
      <c r="C591" s="58">
        <v>108.48636894616452</v>
      </c>
      <c r="D591" s="58">
        <v>108.76926659021082</v>
      </c>
      <c r="E591" s="58">
        <v>4338410.5022775754</v>
      </c>
      <c r="F591" s="58" t="s">
        <v>538</v>
      </c>
      <c r="G591" s="25">
        <f t="shared" si="9"/>
        <v>9.2376681614350087E-3</v>
      </c>
    </row>
    <row r="592" spans="1:7">
      <c r="A592" s="58">
        <v>109.07167441660513</v>
      </c>
      <c r="B592" s="58">
        <v>109.87159189287394</v>
      </c>
      <c r="C592" s="58">
        <v>108.4668587638165</v>
      </c>
      <c r="D592" s="58">
        <v>109.50089842826156</v>
      </c>
      <c r="E592" s="58">
        <v>6097000.9340826487</v>
      </c>
      <c r="F592" s="58" t="s">
        <v>539</v>
      </c>
      <c r="G592" s="25">
        <f t="shared" si="9"/>
        <v>-3.9198218262805895E-3</v>
      </c>
    </row>
    <row r="593" spans="1:7">
      <c r="A593" s="58">
        <v>109.67649006939375</v>
      </c>
      <c r="B593" s="58">
        <v>110.57395845740265</v>
      </c>
      <c r="C593" s="58">
        <v>108.78877677255883</v>
      </c>
      <c r="D593" s="58">
        <v>110.57395845740265</v>
      </c>
      <c r="E593" s="58">
        <v>7155704.519295237</v>
      </c>
      <c r="F593" s="58" t="s">
        <v>540</v>
      </c>
      <c r="G593" s="25">
        <f t="shared" si="9"/>
        <v>-8.1164534627259366E-3</v>
      </c>
    </row>
    <row r="594" spans="1:7">
      <c r="A594" s="58">
        <v>110.53493809270662</v>
      </c>
      <c r="B594" s="58">
        <v>111.7933448541539</v>
      </c>
      <c r="C594" s="58">
        <v>110.1252242633982</v>
      </c>
      <c r="D594" s="58">
        <v>111.7933448541539</v>
      </c>
      <c r="E594" s="58">
        <v>4876973.3825505227</v>
      </c>
      <c r="F594" s="58" t="s">
        <v>541</v>
      </c>
      <c r="G594" s="25">
        <f t="shared" si="9"/>
        <v>-1.1256544502617705E-2</v>
      </c>
    </row>
    <row r="595" spans="1:7">
      <c r="A595" s="58">
        <v>111.2080393837133</v>
      </c>
      <c r="B595" s="58">
        <v>111.70545148267607</v>
      </c>
      <c r="C595" s="58">
        <v>108.98387859603903</v>
      </c>
      <c r="D595" s="58">
        <v>109.08142950777913</v>
      </c>
      <c r="E595" s="58">
        <v>4853715.7834206996</v>
      </c>
      <c r="F595" s="58" t="s">
        <v>542</v>
      </c>
      <c r="G595" s="25">
        <f t="shared" si="9"/>
        <v>1.9495617957431488E-2</v>
      </c>
    </row>
    <row r="596" spans="1:7">
      <c r="A596" s="58">
        <v>108.91559295782098</v>
      </c>
      <c r="B596" s="58">
        <v>109.70087779732877</v>
      </c>
      <c r="C596" s="58">
        <v>108.42783839912047</v>
      </c>
      <c r="D596" s="58">
        <v>109.27653133125933</v>
      </c>
      <c r="E596" s="58">
        <v>5812410.0522058569</v>
      </c>
      <c r="F596" s="58" t="s">
        <v>543</v>
      </c>
      <c r="G596" s="25">
        <f t="shared" si="9"/>
        <v>-3.3029816104266363E-3</v>
      </c>
    </row>
    <row r="597" spans="1:7">
      <c r="A597" s="58">
        <v>109.36432715182542</v>
      </c>
      <c r="B597" s="58">
        <v>111.26656993075737</v>
      </c>
      <c r="C597" s="58">
        <v>109.23751096656331</v>
      </c>
      <c r="D597" s="58">
        <v>110.19350990161627</v>
      </c>
      <c r="E597" s="58">
        <v>7765878.211557433</v>
      </c>
      <c r="F597" s="58" t="s">
        <v>544</v>
      </c>
      <c r="G597" s="25">
        <f t="shared" si="9"/>
        <v>-7.5247875354107485E-3</v>
      </c>
    </row>
    <row r="598" spans="1:7">
      <c r="A598" s="58">
        <v>111.68603885123979</v>
      </c>
      <c r="B598" s="58">
        <v>111.7322779834046</v>
      </c>
      <c r="C598" s="58">
        <v>109.25214360332431</v>
      </c>
      <c r="D598" s="58">
        <v>109.98865298696207</v>
      </c>
      <c r="E598" s="58">
        <v>4634033.5721760159</v>
      </c>
      <c r="F598" s="58" t="s">
        <v>545</v>
      </c>
      <c r="G598" s="25">
        <f t="shared" si="9"/>
        <v>1.543237250554319E-2</v>
      </c>
    </row>
    <row r="599" spans="1:7">
      <c r="A599" s="58">
        <v>110.37885663392247</v>
      </c>
      <c r="B599" s="58">
        <v>111.72993676152284</v>
      </c>
      <c r="C599" s="58">
        <v>109.86183680169994</v>
      </c>
      <c r="D599" s="58">
        <v>111.2080393837133</v>
      </c>
      <c r="E599" s="58">
        <v>8534197.0172256622</v>
      </c>
      <c r="F599" s="58" t="s">
        <v>546</v>
      </c>
      <c r="G599" s="25">
        <f t="shared" si="9"/>
        <v>-7.4561403508770496E-3</v>
      </c>
    </row>
    <row r="600" spans="1:7">
      <c r="A600" s="58">
        <v>110.7007746426648</v>
      </c>
      <c r="B600" s="58">
        <v>111.12999865432123</v>
      </c>
      <c r="C600" s="58">
        <v>109.62771461352369</v>
      </c>
      <c r="D600" s="58">
        <v>111.11048847197321</v>
      </c>
      <c r="E600" s="58">
        <v>4888079.3781857705</v>
      </c>
      <c r="F600" s="58" t="s">
        <v>547</v>
      </c>
      <c r="G600" s="25">
        <f t="shared" si="9"/>
        <v>-3.6874451273046782E-3</v>
      </c>
    </row>
    <row r="601" spans="1:7">
      <c r="A601" s="58">
        <v>110.67150936914275</v>
      </c>
      <c r="B601" s="58">
        <v>110.69101955149077</v>
      </c>
      <c r="C601" s="58">
        <v>109.28628642243335</v>
      </c>
      <c r="D601" s="58">
        <v>109.40334751652146</v>
      </c>
      <c r="E601" s="58">
        <v>6643313.6137835523</v>
      </c>
      <c r="F601" s="58" t="s">
        <v>548</v>
      </c>
      <c r="G601" s="25">
        <f t="shared" si="9"/>
        <v>1.1591618368256729E-2</v>
      </c>
    </row>
    <row r="602" spans="1:7">
      <c r="A602" s="58">
        <v>109.26677624008533</v>
      </c>
      <c r="B602" s="58">
        <v>110.63248900444671</v>
      </c>
      <c r="C602" s="58">
        <v>108.80828695490686</v>
      </c>
      <c r="D602" s="58">
        <v>110.45689736331454</v>
      </c>
      <c r="E602" s="58">
        <v>5306661.8319181334</v>
      </c>
      <c r="F602" s="58" t="s">
        <v>549</v>
      </c>
      <c r="G602" s="25">
        <f t="shared" si="9"/>
        <v>-1.0774529718272419E-2</v>
      </c>
    </row>
    <row r="603" spans="1:7">
      <c r="A603" s="58">
        <v>109.69600025174176</v>
      </c>
      <c r="B603" s="58">
        <v>109.81306134582988</v>
      </c>
      <c r="C603" s="58">
        <v>108.07177757126911</v>
      </c>
      <c r="D603" s="58">
        <v>108.68147076964472</v>
      </c>
      <c r="E603" s="58">
        <v>5790566.0738976141</v>
      </c>
      <c r="F603" s="58" t="s">
        <v>550</v>
      </c>
      <c r="G603" s="25">
        <f t="shared" si="9"/>
        <v>9.334889148191472E-3</v>
      </c>
    </row>
    <row r="604" spans="1:7">
      <c r="A604" s="58">
        <v>108.05714493450809</v>
      </c>
      <c r="B604" s="58">
        <v>110.56908091181565</v>
      </c>
      <c r="C604" s="58">
        <v>107.05237054358507</v>
      </c>
      <c r="D604" s="58">
        <v>108.03763475216007</v>
      </c>
      <c r="E604" s="58">
        <v>8929449.0893203467</v>
      </c>
      <c r="F604" s="58" t="s">
        <v>551</v>
      </c>
      <c r="G604" s="25">
        <f t="shared" si="9"/>
        <v>1.8058690744915395E-4</v>
      </c>
    </row>
    <row r="605" spans="1:7">
      <c r="A605" s="58">
        <v>111.2080393837133</v>
      </c>
      <c r="B605" s="58">
        <v>112.67130305981479</v>
      </c>
      <c r="C605" s="58">
        <v>110.10571408105018</v>
      </c>
      <c r="D605" s="58">
        <v>111.64701848654376</v>
      </c>
      <c r="E605" s="58">
        <v>5163764.1413548803</v>
      </c>
      <c r="F605" s="58" t="s">
        <v>552</v>
      </c>
      <c r="G605" s="25">
        <f t="shared" si="9"/>
        <v>-3.9318479685452878E-3</v>
      </c>
    </row>
    <row r="606" spans="1:7">
      <c r="A606" s="58">
        <v>111.39338611601949</v>
      </c>
      <c r="B606" s="58">
        <v>112.80787433625093</v>
      </c>
      <c r="C606" s="58">
        <v>111.34461066014944</v>
      </c>
      <c r="D606" s="58">
        <v>112.11526286289623</v>
      </c>
      <c r="E606" s="58">
        <v>5189582.4546343107</v>
      </c>
      <c r="F606" s="58" t="s">
        <v>553</v>
      </c>
      <c r="G606" s="25">
        <f t="shared" si="9"/>
        <v>-6.4387018184982603E-3</v>
      </c>
    </row>
    <row r="607" spans="1:7">
      <c r="A607" s="58">
        <v>111.88114067471999</v>
      </c>
      <c r="B607" s="58">
        <v>112.04697722467816</v>
      </c>
      <c r="C607" s="58">
        <v>110.68126446031675</v>
      </c>
      <c r="D607" s="58">
        <v>110.84710101027493</v>
      </c>
      <c r="E607" s="58">
        <v>7015084.6136961263</v>
      </c>
      <c r="F607" s="58" t="s">
        <v>554</v>
      </c>
      <c r="G607" s="25">
        <f t="shared" si="9"/>
        <v>9.3285223972543463E-3</v>
      </c>
    </row>
    <row r="608" spans="1:7">
      <c r="A608" s="58">
        <v>111.22754956606131</v>
      </c>
      <c r="B608" s="58">
        <v>111.76407958063186</v>
      </c>
      <c r="C608" s="58">
        <v>110.62761145885972</v>
      </c>
      <c r="D608" s="58">
        <v>111.4031412071935</v>
      </c>
      <c r="E608" s="58">
        <v>5226178.7297107689</v>
      </c>
      <c r="F608" s="58" t="s">
        <v>555</v>
      </c>
      <c r="G608" s="25">
        <f t="shared" si="9"/>
        <v>-1.5761821366024886E-3</v>
      </c>
    </row>
    <row r="609" spans="1:7">
      <c r="A609" s="58">
        <v>111.13975374549524</v>
      </c>
      <c r="B609" s="58">
        <v>111.6957939424138</v>
      </c>
      <c r="C609" s="58">
        <v>110.65687673238175</v>
      </c>
      <c r="D609" s="58">
        <v>110.83734591910093</v>
      </c>
      <c r="E609" s="58">
        <v>4789416.0256007873</v>
      </c>
      <c r="F609" s="58" t="s">
        <v>556</v>
      </c>
      <c r="G609" s="25">
        <f t="shared" si="9"/>
        <v>2.728392888575959E-3</v>
      </c>
    </row>
    <row r="610" spans="1:7">
      <c r="A610" s="58">
        <v>110.97391719553707</v>
      </c>
      <c r="B610" s="58">
        <v>111.27632502193137</v>
      </c>
      <c r="C610" s="58">
        <v>110.14863648221582</v>
      </c>
      <c r="D610" s="58">
        <v>110.73003991618683</v>
      </c>
      <c r="E610" s="58">
        <v>6023566.4589740438</v>
      </c>
      <c r="F610" s="58" t="s">
        <v>557</v>
      </c>
      <c r="G610" s="25">
        <f t="shared" si="9"/>
        <v>2.2024491234251542E-3</v>
      </c>
    </row>
    <row r="611" spans="1:7">
      <c r="A611" s="58">
        <v>111.12999865432123</v>
      </c>
      <c r="B611" s="58">
        <v>112.12501795407023</v>
      </c>
      <c r="C611" s="58">
        <v>110.67150936914275</v>
      </c>
      <c r="D611" s="58">
        <v>111.37387593367147</v>
      </c>
      <c r="E611" s="58">
        <v>3982466.109953389</v>
      </c>
      <c r="F611" s="58" t="s">
        <v>558</v>
      </c>
      <c r="G611" s="25">
        <f t="shared" si="9"/>
        <v>-2.18971708855209E-3</v>
      </c>
    </row>
    <row r="612" spans="1:7">
      <c r="A612" s="58">
        <v>110.72028482501281</v>
      </c>
      <c r="B612" s="58">
        <v>110.94465192201504</v>
      </c>
      <c r="C612" s="58">
        <v>109.82769398259089</v>
      </c>
      <c r="D612" s="58">
        <v>110.48128509124956</v>
      </c>
      <c r="E612" s="58">
        <v>5293540.478389319</v>
      </c>
      <c r="F612" s="58" t="s">
        <v>559</v>
      </c>
      <c r="G612" s="25">
        <f t="shared" si="9"/>
        <v>2.1632599002252562E-3</v>
      </c>
    </row>
    <row r="613" spans="1:7">
      <c r="A613" s="58">
        <v>111.0617130161032</v>
      </c>
      <c r="B613" s="58">
        <v>111.0714212078004</v>
      </c>
      <c r="C613" s="58">
        <v>109.51325644039791</v>
      </c>
      <c r="D613" s="58">
        <v>109.7511071369796</v>
      </c>
      <c r="E613" s="58">
        <v>4812548.1507970495</v>
      </c>
      <c r="F613" s="58" t="s">
        <v>560</v>
      </c>
      <c r="G613" s="25">
        <f t="shared" si="9"/>
        <v>1.1941618752764338E-2</v>
      </c>
    </row>
    <row r="614" spans="1:7">
      <c r="A614" s="58">
        <v>109.44044500266882</v>
      </c>
      <c r="B614" s="58">
        <v>110.22680853014299</v>
      </c>
      <c r="C614" s="58">
        <v>108.78999615895563</v>
      </c>
      <c r="D614" s="58">
        <v>108.87736988423055</v>
      </c>
      <c r="E614" s="58">
        <v>3916401.8579196003</v>
      </c>
      <c r="F614" s="58" t="s">
        <v>561</v>
      </c>
      <c r="G614" s="25">
        <f t="shared" si="9"/>
        <v>5.1716451181451628E-3</v>
      </c>
    </row>
    <row r="615" spans="1:7">
      <c r="A615" s="58">
        <v>109.12007467666083</v>
      </c>
      <c r="B615" s="58">
        <v>109.23657297702736</v>
      </c>
      <c r="C615" s="58">
        <v>107.68326230547348</v>
      </c>
      <c r="D615" s="58">
        <v>107.88713433111492</v>
      </c>
      <c r="E615" s="58">
        <v>5181578.7706836471</v>
      </c>
      <c r="F615" s="58" t="s">
        <v>562</v>
      </c>
      <c r="G615" s="25">
        <f t="shared" si="9"/>
        <v>1.142805723027096E-2</v>
      </c>
    </row>
    <row r="616" spans="1:7">
      <c r="A616" s="58">
        <v>107.56676400510693</v>
      </c>
      <c r="B616" s="58">
        <v>107.80946879753724</v>
      </c>
      <c r="C616" s="58">
        <v>106.81923324442162</v>
      </c>
      <c r="D616" s="58">
        <v>107.47939027983203</v>
      </c>
      <c r="E616" s="58">
        <v>4251821.6870248718</v>
      </c>
      <c r="F616" s="58" t="s">
        <v>563</v>
      </c>
      <c r="G616" s="25">
        <f t="shared" si="9"/>
        <v>8.1293469424625897E-4</v>
      </c>
    </row>
    <row r="617" spans="1:7">
      <c r="A617" s="58">
        <v>107.74151145565675</v>
      </c>
      <c r="B617" s="58">
        <v>107.79005241414281</v>
      </c>
      <c r="C617" s="58">
        <v>106.31440727616662</v>
      </c>
      <c r="D617" s="58">
        <v>106.47944653501922</v>
      </c>
      <c r="E617" s="58">
        <v>5455330.0606137039</v>
      </c>
      <c r="F617" s="58" t="s">
        <v>564</v>
      </c>
      <c r="G617" s="25">
        <f t="shared" si="9"/>
        <v>1.1852662290299021E-2</v>
      </c>
    </row>
    <row r="618" spans="1:7">
      <c r="A618" s="58">
        <v>106.32411546786382</v>
      </c>
      <c r="B618" s="58">
        <v>107.03281346176028</v>
      </c>
      <c r="C618" s="58">
        <v>106.10082705882796</v>
      </c>
      <c r="D618" s="58">
        <v>106.92602335309095</v>
      </c>
      <c r="E618" s="58">
        <v>4367057.3596292036</v>
      </c>
      <c r="F618" s="58" t="s">
        <v>565</v>
      </c>
      <c r="G618" s="25">
        <f t="shared" si="9"/>
        <v>-5.629199201016899E-3</v>
      </c>
    </row>
    <row r="619" spans="1:7">
      <c r="A619" s="58">
        <v>106.64448579387181</v>
      </c>
      <c r="B619" s="58">
        <v>107.76092783905118</v>
      </c>
      <c r="C619" s="58">
        <v>106.36294823465268</v>
      </c>
      <c r="D619" s="58">
        <v>106.36294823465268</v>
      </c>
      <c r="E619" s="58">
        <v>5210741.7712537032</v>
      </c>
      <c r="F619" s="58" t="s">
        <v>566</v>
      </c>
      <c r="G619" s="25">
        <f t="shared" si="9"/>
        <v>2.6469514421321172E-3</v>
      </c>
    </row>
    <row r="620" spans="1:7">
      <c r="A620" s="58">
        <v>106.85806601121047</v>
      </c>
      <c r="B620" s="58">
        <v>107.49880666322646</v>
      </c>
      <c r="C620" s="58">
        <v>106.62506941047739</v>
      </c>
      <c r="D620" s="58">
        <v>107.17843633721847</v>
      </c>
      <c r="E620" s="58">
        <v>3657018.8462797282</v>
      </c>
      <c r="F620" s="58" t="s">
        <v>567</v>
      </c>
      <c r="G620" s="25">
        <f t="shared" si="9"/>
        <v>-2.9891304347827719E-3</v>
      </c>
    </row>
    <row r="621" spans="1:7">
      <c r="A621" s="58">
        <v>107.17843633721847</v>
      </c>
      <c r="B621" s="58">
        <v>107.47939027983203</v>
      </c>
      <c r="C621" s="58">
        <v>106.51342520595946</v>
      </c>
      <c r="D621" s="58">
        <v>106.64448579387181</v>
      </c>
      <c r="E621" s="58">
        <v>3302490.4122163085</v>
      </c>
      <c r="F621" s="58" t="s">
        <v>568</v>
      </c>
      <c r="G621" s="25">
        <f t="shared" si="9"/>
        <v>5.0068274920347378E-3</v>
      </c>
    </row>
    <row r="622" spans="1:7">
      <c r="A622" s="58">
        <v>106.58623664368855</v>
      </c>
      <c r="B622" s="58">
        <v>106.59594483538575</v>
      </c>
      <c r="C622" s="58">
        <v>105.85812226639767</v>
      </c>
      <c r="D622" s="58">
        <v>105.85812226639767</v>
      </c>
      <c r="E622" s="58">
        <v>2546117.8323352477</v>
      </c>
      <c r="F622" s="58" t="s">
        <v>569</v>
      </c>
      <c r="G622" s="25">
        <f t="shared" si="9"/>
        <v>6.8782098312545337E-3</v>
      </c>
    </row>
    <row r="623" spans="1:7">
      <c r="A623" s="58">
        <v>106.04257790864469</v>
      </c>
      <c r="B623" s="58">
        <v>106.52798749350528</v>
      </c>
      <c r="C623" s="58">
        <v>105.34358810644544</v>
      </c>
      <c r="D623" s="58">
        <v>105.34358810644544</v>
      </c>
      <c r="E623" s="58">
        <v>2589003.2648632815</v>
      </c>
      <c r="F623" s="58" t="s">
        <v>570</v>
      </c>
      <c r="G623" s="25">
        <f t="shared" si="9"/>
        <v>6.6353331490185408E-3</v>
      </c>
    </row>
    <row r="624" spans="1:7">
      <c r="A624" s="58">
        <v>105.84841407470044</v>
      </c>
      <c r="B624" s="58">
        <v>106.14936801731402</v>
      </c>
      <c r="C624" s="58">
        <v>105.33387991474822</v>
      </c>
      <c r="D624" s="58">
        <v>105.67852071999924</v>
      </c>
      <c r="E624" s="58">
        <v>2642842.3335901708</v>
      </c>
      <c r="F624" s="58" t="s">
        <v>571</v>
      </c>
      <c r="G624" s="25">
        <f t="shared" si="9"/>
        <v>1.6076431950760028E-3</v>
      </c>
    </row>
    <row r="625" spans="1:7">
      <c r="A625" s="58">
        <v>105.31446353135379</v>
      </c>
      <c r="B625" s="58">
        <v>105.50862736529804</v>
      </c>
      <c r="C625" s="58">
        <v>104.05239861071627</v>
      </c>
      <c r="D625" s="58">
        <v>104.28539521144934</v>
      </c>
      <c r="E625" s="58">
        <v>3662508.025074509</v>
      </c>
      <c r="F625" s="58" t="s">
        <v>572</v>
      </c>
      <c r="G625" s="25">
        <f t="shared" si="9"/>
        <v>9.8678086017500721E-3</v>
      </c>
    </row>
    <row r="626" spans="1:7">
      <c r="A626" s="58">
        <v>104.26597882805493</v>
      </c>
      <c r="B626" s="58">
        <v>105.644542049059</v>
      </c>
      <c r="C626" s="58">
        <v>104.1688969110828</v>
      </c>
      <c r="D626" s="58">
        <v>104.70284745442945</v>
      </c>
      <c r="E626" s="58">
        <v>5836615.2798850834</v>
      </c>
      <c r="F626" s="58" t="s">
        <v>573</v>
      </c>
      <c r="G626" s="25">
        <f t="shared" si="9"/>
        <v>-4.1724617524337981E-3</v>
      </c>
    </row>
    <row r="627" spans="1:7">
      <c r="A627" s="58">
        <v>105.25621438117052</v>
      </c>
      <c r="B627" s="58">
        <v>105.54260603623828</v>
      </c>
      <c r="C627" s="58">
        <v>104.29510340314657</v>
      </c>
      <c r="D627" s="58">
        <v>104.99409320534582</v>
      </c>
      <c r="E627" s="58">
        <v>4815629.0541138416</v>
      </c>
      <c r="F627" s="58" t="s">
        <v>574</v>
      </c>
      <c r="G627" s="25">
        <f t="shared" si="9"/>
        <v>2.4965325936199267E-3</v>
      </c>
    </row>
    <row r="628" spans="1:7">
      <c r="A628" s="58">
        <v>104.9067194800709</v>
      </c>
      <c r="B628" s="58">
        <v>105.45037821511477</v>
      </c>
      <c r="C628" s="58">
        <v>104.03298222732184</v>
      </c>
      <c r="D628" s="58">
        <v>104.498975428788</v>
      </c>
      <c r="E628" s="58">
        <v>5297471.6202575928</v>
      </c>
      <c r="F628" s="58" t="s">
        <v>575</v>
      </c>
      <c r="G628" s="25">
        <f t="shared" si="9"/>
        <v>3.9018952062430667E-3</v>
      </c>
    </row>
    <row r="629" spans="1:7">
      <c r="A629" s="58">
        <v>104.1591887193856</v>
      </c>
      <c r="B629" s="58">
        <v>104.81934575479599</v>
      </c>
      <c r="C629" s="58">
        <v>103.40194976700307</v>
      </c>
      <c r="D629" s="58">
        <v>104.71255564612666</v>
      </c>
      <c r="E629" s="58">
        <v>13716556.507453831</v>
      </c>
      <c r="F629" s="58" t="s">
        <v>576</v>
      </c>
      <c r="G629" s="25">
        <f t="shared" si="9"/>
        <v>-5.2846282217688945E-3</v>
      </c>
    </row>
    <row r="630" spans="1:7">
      <c r="A630" s="58">
        <v>105.43096183172034</v>
      </c>
      <c r="B630" s="58">
        <v>105.49406507775223</v>
      </c>
      <c r="C630" s="58">
        <v>103.56698902585568</v>
      </c>
      <c r="D630" s="58">
        <v>104.68343107103503</v>
      </c>
      <c r="E630" s="58">
        <v>6810573.1800690666</v>
      </c>
      <c r="F630" s="58" t="s">
        <v>577</v>
      </c>
      <c r="G630" s="25">
        <f t="shared" si="9"/>
        <v>7.1408698877863941E-3</v>
      </c>
    </row>
    <row r="631" spans="1:7">
      <c r="A631" s="58">
        <v>104.12035595259674</v>
      </c>
      <c r="B631" s="58">
        <v>104.14948052768838</v>
      </c>
      <c r="C631" s="58">
        <v>102.80975007347315</v>
      </c>
      <c r="D631" s="58">
        <v>102.91654018214248</v>
      </c>
      <c r="E631" s="58">
        <v>6731198.9748582952</v>
      </c>
      <c r="F631" s="58" t="s">
        <v>578</v>
      </c>
      <c r="G631" s="25">
        <f t="shared" si="9"/>
        <v>1.1697009716064466E-2</v>
      </c>
    </row>
    <row r="632" spans="1:7">
      <c r="A632" s="58">
        <v>103.56698902585568</v>
      </c>
      <c r="B632" s="58">
        <v>104.09123137750511</v>
      </c>
      <c r="C632" s="58">
        <v>102.47967155576795</v>
      </c>
      <c r="D632" s="58">
        <v>103.2660350832421</v>
      </c>
      <c r="E632" s="58">
        <v>5515503.9857091233</v>
      </c>
      <c r="F632" s="58" t="s">
        <v>579</v>
      </c>
      <c r="G632" s="25">
        <f t="shared" si="9"/>
        <v>2.9143555513773123E-3</v>
      </c>
    </row>
    <row r="633" spans="1:7">
      <c r="A633" s="58">
        <v>103.12041220778393</v>
      </c>
      <c r="B633" s="58">
        <v>103.14953678287556</v>
      </c>
      <c r="C633" s="58">
        <v>101.16906567664435</v>
      </c>
      <c r="D633" s="58">
        <v>101.16906567664435</v>
      </c>
      <c r="E633" s="58">
        <v>5364955.8665965032</v>
      </c>
      <c r="F633" s="58" t="s">
        <v>580</v>
      </c>
      <c r="G633" s="25">
        <f t="shared" si="9"/>
        <v>1.9287976201900037E-2</v>
      </c>
    </row>
    <row r="634" spans="1:7">
      <c r="A634" s="58">
        <v>101.46031142756071</v>
      </c>
      <c r="B634" s="58">
        <v>101.80009813696311</v>
      </c>
      <c r="C634" s="58">
        <v>101.08169195136945</v>
      </c>
      <c r="D634" s="58">
        <v>101.08169195136945</v>
      </c>
      <c r="E634" s="58">
        <v>3529784.0286612473</v>
      </c>
      <c r="F634" s="58" t="s">
        <v>581</v>
      </c>
      <c r="G634" s="25">
        <f t="shared" si="9"/>
        <v>3.7456780637725728E-3</v>
      </c>
    </row>
    <row r="635" spans="1:7">
      <c r="A635" s="58">
        <v>101.01373460948896</v>
      </c>
      <c r="B635" s="58">
        <v>102.13988484636553</v>
      </c>
      <c r="C635" s="58">
        <v>100.92636088421405</v>
      </c>
      <c r="D635" s="58">
        <v>102.1156143671225</v>
      </c>
      <c r="E635" s="58">
        <v>5355309.3739312524</v>
      </c>
      <c r="F635" s="58" t="s">
        <v>582</v>
      </c>
      <c r="G635" s="25">
        <f t="shared" si="9"/>
        <v>-1.0790511955126703E-2</v>
      </c>
    </row>
    <row r="636" spans="1:7">
      <c r="A636" s="58">
        <v>101.87776367054082</v>
      </c>
      <c r="B636" s="58">
        <v>102.18842580485159</v>
      </c>
      <c r="C636" s="58">
        <v>100.84869535063636</v>
      </c>
      <c r="D636" s="58">
        <v>101.57680972792724</v>
      </c>
      <c r="E636" s="58">
        <v>4425117.6058192216</v>
      </c>
      <c r="F636" s="58" t="s">
        <v>583</v>
      </c>
      <c r="G636" s="25">
        <f t="shared" si="9"/>
        <v>2.9628213705439332E-3</v>
      </c>
    </row>
    <row r="637" spans="1:7">
      <c r="A637" s="58">
        <v>101.30498036040531</v>
      </c>
      <c r="B637" s="58">
        <v>102.17871761315438</v>
      </c>
      <c r="C637" s="58">
        <v>100.91665269251685</v>
      </c>
      <c r="D637" s="58">
        <v>101.93601282072409</v>
      </c>
      <c r="E637" s="58">
        <v>4445254.2086075805</v>
      </c>
      <c r="F637" s="58" t="s">
        <v>584</v>
      </c>
      <c r="G637" s="25">
        <f t="shared" si="9"/>
        <v>-6.1904761904763017E-3</v>
      </c>
    </row>
    <row r="638" spans="1:7">
      <c r="A638" s="58">
        <v>102.1204684629711</v>
      </c>
      <c r="B638" s="58">
        <v>102.42627650143328</v>
      </c>
      <c r="C638" s="58">
        <v>101.25643940191925</v>
      </c>
      <c r="D638" s="58">
        <v>101.36322951058858</v>
      </c>
      <c r="E638" s="58">
        <v>4859502.3122121887</v>
      </c>
      <c r="F638" s="58" t="s">
        <v>585</v>
      </c>
      <c r="G638" s="25">
        <f t="shared" si="9"/>
        <v>7.4705487980077923E-3</v>
      </c>
    </row>
    <row r="639" spans="1:7">
      <c r="A639" s="58">
        <v>101.81951452035754</v>
      </c>
      <c r="B639" s="58">
        <v>101.91659643732966</v>
      </c>
      <c r="C639" s="58">
        <v>100.86811173403079</v>
      </c>
      <c r="D639" s="58">
        <v>101.17877386834157</v>
      </c>
      <c r="E639" s="58">
        <v>4823086.6736436244</v>
      </c>
      <c r="F639" s="58" t="s">
        <v>586</v>
      </c>
      <c r="G639" s="25">
        <f t="shared" si="9"/>
        <v>6.3327576280944875E-3</v>
      </c>
    </row>
    <row r="640" spans="1:7">
      <c r="A640" s="58">
        <v>101.24673121022205</v>
      </c>
      <c r="B640" s="58">
        <v>101.66418345320216</v>
      </c>
      <c r="C640" s="58">
        <v>100.10116458995105</v>
      </c>
      <c r="D640" s="58">
        <v>100.7224888585726</v>
      </c>
      <c r="E640" s="58">
        <v>17270223.459653411</v>
      </c>
      <c r="F640" s="58" t="s">
        <v>587</v>
      </c>
      <c r="G640" s="25">
        <f t="shared" si="9"/>
        <v>5.2048192771085855E-3</v>
      </c>
    </row>
    <row r="641" spans="1:7">
      <c r="A641" s="58">
        <v>100.60599055820606</v>
      </c>
      <c r="B641" s="58">
        <v>100.80986258384752</v>
      </c>
      <c r="C641" s="58">
        <v>99.246843720596416</v>
      </c>
      <c r="D641" s="58">
        <v>99.334217445871317</v>
      </c>
      <c r="E641" s="58">
        <v>5622794.821375167</v>
      </c>
      <c r="F641" s="58" t="s">
        <v>588</v>
      </c>
      <c r="G641" s="25">
        <f t="shared" si="9"/>
        <v>1.2802971071149249E-2</v>
      </c>
    </row>
    <row r="642" spans="1:7">
      <c r="A642" s="58">
        <v>99.081804461743815</v>
      </c>
      <c r="B642" s="58">
        <v>99.499256704723919</v>
      </c>
      <c r="C642" s="58">
        <v>98.392522851241765</v>
      </c>
      <c r="D642" s="58">
        <v>99.470132129632276</v>
      </c>
      <c r="E642" s="58">
        <v>3716080.3087933576</v>
      </c>
      <c r="F642" s="58" t="s">
        <v>589</v>
      </c>
      <c r="G642" s="25">
        <f t="shared" si="9"/>
        <v>-3.9039625219596807E-3</v>
      </c>
    </row>
    <row r="643" spans="1:7">
      <c r="A643" s="58">
        <v>99.712836922062579</v>
      </c>
      <c r="B643" s="58">
        <v>100.45065949105067</v>
      </c>
      <c r="C643" s="58">
        <v>99.266260103990831</v>
      </c>
      <c r="D643" s="58">
        <v>99.606046813393249</v>
      </c>
      <c r="E643" s="58">
        <v>4709967.7701185327</v>
      </c>
      <c r="F643" s="58" t="s">
        <v>590</v>
      </c>
      <c r="G643" s="25">
        <f t="shared" ref="G643:G706" si="10">A643/D643-1</f>
        <v>1.0721247563352243E-3</v>
      </c>
    </row>
    <row r="644" spans="1:7">
      <c r="A644" s="58">
        <v>99.868167989217966</v>
      </c>
      <c r="B644" s="58">
        <v>100.16912193183154</v>
      </c>
      <c r="C644" s="58">
        <v>99.208010953807559</v>
      </c>
      <c r="D644" s="58">
        <v>99.68371234697095</v>
      </c>
      <c r="E644" s="58">
        <v>2231913.076687905</v>
      </c>
      <c r="F644" s="58" t="s">
        <v>591</v>
      </c>
      <c r="G644" s="25">
        <f t="shared" si="10"/>
        <v>1.8504090377873261E-3</v>
      </c>
    </row>
    <row r="645" spans="1:7">
      <c r="A645" s="58">
        <v>99.703128730365364</v>
      </c>
      <c r="B645" s="58">
        <v>100.20795469862038</v>
      </c>
      <c r="C645" s="58">
        <v>99.101220845138229</v>
      </c>
      <c r="D645" s="58">
        <v>99.295384679082474</v>
      </c>
      <c r="E645" s="58">
        <v>6665073.3749502944</v>
      </c>
      <c r="F645" s="58" t="s">
        <v>592</v>
      </c>
      <c r="G645" s="25">
        <f t="shared" si="10"/>
        <v>4.1063746578020588E-3</v>
      </c>
    </row>
    <row r="646" spans="1:7">
      <c r="A646" s="58">
        <v>98.936181586285628</v>
      </c>
      <c r="B646" s="58">
        <v>99.58177633415022</v>
      </c>
      <c r="C646" s="58">
        <v>98.043319195893062</v>
      </c>
      <c r="D646" s="58">
        <v>98.509021151608309</v>
      </c>
      <c r="E646" s="58">
        <v>7325586.7022511587</v>
      </c>
      <c r="F646" s="58" t="s">
        <v>593</v>
      </c>
      <c r="G646" s="25">
        <f t="shared" si="10"/>
        <v>4.3362570217797547E-3</v>
      </c>
    </row>
    <row r="647" spans="1:7">
      <c r="A647" s="58">
        <v>98.246899975783592</v>
      </c>
      <c r="B647" s="58">
        <v>98.348835988604321</v>
      </c>
      <c r="C647" s="58">
        <v>96.06255684391094</v>
      </c>
      <c r="D647" s="58">
        <v>96.06255684391094</v>
      </c>
      <c r="E647" s="58">
        <v>7075947.0087234713</v>
      </c>
      <c r="F647" s="58" t="s">
        <v>594</v>
      </c>
      <c r="G647" s="25">
        <f t="shared" si="10"/>
        <v>2.2738756947953354E-2</v>
      </c>
    </row>
    <row r="648" spans="1:7">
      <c r="A648" s="58">
        <v>96.645048345743646</v>
      </c>
      <c r="B648" s="58">
        <v>97.810031349409059</v>
      </c>
      <c r="C648" s="58">
        <v>96.352443447989671</v>
      </c>
      <c r="D648" s="58">
        <v>97.499369215098298</v>
      </c>
      <c r="E648" s="58">
        <v>6251914.0425947169</v>
      </c>
      <c r="F648" s="58" t="s">
        <v>595</v>
      </c>
      <c r="G648" s="25">
        <f t="shared" si="10"/>
        <v>-8.7623220153342229E-3</v>
      </c>
    </row>
    <row r="649" spans="1:7">
      <c r="A649" s="58">
        <v>97.334329956245682</v>
      </c>
      <c r="B649" s="58">
        <v>97.421703681520583</v>
      </c>
      <c r="C649" s="58">
        <v>94.790783731576184</v>
      </c>
      <c r="D649" s="58">
        <v>94.868449265153885</v>
      </c>
      <c r="E649" s="58">
        <v>7831891.084498954</v>
      </c>
      <c r="F649" s="58" t="s">
        <v>596</v>
      </c>
      <c r="G649" s="25">
        <f t="shared" si="10"/>
        <v>2.5992632009824046E-2</v>
      </c>
    </row>
    <row r="650" spans="1:7">
      <c r="A650" s="58">
        <v>95.140278632675816</v>
      </c>
      <c r="B650" s="58">
        <v>95.455794862835205</v>
      </c>
      <c r="C650" s="58">
        <v>94.091793929376934</v>
      </c>
      <c r="D650" s="58">
        <v>94.528662555751467</v>
      </c>
      <c r="E650" s="58">
        <v>5531967.4018616807</v>
      </c>
      <c r="F650" s="58" t="s">
        <v>597</v>
      </c>
      <c r="G650" s="25">
        <f t="shared" si="10"/>
        <v>6.470165348670065E-3</v>
      </c>
    </row>
    <row r="651" spans="1:7">
      <c r="A651" s="58">
        <v>94.247124996532321</v>
      </c>
      <c r="B651" s="58">
        <v>94.984947565520429</v>
      </c>
      <c r="C651" s="58">
        <v>93.392804127177683</v>
      </c>
      <c r="D651" s="58">
        <v>93.509302427544227</v>
      </c>
      <c r="E651" s="58">
        <v>5693215.7629184145</v>
      </c>
      <c r="F651" s="58" t="s">
        <v>598</v>
      </c>
      <c r="G651" s="25">
        <f t="shared" si="10"/>
        <v>7.8903654485049657E-3</v>
      </c>
    </row>
    <row r="652" spans="1:7">
      <c r="A652" s="58">
        <v>92.994768267592008</v>
      </c>
      <c r="B652" s="58">
        <v>93.926754670524332</v>
      </c>
      <c r="C652" s="58">
        <v>91.74241153865168</v>
      </c>
      <c r="D652" s="58">
        <v>92.878269967225464</v>
      </c>
      <c r="E652" s="58">
        <v>7102031.1660926268</v>
      </c>
      <c r="F652" s="58" t="s">
        <v>599</v>
      </c>
      <c r="G652" s="25">
        <f t="shared" si="10"/>
        <v>1.2543116964565115E-3</v>
      </c>
    </row>
    <row r="653" spans="1:7">
      <c r="A653" s="58">
        <v>91.227877378699446</v>
      </c>
      <c r="B653" s="58">
        <v>91.470582171129749</v>
      </c>
      <c r="C653" s="58">
        <v>89.732815857328831</v>
      </c>
      <c r="D653" s="58">
        <v>90.965756202874729</v>
      </c>
      <c r="E653" s="58">
        <v>5644145.8624819806</v>
      </c>
      <c r="F653" s="58" t="s">
        <v>600</v>
      </c>
      <c r="G653" s="25">
        <f t="shared" si="10"/>
        <v>2.8815368196370983E-3</v>
      </c>
    </row>
    <row r="654" spans="1:7">
      <c r="A654" s="58">
        <v>90.820133327416556</v>
      </c>
      <c r="B654" s="58">
        <v>92.412276765759287</v>
      </c>
      <c r="C654" s="58">
        <v>90.659948164412569</v>
      </c>
      <c r="D654" s="58">
        <v>92.111322823145727</v>
      </c>
      <c r="E654" s="58">
        <v>5158647.6206875117</v>
      </c>
      <c r="F654" s="58" t="s">
        <v>601</v>
      </c>
      <c r="G654" s="25">
        <f t="shared" si="10"/>
        <v>-1.4017706576728517E-2</v>
      </c>
    </row>
    <row r="655" spans="1:7">
      <c r="A655" s="58">
        <v>91.975408139384754</v>
      </c>
      <c r="B655" s="58">
        <v>92.936519117408736</v>
      </c>
      <c r="C655" s="58">
        <v>91.053129928149644</v>
      </c>
      <c r="D655" s="58">
        <v>92.441401340850931</v>
      </c>
      <c r="E655" s="58">
        <v>4548727.6495253677</v>
      </c>
      <c r="F655" s="58" t="s">
        <v>602</v>
      </c>
      <c r="G655" s="25">
        <f t="shared" si="10"/>
        <v>-5.0409577819786611E-3</v>
      </c>
    </row>
    <row r="656" spans="1:7">
      <c r="A656" s="58">
        <v>92.033657289568026</v>
      </c>
      <c r="B656" s="58">
        <v>92.65498155818959</v>
      </c>
      <c r="C656" s="58">
        <v>91.73755744280308</v>
      </c>
      <c r="D656" s="58">
        <v>92.159863781631785</v>
      </c>
      <c r="E656" s="58">
        <v>4600731.1549923019</v>
      </c>
      <c r="F656" s="58" t="s">
        <v>603</v>
      </c>
      <c r="G656" s="25">
        <f t="shared" si="10"/>
        <v>-1.3694301063942316E-3</v>
      </c>
    </row>
    <row r="657" spans="1:7">
      <c r="A657" s="58">
        <v>92.227821123512271</v>
      </c>
      <c r="B657" s="58">
        <v>93.014184650986422</v>
      </c>
      <c r="C657" s="58">
        <v>91.655037813376765</v>
      </c>
      <c r="D657" s="58">
        <v>92.76177166685892</v>
      </c>
      <c r="E657" s="58">
        <v>6321857.0372509733</v>
      </c>
      <c r="F657" s="58" t="s">
        <v>604</v>
      </c>
      <c r="G657" s="25">
        <f t="shared" si="10"/>
        <v>-5.7561486132914341E-3</v>
      </c>
    </row>
    <row r="658" spans="1:7">
      <c r="A658" s="58">
        <v>93.043309226078065</v>
      </c>
      <c r="B658" s="58">
        <v>94.334498721807236</v>
      </c>
      <c r="C658" s="58">
        <v>92.868561775528249</v>
      </c>
      <c r="D658" s="58">
        <v>94.169459462954634</v>
      </c>
      <c r="E658" s="58">
        <v>5822619.882571388</v>
      </c>
      <c r="F658" s="58" t="s">
        <v>605</v>
      </c>
      <c r="G658" s="25">
        <f t="shared" si="10"/>
        <v>-1.1958762886597918E-2</v>
      </c>
    </row>
    <row r="659" spans="1:7">
      <c r="A659" s="58">
        <v>93.159807526444595</v>
      </c>
      <c r="B659" s="58">
        <v>93.358825456237454</v>
      </c>
      <c r="C659" s="58">
        <v>91.684162388468408</v>
      </c>
      <c r="D659" s="58">
        <v>92.208404740117842</v>
      </c>
      <c r="E659" s="58">
        <v>4823924.1107538063</v>
      </c>
      <c r="F659" s="58" t="s">
        <v>606</v>
      </c>
      <c r="G659" s="25">
        <f t="shared" si="10"/>
        <v>1.0317961676142184E-2</v>
      </c>
    </row>
    <row r="660" spans="1:7">
      <c r="A660" s="58">
        <v>92.237529315209486</v>
      </c>
      <c r="B660" s="58">
        <v>93.188932101536238</v>
      </c>
      <c r="C660" s="58">
        <v>91.800660688834952</v>
      </c>
      <c r="D660" s="58">
        <v>92.082198248054084</v>
      </c>
      <c r="E660" s="58">
        <v>7194957.8437002692</v>
      </c>
      <c r="F660" s="58" t="s">
        <v>607</v>
      </c>
      <c r="G660" s="25">
        <f t="shared" si="10"/>
        <v>1.6868740115973946E-3</v>
      </c>
    </row>
    <row r="661" spans="1:7">
      <c r="A661" s="58">
        <v>91.790952497137738</v>
      </c>
      <c r="B661" s="58">
        <v>92.130739206540156</v>
      </c>
      <c r="C661" s="58">
        <v>90.403069412104344</v>
      </c>
      <c r="D661" s="58">
        <v>91.159920036818974</v>
      </c>
      <c r="E661" s="58">
        <v>7676324.5230729217</v>
      </c>
      <c r="F661" s="58" t="s">
        <v>608</v>
      </c>
      <c r="G661" s="25">
        <f t="shared" si="10"/>
        <v>6.9222577209797631E-3</v>
      </c>
    </row>
    <row r="662" spans="1:7">
      <c r="A662" s="58">
        <v>90.286182784069908</v>
      </c>
      <c r="B662" s="58">
        <v>91.111379078332902</v>
      </c>
      <c r="C662" s="58">
        <v>88.965868713249094</v>
      </c>
      <c r="D662" s="58">
        <v>90.800716944022128</v>
      </c>
      <c r="E662" s="58">
        <v>7384582.2410562374</v>
      </c>
      <c r="F662" s="58" t="s">
        <v>609</v>
      </c>
      <c r="G662" s="25">
        <f t="shared" si="10"/>
        <v>-5.6666310274777754E-3</v>
      </c>
    </row>
    <row r="663" spans="1:7">
      <c r="A663" s="58">
        <v>90.140559908611721</v>
      </c>
      <c r="B663" s="58">
        <v>92.538483257823046</v>
      </c>
      <c r="C663" s="58">
        <v>89.684274898842773</v>
      </c>
      <c r="D663" s="58">
        <v>91.985116331081969</v>
      </c>
      <c r="E663" s="58">
        <v>6112475.0984308124</v>
      </c>
      <c r="F663" s="58" t="s">
        <v>610</v>
      </c>
      <c r="G663" s="25">
        <f t="shared" si="10"/>
        <v>-2.0052770448548807E-2</v>
      </c>
    </row>
    <row r="664" spans="1:7">
      <c r="A664" s="58">
        <v>91.237585570396661</v>
      </c>
      <c r="B664" s="58">
        <v>91.985116331081969</v>
      </c>
      <c r="C664" s="58">
        <v>90.334723742555965</v>
      </c>
      <c r="D664" s="58">
        <v>90.34443193425318</v>
      </c>
      <c r="E664" s="58">
        <v>7043664.9926926168</v>
      </c>
      <c r="F664" s="58" t="s">
        <v>611</v>
      </c>
      <c r="G664" s="25">
        <f t="shared" si="10"/>
        <v>9.8860949924779451E-3</v>
      </c>
    </row>
    <row r="665" spans="1:7">
      <c r="A665" s="58">
        <v>90.839549710810971</v>
      </c>
      <c r="B665" s="58">
        <v>91.878326222412639</v>
      </c>
      <c r="C665" s="58">
        <v>90.082310758428463</v>
      </c>
      <c r="D665" s="58">
        <v>91.795806592986352</v>
      </c>
      <c r="E665" s="58">
        <v>8402867.6548927985</v>
      </c>
      <c r="F665" s="58" t="s">
        <v>612</v>
      </c>
      <c r="G665" s="25">
        <f t="shared" si="10"/>
        <v>-1.0417217492464936E-2</v>
      </c>
    </row>
    <row r="666" spans="1:7">
      <c r="A666" s="58">
        <v>92.043365481265241</v>
      </c>
      <c r="B666" s="58">
        <v>93.028746938532251</v>
      </c>
      <c r="C666" s="58">
        <v>91.587080471496293</v>
      </c>
      <c r="D666" s="58">
        <v>92.616148791400747</v>
      </c>
      <c r="E666" s="58">
        <v>6877748.4090241455</v>
      </c>
      <c r="F666" s="58" t="s">
        <v>613</v>
      </c>
      <c r="G666" s="25">
        <f t="shared" si="10"/>
        <v>-6.1844863731657096E-3</v>
      </c>
    </row>
    <row r="667" spans="1:7">
      <c r="A667" s="58">
        <v>92.985060075894793</v>
      </c>
      <c r="B667" s="58">
        <v>95.285804426217027</v>
      </c>
      <c r="C667" s="58">
        <v>92.868561775528249</v>
      </c>
      <c r="D667" s="58">
        <v>94.05296116258809</v>
      </c>
      <c r="E667" s="58">
        <v>6364607.5321880681</v>
      </c>
      <c r="F667" s="58" t="s">
        <v>614</v>
      </c>
      <c r="G667" s="25">
        <f t="shared" si="10"/>
        <v>-1.1354252683732469E-2</v>
      </c>
    </row>
    <row r="668" spans="1:7">
      <c r="A668" s="58">
        <v>93.955879245615975</v>
      </c>
      <c r="B668" s="58">
        <v>95.285901508133989</v>
      </c>
      <c r="C668" s="58">
        <v>92.470525915942559</v>
      </c>
      <c r="D668" s="58">
        <v>92.470525915942559</v>
      </c>
      <c r="E668" s="58">
        <v>11864024.072894963</v>
      </c>
      <c r="F668" s="58" t="s">
        <v>615</v>
      </c>
      <c r="G668" s="25">
        <f t="shared" si="10"/>
        <v>1.6062992125984277E-2</v>
      </c>
    </row>
    <row r="669" spans="1:7">
      <c r="A669" s="58">
        <v>92.65498155818959</v>
      </c>
      <c r="B669" s="58">
        <v>93.722882644882887</v>
      </c>
      <c r="C669" s="58">
        <v>91.019151257209387</v>
      </c>
      <c r="D669" s="58">
        <v>93.722882644882887</v>
      </c>
      <c r="E669" s="58">
        <v>8794480.235131802</v>
      </c>
      <c r="F669" s="58" t="s">
        <v>616</v>
      </c>
      <c r="G669" s="25">
        <f t="shared" si="10"/>
        <v>-1.1394240729231342E-2</v>
      </c>
    </row>
    <row r="670" spans="1:7">
      <c r="A670" s="58">
        <v>92.771479858556134</v>
      </c>
      <c r="B670" s="58">
        <v>93.684049878094044</v>
      </c>
      <c r="C670" s="58">
        <v>88.975576904946308</v>
      </c>
      <c r="D670" s="58">
        <v>93.198640293233453</v>
      </c>
      <c r="E670" s="58">
        <v>16978080.485095695</v>
      </c>
      <c r="F670" s="58" t="s">
        <v>617</v>
      </c>
      <c r="G670" s="25">
        <f t="shared" si="10"/>
        <v>-4.5833333333332726E-3</v>
      </c>
    </row>
    <row r="671" spans="1:7">
      <c r="A671" s="58">
        <v>89.451278298109685</v>
      </c>
      <c r="B671" s="58">
        <v>90.295890975767122</v>
      </c>
      <c r="C671" s="58">
        <v>88.592103332906433</v>
      </c>
      <c r="D671" s="58">
        <v>89.266822655862669</v>
      </c>
      <c r="E671" s="58">
        <v>8537744.4724134151</v>
      </c>
      <c r="F671" s="58" t="s">
        <v>618</v>
      </c>
      <c r="G671" s="25">
        <f t="shared" si="10"/>
        <v>2.0663404023926191E-3</v>
      </c>
    </row>
    <row r="672" spans="1:7">
      <c r="A672" s="58">
        <v>89.490111064898542</v>
      </c>
      <c r="B672" s="58">
        <v>90.145414004460335</v>
      </c>
      <c r="C672" s="58">
        <v>88.218337952563786</v>
      </c>
      <c r="D672" s="58">
        <v>88.44162636159966</v>
      </c>
      <c r="E672" s="58">
        <v>6646259.3665647311</v>
      </c>
      <c r="F672" s="58" t="s">
        <v>619</v>
      </c>
      <c r="G672" s="25">
        <f t="shared" si="10"/>
        <v>1.1855104281009998E-2</v>
      </c>
    </row>
    <row r="673" spans="1:7">
      <c r="A673" s="58">
        <v>88.218337952563786</v>
      </c>
      <c r="B673" s="58">
        <v>88.985285096643523</v>
      </c>
      <c r="C673" s="58">
        <v>87.189269632659332</v>
      </c>
      <c r="D673" s="58">
        <v>87.257226974539819</v>
      </c>
      <c r="E673" s="58">
        <v>5793336.3652216382</v>
      </c>
      <c r="F673" s="58" t="s">
        <v>620</v>
      </c>
      <c r="G673" s="25">
        <f t="shared" si="10"/>
        <v>1.1014686248331129E-2</v>
      </c>
    </row>
    <row r="674" spans="1:7">
      <c r="A674" s="58">
        <v>87.558180917153379</v>
      </c>
      <c r="B674" s="58">
        <v>90.363848317647594</v>
      </c>
      <c r="C674" s="58">
        <v>87.057238225577265</v>
      </c>
      <c r="D674" s="58">
        <v>89.558068406779014</v>
      </c>
      <c r="E674" s="58">
        <v>7609162.6848711418</v>
      </c>
      <c r="F674" s="58" t="s">
        <v>621</v>
      </c>
      <c r="G674" s="25">
        <f t="shared" si="10"/>
        <v>-2.2330623306233033E-2</v>
      </c>
    </row>
    <row r="675" spans="1:7">
      <c r="A675" s="58">
        <v>89.441570106412499</v>
      </c>
      <c r="B675" s="58">
        <v>93.805515452709827</v>
      </c>
      <c r="C675" s="58">
        <v>88.871940072271912</v>
      </c>
      <c r="D675" s="58">
        <v>93.800688079539142</v>
      </c>
      <c r="E675" s="58">
        <v>9600772.1718028635</v>
      </c>
      <c r="F675" s="58" t="s">
        <v>622</v>
      </c>
      <c r="G675" s="25">
        <f t="shared" si="10"/>
        <v>-4.6472132159950608E-2</v>
      </c>
    </row>
    <row r="676" spans="1:7">
      <c r="A676" s="58">
        <v>94.191705306364469</v>
      </c>
      <c r="B676" s="58">
        <v>95.089596716111473</v>
      </c>
      <c r="C676" s="58">
        <v>93.255194911251976</v>
      </c>
      <c r="D676" s="58">
        <v>93.477254077103382</v>
      </c>
      <c r="E676" s="58">
        <v>4507850.1766047757</v>
      </c>
      <c r="F676" s="58" t="s">
        <v>623</v>
      </c>
      <c r="G676" s="25">
        <f t="shared" si="10"/>
        <v>7.6430489568273252E-3</v>
      </c>
    </row>
    <row r="677" spans="1:7">
      <c r="A677" s="58">
        <v>93.419325599055199</v>
      </c>
      <c r="B677" s="58">
        <v>93.660694257589341</v>
      </c>
      <c r="C677" s="58">
        <v>92.482815203942721</v>
      </c>
      <c r="D677" s="58">
        <v>93.0814094771074</v>
      </c>
      <c r="E677" s="58">
        <v>4099948.2120418306</v>
      </c>
      <c r="F677" s="58" t="s">
        <v>624</v>
      </c>
      <c r="G677" s="25">
        <f t="shared" si="10"/>
        <v>3.6303288040659965E-3</v>
      </c>
    </row>
    <row r="678" spans="1:7">
      <c r="A678" s="58">
        <v>93.535182555151579</v>
      </c>
      <c r="B678" s="58">
        <v>94.144976334072254</v>
      </c>
      <c r="C678" s="58">
        <v>92.15455382833629</v>
      </c>
      <c r="D678" s="58">
        <v>92.502124696625458</v>
      </c>
      <c r="E678" s="58">
        <v>4961822.7456427701</v>
      </c>
      <c r="F678" s="58" t="s">
        <v>625</v>
      </c>
      <c r="G678" s="25">
        <f t="shared" si="10"/>
        <v>1.1167936541070622E-2</v>
      </c>
    </row>
    <row r="679" spans="1:7">
      <c r="A679" s="58">
        <v>92.878659803938717</v>
      </c>
      <c r="B679" s="58">
        <v>93.351742374665633</v>
      </c>
      <c r="C679" s="58">
        <v>91.816637706388477</v>
      </c>
      <c r="D679" s="58">
        <v>92.45385096491863</v>
      </c>
      <c r="E679" s="58">
        <v>5912426.6947778743</v>
      </c>
      <c r="F679" s="58" t="s">
        <v>626</v>
      </c>
      <c r="G679" s="25">
        <f t="shared" si="10"/>
        <v>4.5948203842940405E-3</v>
      </c>
    </row>
    <row r="680" spans="1:7">
      <c r="A680" s="58">
        <v>92.347648755163604</v>
      </c>
      <c r="B680" s="58">
        <v>93.013826252717834</v>
      </c>
      <c r="C680" s="58">
        <v>91.555959555171597</v>
      </c>
      <c r="D680" s="58">
        <v>92.579362667356378</v>
      </c>
      <c r="E680" s="58">
        <v>4491178.5837623654</v>
      </c>
      <c r="F680" s="58" t="s">
        <v>627</v>
      </c>
      <c r="G680" s="25">
        <f t="shared" si="10"/>
        <v>-2.5028678694336559E-3</v>
      </c>
    </row>
    <row r="681" spans="1:7">
      <c r="A681" s="58">
        <v>92.482815203942721</v>
      </c>
      <c r="B681" s="58">
        <v>92.849695564914626</v>
      </c>
      <c r="C681" s="58">
        <v>91.314590896637455</v>
      </c>
      <c r="D681" s="58">
        <v>92.222137052725841</v>
      </c>
      <c r="E681" s="58">
        <v>4761926.2458527004</v>
      </c>
      <c r="F681" s="58" t="s">
        <v>628</v>
      </c>
      <c r="G681" s="25">
        <f t="shared" si="10"/>
        <v>2.8266331658290955E-3</v>
      </c>
    </row>
    <row r="682" spans="1:7">
      <c r="A682" s="58">
        <v>92.424886725894524</v>
      </c>
      <c r="B682" s="58">
        <v>92.579362667356378</v>
      </c>
      <c r="C682" s="58">
        <v>91.266317164930626</v>
      </c>
      <c r="D682" s="58">
        <v>92.45385096491863</v>
      </c>
      <c r="E682" s="58">
        <v>4504821.6143861366</v>
      </c>
      <c r="F682" s="58" t="s">
        <v>629</v>
      </c>
      <c r="G682" s="25">
        <f t="shared" si="10"/>
        <v>-3.1328320802015419E-4</v>
      </c>
    </row>
    <row r="683" spans="1:7">
      <c r="A683" s="58">
        <v>93.506218316127487</v>
      </c>
      <c r="B683" s="58">
        <v>95.10890620879421</v>
      </c>
      <c r="C683" s="58">
        <v>93.148992701496965</v>
      </c>
      <c r="D683" s="58">
        <v>95.050977730746013</v>
      </c>
      <c r="E683" s="58">
        <v>5334774.0250122324</v>
      </c>
      <c r="F683" s="58" t="s">
        <v>630</v>
      </c>
      <c r="G683" s="25">
        <f t="shared" si="10"/>
        <v>-1.6251904520060978E-2</v>
      </c>
    </row>
    <row r="684" spans="1:7">
      <c r="A684" s="58">
        <v>94.73237110148095</v>
      </c>
      <c r="B684" s="58">
        <v>94.88684704294279</v>
      </c>
      <c r="C684" s="58">
        <v>92.801421833207797</v>
      </c>
      <c r="D684" s="58">
        <v>92.955897774669637</v>
      </c>
      <c r="E684" s="58">
        <v>6310886.6712474162</v>
      </c>
      <c r="F684" s="58" t="s">
        <v>631</v>
      </c>
      <c r="G684" s="25">
        <f t="shared" si="10"/>
        <v>1.911092646447865E-2</v>
      </c>
    </row>
    <row r="685" spans="1:7">
      <c r="A685" s="58">
        <v>92.23179179906721</v>
      </c>
      <c r="B685" s="58">
        <v>93.593111033199776</v>
      </c>
      <c r="C685" s="58">
        <v>91.488376330782046</v>
      </c>
      <c r="D685" s="58">
        <v>93.255194911251976</v>
      </c>
      <c r="E685" s="58">
        <v>5583354.3517389204</v>
      </c>
      <c r="F685" s="58" t="s">
        <v>632</v>
      </c>
      <c r="G685" s="25">
        <f t="shared" si="10"/>
        <v>-1.0974220933844037E-2</v>
      </c>
    </row>
    <row r="686" spans="1:7">
      <c r="A686" s="58">
        <v>92.907624042962823</v>
      </c>
      <c r="B686" s="58">
        <v>94.162741067340363</v>
      </c>
      <c r="C686" s="58">
        <v>92.714529116135495</v>
      </c>
      <c r="D686" s="58">
        <v>93.699313242954801</v>
      </c>
      <c r="E686" s="58">
        <v>4109757.8949326403</v>
      </c>
      <c r="F686" s="58" t="s">
        <v>633</v>
      </c>
      <c r="G686" s="25">
        <f t="shared" si="10"/>
        <v>-8.4492529623904078E-3</v>
      </c>
    </row>
    <row r="687" spans="1:7">
      <c r="A687" s="58">
        <v>94.104812589292166</v>
      </c>
      <c r="B687" s="58">
        <v>94.819263818553225</v>
      </c>
      <c r="C687" s="58">
        <v>93.805515452709827</v>
      </c>
      <c r="D687" s="58">
        <v>94.587549906360451</v>
      </c>
      <c r="E687" s="58">
        <v>4242948.3439132078</v>
      </c>
      <c r="F687" s="58" t="s">
        <v>634</v>
      </c>
      <c r="G687" s="25">
        <f t="shared" si="10"/>
        <v>-5.103603143819524E-3</v>
      </c>
    </row>
    <row r="688" spans="1:7">
      <c r="A688" s="58">
        <v>94.761335340505042</v>
      </c>
      <c r="B688" s="58">
        <v>95.514405555131574</v>
      </c>
      <c r="C688" s="58">
        <v>94.630996264896609</v>
      </c>
      <c r="D688" s="58">
        <v>95.485441316107483</v>
      </c>
      <c r="E688" s="58">
        <v>4513785.0813629152</v>
      </c>
      <c r="F688" s="58" t="s">
        <v>635</v>
      </c>
      <c r="G688" s="25">
        <f t="shared" si="10"/>
        <v>-7.5834175935288739E-3</v>
      </c>
    </row>
    <row r="689" spans="1:7">
      <c r="A689" s="58">
        <v>95.514405555131574</v>
      </c>
      <c r="B689" s="58">
        <v>96.740558340485023</v>
      </c>
      <c r="C689" s="58">
        <v>95.43716758440064</v>
      </c>
      <c r="D689" s="58">
        <v>96.547463413657709</v>
      </c>
      <c r="E689" s="58">
        <v>4084751.5414290177</v>
      </c>
      <c r="F689" s="58" t="s">
        <v>636</v>
      </c>
      <c r="G689" s="25">
        <f t="shared" si="10"/>
        <v>-1.0699999999999932E-2</v>
      </c>
    </row>
    <row r="690" spans="1:7">
      <c r="A690" s="58">
        <v>96.817796311215957</v>
      </c>
      <c r="B690" s="58">
        <v>97.850854169742078</v>
      </c>
      <c r="C690" s="58">
        <v>96.808141564874575</v>
      </c>
      <c r="D690" s="58">
        <v>97.696378228280238</v>
      </c>
      <c r="E690" s="58">
        <v>4107932.8858255125</v>
      </c>
      <c r="F690" s="58" t="s">
        <v>637</v>
      </c>
      <c r="G690" s="25">
        <f t="shared" si="10"/>
        <v>-8.9929834963928812E-3</v>
      </c>
    </row>
    <row r="691" spans="1:7">
      <c r="A691" s="58">
        <v>97.194331418529217</v>
      </c>
      <c r="B691" s="58">
        <v>98.439793696565388</v>
      </c>
      <c r="C691" s="58">
        <v>96.682629862436826</v>
      </c>
      <c r="D691" s="58">
        <v>97.879818408766184</v>
      </c>
      <c r="E691" s="58">
        <v>4237107.6933144033</v>
      </c>
      <c r="F691" s="58" t="s">
        <v>638</v>
      </c>
      <c r="G691" s="25">
        <f t="shared" si="10"/>
        <v>-7.0033537186822148E-3</v>
      </c>
    </row>
    <row r="692" spans="1:7">
      <c r="A692" s="58">
        <v>97.512938047794279</v>
      </c>
      <c r="B692" s="58">
        <v>98.545995906320414</v>
      </c>
      <c r="C692" s="58">
        <v>97.271569389260137</v>
      </c>
      <c r="D692" s="58">
        <v>98.545995906320414</v>
      </c>
      <c r="E692" s="58">
        <v>3783262.5227555102</v>
      </c>
      <c r="F692" s="58" t="s">
        <v>639</v>
      </c>
      <c r="G692" s="25">
        <f t="shared" si="10"/>
        <v>-1.0483001861467556E-2</v>
      </c>
    </row>
    <row r="693" spans="1:7">
      <c r="A693" s="58">
        <v>98.227389277055352</v>
      </c>
      <c r="B693" s="58">
        <v>99.337685106312421</v>
      </c>
      <c r="C693" s="58">
        <v>97.976365872179841</v>
      </c>
      <c r="D693" s="58">
        <v>99.299066120946947</v>
      </c>
      <c r="E693" s="58">
        <v>8600245.6267798785</v>
      </c>
      <c r="F693" s="58" t="s">
        <v>640</v>
      </c>
      <c r="G693" s="25">
        <f t="shared" si="10"/>
        <v>-1.0792416140009697E-2</v>
      </c>
    </row>
    <row r="694" spans="1:7">
      <c r="A694" s="58">
        <v>99.105971194119647</v>
      </c>
      <c r="B694" s="58">
        <v>100.04248158923212</v>
      </c>
      <c r="C694" s="58">
        <v>98.980459491681884</v>
      </c>
      <c r="D694" s="58">
        <v>99.656291735577483</v>
      </c>
      <c r="E694" s="58">
        <v>4232926.3302238965</v>
      </c>
      <c r="F694" s="58" t="s">
        <v>641</v>
      </c>
      <c r="G694" s="25">
        <f t="shared" si="10"/>
        <v>-5.5221856229411559E-3</v>
      </c>
    </row>
    <row r="695" spans="1:7">
      <c r="A695" s="58">
        <v>99.144590179485093</v>
      </c>
      <c r="B695" s="58">
        <v>99.868696155087534</v>
      </c>
      <c r="C695" s="58">
        <v>98.53634115997906</v>
      </c>
      <c r="D695" s="58">
        <v>98.545995906320414</v>
      </c>
      <c r="E695" s="58">
        <v>3306708.3143567909</v>
      </c>
      <c r="F695" s="58" t="s">
        <v>642</v>
      </c>
      <c r="G695" s="25">
        <f t="shared" si="10"/>
        <v>6.0742627608503241E-3</v>
      </c>
    </row>
    <row r="696" spans="1:7">
      <c r="A696" s="58">
        <v>98.864602535585504</v>
      </c>
      <c r="B696" s="58">
        <v>99.366649345336512</v>
      </c>
      <c r="C696" s="58">
        <v>98.092222828276221</v>
      </c>
      <c r="D696" s="58">
        <v>98.835638296561399</v>
      </c>
      <c r="E696" s="58">
        <v>3657770.8778006407</v>
      </c>
      <c r="F696" s="58" t="s">
        <v>643</v>
      </c>
      <c r="G696" s="25">
        <f t="shared" si="10"/>
        <v>2.9305460584172494E-4</v>
      </c>
    </row>
    <row r="697" spans="1:7">
      <c r="A697" s="58">
        <v>98.912876267292319</v>
      </c>
      <c r="B697" s="58">
        <v>99.569399018505194</v>
      </c>
      <c r="C697" s="58">
        <v>97.078474462432823</v>
      </c>
      <c r="D697" s="58">
        <v>97.319843120966965</v>
      </c>
      <c r="E697" s="58">
        <v>5066082.3465073956</v>
      </c>
      <c r="F697" s="58" t="s">
        <v>644</v>
      </c>
      <c r="G697" s="25">
        <f t="shared" si="10"/>
        <v>1.6369047619047672E-2</v>
      </c>
    </row>
    <row r="698" spans="1:7">
      <c r="A698" s="58">
        <v>97.252259896577414</v>
      </c>
      <c r="B698" s="58">
        <v>97.339152613649688</v>
      </c>
      <c r="C698" s="58">
        <v>96.392987472195856</v>
      </c>
      <c r="D698" s="58">
        <v>97.126748194139651</v>
      </c>
      <c r="E698" s="58">
        <v>3647239.2701949235</v>
      </c>
      <c r="F698" s="58" t="s">
        <v>645</v>
      </c>
      <c r="G698" s="25">
        <f t="shared" si="10"/>
        <v>1.2922465208748957E-3</v>
      </c>
    </row>
    <row r="699" spans="1:7">
      <c r="A699" s="58">
        <v>97.194331418529217</v>
      </c>
      <c r="B699" s="58">
        <v>98.74874557948911</v>
      </c>
      <c r="C699" s="58">
        <v>97.039855477067363</v>
      </c>
      <c r="D699" s="58">
        <v>98.468757935589494</v>
      </c>
      <c r="E699" s="58">
        <v>4001564.4776157611</v>
      </c>
      <c r="F699" s="58" t="s">
        <v>646</v>
      </c>
      <c r="G699" s="25">
        <f t="shared" si="10"/>
        <v>-1.2942445337778219E-2</v>
      </c>
    </row>
    <row r="700" spans="1:7">
      <c r="A700" s="58">
        <v>98.053603842910775</v>
      </c>
      <c r="B700" s="58">
        <v>98.531513786808375</v>
      </c>
      <c r="C700" s="58">
        <v>96.32540424780629</v>
      </c>
      <c r="D700" s="58">
        <v>97.522592794135662</v>
      </c>
      <c r="E700" s="58">
        <v>5276601.6007825406</v>
      </c>
      <c r="F700" s="58" t="s">
        <v>647</v>
      </c>
      <c r="G700" s="25">
        <f t="shared" si="10"/>
        <v>5.4450054450054797E-3</v>
      </c>
    </row>
    <row r="701" spans="1:7">
      <c r="A701" s="58">
        <v>97.397081091697885</v>
      </c>
      <c r="B701" s="58">
        <v>99.299066120946947</v>
      </c>
      <c r="C701" s="58">
        <v>97.387426345356531</v>
      </c>
      <c r="D701" s="58">
        <v>99.231482896557395</v>
      </c>
      <c r="E701" s="58">
        <v>4437248.6324627493</v>
      </c>
      <c r="F701" s="58" t="s">
        <v>648</v>
      </c>
      <c r="G701" s="25">
        <f t="shared" si="10"/>
        <v>-1.8486086787312894E-2</v>
      </c>
    </row>
    <row r="702" spans="1:7">
      <c r="A702" s="58">
        <v>99.299066120946947</v>
      </c>
      <c r="B702" s="58">
        <v>100.2056468024012</v>
      </c>
      <c r="C702" s="58">
        <v>99.019078477047344</v>
      </c>
      <c r="D702" s="58">
        <v>99.830077169722074</v>
      </c>
      <c r="E702" s="58">
        <v>2735573.6822251752</v>
      </c>
      <c r="F702" s="58" t="s">
        <v>649</v>
      </c>
      <c r="G702" s="25">
        <f t="shared" si="10"/>
        <v>-5.3191489361703592E-3</v>
      </c>
    </row>
    <row r="703" spans="1:7">
      <c r="A703" s="58">
        <v>99.347339852653789</v>
      </c>
      <c r="B703" s="58">
        <v>100.96933723800323</v>
      </c>
      <c r="C703" s="58">
        <v>99.308720867288315</v>
      </c>
      <c r="D703" s="58">
        <v>100.91140875995504</v>
      </c>
      <c r="E703" s="58">
        <v>4186872.2979087289</v>
      </c>
      <c r="F703" s="58" t="s">
        <v>650</v>
      </c>
      <c r="G703" s="25">
        <f t="shared" si="10"/>
        <v>-1.5499425947187118E-2</v>
      </c>
    </row>
    <row r="704" spans="1:7">
      <c r="A704" s="58">
        <v>100.80520655020001</v>
      </c>
      <c r="B704" s="58">
        <v>101.45207455507152</v>
      </c>
      <c r="C704" s="58">
        <v>100.48659992093494</v>
      </c>
      <c r="D704" s="58">
        <v>100.48659992093494</v>
      </c>
      <c r="E704" s="58">
        <v>3844127.9229662083</v>
      </c>
      <c r="F704" s="58" t="s">
        <v>651</v>
      </c>
      <c r="G704" s="25">
        <f t="shared" si="10"/>
        <v>3.1706379707918675E-3</v>
      </c>
    </row>
    <row r="705" spans="1:7">
      <c r="A705" s="58">
        <v>100.28385024776627</v>
      </c>
      <c r="B705" s="58">
        <v>100.35143347215582</v>
      </c>
      <c r="C705" s="58">
        <v>99.424577823384709</v>
      </c>
      <c r="D705" s="58">
        <v>99.67560122826022</v>
      </c>
      <c r="E705" s="58">
        <v>4677055.0362913227</v>
      </c>
      <c r="F705" s="58" t="s">
        <v>652</v>
      </c>
      <c r="G705" s="25">
        <f t="shared" si="10"/>
        <v>6.1022859356838488E-3</v>
      </c>
    </row>
    <row r="706" spans="1:7">
      <c r="A706" s="58">
        <v>99.241137642898764</v>
      </c>
      <c r="B706" s="58">
        <v>101.58724100385064</v>
      </c>
      <c r="C706" s="58">
        <v>98.367383099005167</v>
      </c>
      <c r="D706" s="58">
        <v>101.44241980873015</v>
      </c>
      <c r="E706" s="58">
        <v>6072222.7106907852</v>
      </c>
      <c r="F706" s="58" t="s">
        <v>653</v>
      </c>
      <c r="G706" s="25">
        <f t="shared" si="10"/>
        <v>-2.169981916817354E-2</v>
      </c>
    </row>
    <row r="707" spans="1:7">
      <c r="A707" s="58">
        <v>100.6121116233727</v>
      </c>
      <c r="B707" s="58">
        <v>101.16243216483055</v>
      </c>
      <c r="C707" s="58">
        <v>99.723874959967048</v>
      </c>
      <c r="D707" s="58">
        <v>100.42867144288674</v>
      </c>
      <c r="E707" s="58">
        <v>3108074.4059978155</v>
      </c>
      <c r="F707" s="58" t="s">
        <v>654</v>
      </c>
      <c r="G707" s="25">
        <f t="shared" ref="G707:G770" si="11">A707/D707-1</f>
        <v>1.8265718131129649E-3</v>
      </c>
    </row>
    <row r="708" spans="1:7">
      <c r="A708" s="58">
        <v>100.16799329166987</v>
      </c>
      <c r="B708" s="58">
        <v>102.19549002335668</v>
      </c>
      <c r="C708" s="58">
        <v>100.05213633557348</v>
      </c>
      <c r="D708" s="58">
        <v>101.2879438672683</v>
      </c>
      <c r="E708" s="58">
        <v>3655818.4702144116</v>
      </c>
      <c r="F708" s="58" t="s">
        <v>655</v>
      </c>
      <c r="G708" s="25">
        <f t="shared" si="11"/>
        <v>-1.1057096558955259E-2</v>
      </c>
    </row>
    <row r="709" spans="1:7">
      <c r="A709" s="58">
        <v>101.50034828677835</v>
      </c>
      <c r="B709" s="58">
        <v>102.44776854525657</v>
      </c>
      <c r="C709" s="58">
        <v>101.1769142843426</v>
      </c>
      <c r="D709" s="58">
        <v>102.0506688282362</v>
      </c>
      <c r="E709" s="58">
        <v>3525150.096816055</v>
      </c>
      <c r="F709" s="58" t="s">
        <v>656</v>
      </c>
      <c r="G709" s="25">
        <f t="shared" si="11"/>
        <v>-5.392620624408706E-3</v>
      </c>
    </row>
    <row r="710" spans="1:7">
      <c r="A710" s="58">
        <v>101.51965777946108</v>
      </c>
      <c r="B710" s="58">
        <v>101.88653814043298</v>
      </c>
      <c r="C710" s="58">
        <v>100.13902905264577</v>
      </c>
      <c r="D710" s="58">
        <v>100.29350499410762</v>
      </c>
      <c r="E710" s="58">
        <v>5013599.3519175742</v>
      </c>
      <c r="F710" s="58" t="s">
        <v>657</v>
      </c>
      <c r="G710" s="25">
        <f t="shared" si="11"/>
        <v>1.2225644974971139E-2</v>
      </c>
    </row>
    <row r="711" spans="1:7">
      <c r="A711" s="58">
        <v>100.28385024776627</v>
      </c>
      <c r="B711" s="58">
        <v>100.80037917702933</v>
      </c>
      <c r="C711" s="58">
        <v>99.7914581843566</v>
      </c>
      <c r="D711" s="58">
        <v>100.19695753069396</v>
      </c>
      <c r="E711" s="58">
        <v>3060336.2279345272</v>
      </c>
      <c r="F711" s="58" t="s">
        <v>658</v>
      </c>
      <c r="G711" s="25">
        <f t="shared" si="11"/>
        <v>8.6721911736376001E-4</v>
      </c>
    </row>
    <row r="712" spans="1:7">
      <c r="A712" s="58">
        <v>100.1293743063044</v>
      </c>
      <c r="B712" s="58">
        <v>101.4327650623888</v>
      </c>
      <c r="C712" s="58">
        <v>99.71422021362568</v>
      </c>
      <c r="D712" s="58">
        <v>100.9500277453205</v>
      </c>
      <c r="E712" s="58">
        <v>4981772.5188620584</v>
      </c>
      <c r="F712" s="58" t="s">
        <v>659</v>
      </c>
      <c r="G712" s="25">
        <f t="shared" si="11"/>
        <v>-8.1293037490436371E-3</v>
      </c>
    </row>
    <row r="713" spans="1:7">
      <c r="A713" s="58">
        <v>101.30725335995103</v>
      </c>
      <c r="B713" s="58">
        <v>102.25341850140488</v>
      </c>
      <c r="C713" s="58">
        <v>100.87278977458958</v>
      </c>
      <c r="D713" s="58">
        <v>101.56793151116791</v>
      </c>
      <c r="E713" s="58">
        <v>4324724.702616415</v>
      </c>
      <c r="F713" s="58" t="s">
        <v>660</v>
      </c>
      <c r="G713" s="25">
        <f t="shared" si="11"/>
        <v>-2.5665399239543918E-3</v>
      </c>
    </row>
    <row r="714" spans="1:7">
      <c r="A714" s="58">
        <v>100.92106350629641</v>
      </c>
      <c r="B714" s="58">
        <v>101.74171694531249</v>
      </c>
      <c r="C714" s="58">
        <v>100.8341707892241</v>
      </c>
      <c r="D714" s="58">
        <v>100.85348028190684</v>
      </c>
      <c r="E714" s="58">
        <v>4232509.9547068328</v>
      </c>
      <c r="F714" s="58" t="s">
        <v>661</v>
      </c>
      <c r="G714" s="25">
        <f t="shared" si="11"/>
        <v>6.7011296189933844E-4</v>
      </c>
    </row>
    <row r="715" spans="1:7">
      <c r="A715" s="58">
        <v>101.3169081062924</v>
      </c>
      <c r="B715" s="58">
        <v>102.48513241359767</v>
      </c>
      <c r="C715" s="58">
        <v>100.94037299897913</v>
      </c>
      <c r="D715" s="58">
        <v>102.48513241359767</v>
      </c>
      <c r="E715" s="58">
        <v>3263305.8276229217</v>
      </c>
      <c r="F715" s="58" t="s">
        <v>662</v>
      </c>
      <c r="G715" s="25">
        <f t="shared" si="11"/>
        <v>-1.1398963730570033E-2</v>
      </c>
    </row>
    <row r="716" spans="1:7">
      <c r="A716" s="58">
        <v>102.43685868189083</v>
      </c>
      <c r="B716" s="58">
        <v>102.55271563798722</v>
      </c>
      <c r="C716" s="58">
        <v>101.51000303311972</v>
      </c>
      <c r="D716" s="58">
        <v>101.51000303311972</v>
      </c>
      <c r="E716" s="58">
        <v>3186052.6328078117</v>
      </c>
      <c r="F716" s="58" t="s">
        <v>663</v>
      </c>
      <c r="G716" s="25">
        <f t="shared" si="11"/>
        <v>9.130682898991882E-3</v>
      </c>
    </row>
    <row r="717" spans="1:7">
      <c r="A717" s="58">
        <v>101.67413372092294</v>
      </c>
      <c r="B717" s="58">
        <v>101.77068118433658</v>
      </c>
      <c r="C717" s="58">
        <v>100.11006481362168</v>
      </c>
      <c r="D717" s="58">
        <v>100.62176636971407</v>
      </c>
      <c r="E717" s="58">
        <v>3603014.3900268548</v>
      </c>
      <c r="F717" s="58" t="s">
        <v>664</v>
      </c>
      <c r="G717" s="25">
        <f t="shared" si="11"/>
        <v>1.0458645173671011E-2</v>
      </c>
    </row>
    <row r="718" spans="1:7">
      <c r="A718" s="58">
        <v>101.12381317946507</v>
      </c>
      <c r="B718" s="58">
        <v>103.30578585261375</v>
      </c>
      <c r="C718" s="58">
        <v>101.00795622336869</v>
      </c>
      <c r="D718" s="58">
        <v>101.83826440872616</v>
      </c>
      <c r="E718" s="58">
        <v>4876628.3789636716</v>
      </c>
      <c r="F718" s="58" t="s">
        <v>665</v>
      </c>
      <c r="G718" s="25">
        <f t="shared" si="11"/>
        <v>-7.0155479711795365E-3</v>
      </c>
    </row>
    <row r="719" spans="1:7">
      <c r="A719" s="58">
        <v>101.66447897458157</v>
      </c>
      <c r="B719" s="58">
        <v>103.2092383892001</v>
      </c>
      <c r="C719" s="58">
        <v>101.54862201848519</v>
      </c>
      <c r="D719" s="58">
        <v>101.85757390140888</v>
      </c>
      <c r="E719" s="58">
        <v>5318892.7170442482</v>
      </c>
      <c r="F719" s="58" t="s">
        <v>666</v>
      </c>
      <c r="G719" s="25">
        <f t="shared" si="11"/>
        <v>-1.8957345971564177E-3</v>
      </c>
    </row>
    <row r="720" spans="1:7">
      <c r="A720" s="58">
        <v>101.9348118721398</v>
      </c>
      <c r="B720" s="58">
        <v>103.88507063309569</v>
      </c>
      <c r="C720" s="58">
        <v>100.09075532093895</v>
      </c>
      <c r="D720" s="58">
        <v>103.88507063309569</v>
      </c>
      <c r="E720" s="58">
        <v>7814072.7195249926</v>
      </c>
      <c r="F720" s="58" t="s">
        <v>667</v>
      </c>
      <c r="G720" s="25">
        <f t="shared" si="11"/>
        <v>-1.8773234200743505E-2</v>
      </c>
    </row>
    <row r="721" spans="1:7">
      <c r="A721" s="58">
        <v>104.70572407211179</v>
      </c>
      <c r="B721" s="58">
        <v>104.84089052089091</v>
      </c>
      <c r="C721" s="58">
        <v>103.91403487211979</v>
      </c>
      <c r="D721" s="58">
        <v>104.26160574040895</v>
      </c>
      <c r="E721" s="58">
        <v>3762367.1006628922</v>
      </c>
      <c r="F721" s="58" t="s">
        <v>668</v>
      </c>
      <c r="G721" s="25">
        <f t="shared" si="11"/>
        <v>4.2596536716363875E-3</v>
      </c>
    </row>
    <row r="722" spans="1:7">
      <c r="A722" s="58">
        <v>103.93334436480252</v>
      </c>
      <c r="B722" s="58">
        <v>105.02433070137685</v>
      </c>
      <c r="C722" s="58">
        <v>103.57611875017199</v>
      </c>
      <c r="D722" s="58">
        <v>103.61473773553745</v>
      </c>
      <c r="E722" s="58">
        <v>3346649.291195075</v>
      </c>
      <c r="F722" s="58" t="s">
        <v>669</v>
      </c>
      <c r="G722" s="25">
        <f t="shared" si="11"/>
        <v>3.0749161386507406E-3</v>
      </c>
    </row>
    <row r="723" spans="1:7">
      <c r="A723" s="58">
        <v>103.82714215504751</v>
      </c>
      <c r="B723" s="58">
        <v>104.57055762333266</v>
      </c>
      <c r="C723" s="58">
        <v>103.44095230139287</v>
      </c>
      <c r="D723" s="58">
        <v>103.99127284285071</v>
      </c>
      <c r="E723" s="58">
        <v>5124765.4004134871</v>
      </c>
      <c r="F723" s="58" t="s">
        <v>670</v>
      </c>
      <c r="G723" s="25">
        <f t="shared" si="11"/>
        <v>-1.5783121344348228E-3</v>
      </c>
    </row>
    <row r="724" spans="1:7">
      <c r="A724" s="58">
        <v>104.869854759915</v>
      </c>
      <c r="B724" s="58">
        <v>106.3953046818508</v>
      </c>
      <c r="C724" s="58">
        <v>104.32918896479852</v>
      </c>
      <c r="D724" s="58">
        <v>106.22151924770621</v>
      </c>
      <c r="E724" s="58">
        <v>4867561.3359876247</v>
      </c>
      <c r="F724" s="58" t="s">
        <v>671</v>
      </c>
      <c r="G724" s="25">
        <f t="shared" si="11"/>
        <v>-1.2724959098345812E-2</v>
      </c>
    </row>
    <row r="725" spans="1:7">
      <c r="A725" s="58">
        <v>106.71391131111587</v>
      </c>
      <c r="B725" s="58">
        <v>107.4090530476942</v>
      </c>
      <c r="C725" s="58">
        <v>106.49185214526445</v>
      </c>
      <c r="D725" s="58">
        <v>106.88769674526044</v>
      </c>
      <c r="E725" s="58">
        <v>3869957.7056640233</v>
      </c>
      <c r="F725" s="58" t="s">
        <v>672</v>
      </c>
      <c r="G725" s="25">
        <f t="shared" si="11"/>
        <v>-1.6258693884924069E-3</v>
      </c>
    </row>
    <row r="726" spans="1:7">
      <c r="A726" s="58">
        <v>107.48629101842512</v>
      </c>
      <c r="B726" s="58">
        <v>108.99243144767819</v>
      </c>
      <c r="C726" s="58">
        <v>106.87804199891909</v>
      </c>
      <c r="D726" s="58">
        <v>108.95381246231271</v>
      </c>
      <c r="E726" s="58">
        <v>4071533.1724022506</v>
      </c>
      <c r="F726" s="58" t="s">
        <v>673</v>
      </c>
      <c r="G726" s="25">
        <f t="shared" si="11"/>
        <v>-1.3469206911829845E-2</v>
      </c>
    </row>
    <row r="727" spans="1:7">
      <c r="A727" s="58">
        <v>108.83795550621633</v>
      </c>
      <c r="B727" s="58">
        <v>109.60068046718423</v>
      </c>
      <c r="C727" s="58">
        <v>108.44211090622034</v>
      </c>
      <c r="D727" s="58">
        <v>109.2724190915778</v>
      </c>
      <c r="E727" s="58">
        <v>3531242.4370930837</v>
      </c>
      <c r="F727" s="58" t="s">
        <v>674</v>
      </c>
      <c r="G727" s="25">
        <f t="shared" si="11"/>
        <v>-3.9759674854215055E-3</v>
      </c>
    </row>
    <row r="728" spans="1:7">
      <c r="A728" s="58">
        <v>108.76071753548541</v>
      </c>
      <c r="B728" s="58">
        <v>110.63373832571037</v>
      </c>
      <c r="C728" s="58">
        <v>108.6255510867063</v>
      </c>
      <c r="D728" s="58">
        <v>110.50822662327261</v>
      </c>
      <c r="E728" s="58">
        <v>4933351.7749635847</v>
      </c>
      <c r="F728" s="58" t="s">
        <v>675</v>
      </c>
      <c r="G728" s="25">
        <f t="shared" si="11"/>
        <v>-1.5813384588502455E-2</v>
      </c>
    </row>
    <row r="729" spans="1:7">
      <c r="A729" s="58">
        <v>110.14134626230071</v>
      </c>
      <c r="B729" s="58">
        <v>110.34892330864008</v>
      </c>
      <c r="C729" s="58">
        <v>108.50003938426853</v>
      </c>
      <c r="D729" s="58">
        <v>108.61589634036493</v>
      </c>
      <c r="E729" s="58">
        <v>3814233.8180570607</v>
      </c>
      <c r="F729" s="58" t="s">
        <v>676</v>
      </c>
      <c r="G729" s="25">
        <f t="shared" si="11"/>
        <v>1.4044444444444304E-2</v>
      </c>
    </row>
    <row r="730" spans="1:7">
      <c r="A730" s="58">
        <v>109.03105043304366</v>
      </c>
      <c r="B730" s="58">
        <v>109.5813709745015</v>
      </c>
      <c r="C730" s="58">
        <v>108.6255510867063</v>
      </c>
      <c r="D730" s="58">
        <v>109.20483586718824</v>
      </c>
      <c r="E730" s="58">
        <v>4901805.6328660892</v>
      </c>
      <c r="F730" s="58" t="s">
        <v>677</v>
      </c>
      <c r="G730" s="25">
        <f t="shared" si="11"/>
        <v>-1.5913712315444029E-3</v>
      </c>
    </row>
    <row r="731" spans="1:7">
      <c r="A731" s="58">
        <v>110.66270256473447</v>
      </c>
      <c r="B731" s="58">
        <v>111.83092687203973</v>
      </c>
      <c r="C731" s="58">
        <v>109.2724190915778</v>
      </c>
      <c r="D731" s="58">
        <v>109.90963235010794</v>
      </c>
      <c r="E731" s="58">
        <v>5868495.9704477312</v>
      </c>
      <c r="F731" s="58" t="s">
        <v>678</v>
      </c>
      <c r="G731" s="25">
        <f t="shared" si="11"/>
        <v>6.8517217146872866E-3</v>
      </c>
    </row>
    <row r="732" spans="1:7">
      <c r="A732" s="58">
        <v>110.3440959354694</v>
      </c>
      <c r="B732" s="58">
        <v>110.8268332525377</v>
      </c>
      <c r="C732" s="58">
        <v>108.4517656525617</v>
      </c>
      <c r="D732" s="58">
        <v>108.95381246231271</v>
      </c>
      <c r="E732" s="58">
        <v>7315454.7517618947</v>
      </c>
      <c r="F732" s="58" t="s">
        <v>679</v>
      </c>
      <c r="G732" s="25">
        <f t="shared" si="11"/>
        <v>1.2760301284891584E-2</v>
      </c>
    </row>
    <row r="733" spans="1:7">
      <c r="A733" s="58">
        <v>107.96902833549342</v>
      </c>
      <c r="B733" s="58">
        <v>108.67865219158379</v>
      </c>
      <c r="C733" s="58">
        <v>104.05885606724028</v>
      </c>
      <c r="D733" s="58">
        <v>104.36780795016398</v>
      </c>
      <c r="E733" s="58">
        <v>9082193.0374605581</v>
      </c>
      <c r="F733" s="58" t="s">
        <v>680</v>
      </c>
      <c r="G733" s="25">
        <f t="shared" si="11"/>
        <v>3.4505087881591123E-2</v>
      </c>
    </row>
    <row r="734" spans="1:7">
      <c r="A734" s="58">
        <v>103.57611875017199</v>
      </c>
      <c r="B734" s="58">
        <v>104.35815320382262</v>
      </c>
      <c r="C734" s="58">
        <v>103.36371433066195</v>
      </c>
      <c r="D734" s="58">
        <v>103.3733690770033</v>
      </c>
      <c r="E734" s="58">
        <v>6448538.1385165192</v>
      </c>
      <c r="F734" s="58" t="s">
        <v>681</v>
      </c>
      <c r="G734" s="25">
        <f t="shared" si="11"/>
        <v>1.9613337069206427E-3</v>
      </c>
    </row>
    <row r="735" spans="1:7">
      <c r="A735" s="58">
        <v>103.25751212090692</v>
      </c>
      <c r="B735" s="58">
        <v>103.4892260330997</v>
      </c>
      <c r="C735" s="58">
        <v>102.30169223311169</v>
      </c>
      <c r="D735" s="58">
        <v>103.12234567212781</v>
      </c>
      <c r="E735" s="58">
        <v>4053916.9664465031</v>
      </c>
      <c r="F735" s="58" t="s">
        <v>682</v>
      </c>
      <c r="G735" s="25">
        <f t="shared" si="11"/>
        <v>1.3107386948787436E-3</v>
      </c>
    </row>
    <row r="736" spans="1:7">
      <c r="A736" s="58">
        <v>103.30578585261375</v>
      </c>
      <c r="B736" s="58">
        <v>103.99127284285071</v>
      </c>
      <c r="C736" s="58">
        <v>103.02917736993362</v>
      </c>
      <c r="D736" s="58">
        <v>103.82714215504751</v>
      </c>
      <c r="E736" s="58">
        <v>4744841.384773205</v>
      </c>
      <c r="F736" s="58" t="s">
        <v>683</v>
      </c>
      <c r="G736" s="25">
        <f t="shared" si="11"/>
        <v>-5.0213873907384299E-3</v>
      </c>
    </row>
    <row r="737" spans="1:7">
      <c r="A737" s="58">
        <v>104.20367726236077</v>
      </c>
      <c r="B737" s="58">
        <v>104.72503356479451</v>
      </c>
      <c r="C737" s="58">
        <v>103.47957128675834</v>
      </c>
      <c r="D737" s="58">
        <v>104.27126048675032</v>
      </c>
      <c r="E737" s="58">
        <v>4159618.3452209593</v>
      </c>
      <c r="F737" s="58" t="s">
        <v>684</v>
      </c>
      <c r="G737" s="25">
        <f t="shared" si="11"/>
        <v>-6.4814814814806443E-4</v>
      </c>
    </row>
    <row r="738" spans="1:7">
      <c r="A738" s="58">
        <v>104.02023708187481</v>
      </c>
      <c r="B738" s="58">
        <v>104.06851081358165</v>
      </c>
      <c r="C738" s="58">
        <v>102.77477480383864</v>
      </c>
      <c r="D738" s="58">
        <v>103.00648871603141</v>
      </c>
      <c r="E738" s="58">
        <v>5113323.3597741909</v>
      </c>
      <c r="F738" s="58" t="s">
        <v>685</v>
      </c>
      <c r="G738" s="25">
        <f t="shared" si="11"/>
        <v>9.8415971506231603E-3</v>
      </c>
    </row>
    <row r="739" spans="1:7">
      <c r="A739" s="58">
        <v>102.66857259408361</v>
      </c>
      <c r="B739" s="58">
        <v>103.9753508694973</v>
      </c>
      <c r="C739" s="58">
        <v>102.48600798207728</v>
      </c>
      <c r="D739" s="58">
        <v>103.83122091265021</v>
      </c>
      <c r="E739" s="58">
        <v>5042607.4904817957</v>
      </c>
      <c r="F739" s="58" t="s">
        <v>686</v>
      </c>
      <c r="G739" s="25">
        <f t="shared" si="11"/>
        <v>-1.1197482879881537E-2</v>
      </c>
    </row>
    <row r="740" spans="1:7">
      <c r="A740" s="58">
        <v>103.29313574042104</v>
      </c>
      <c r="B740" s="58">
        <v>103.46609168863756</v>
      </c>
      <c r="C740" s="58">
        <v>102.59170328376516</v>
      </c>
      <c r="D740" s="58">
        <v>102.83191987851032</v>
      </c>
      <c r="E740" s="58">
        <v>4058534.1368037281</v>
      </c>
      <c r="F740" s="58" t="s">
        <v>687</v>
      </c>
      <c r="G740" s="25">
        <f t="shared" si="11"/>
        <v>4.4851429639318763E-3</v>
      </c>
    </row>
    <row r="741" spans="1:7">
      <c r="A741" s="58">
        <v>102.83191987851032</v>
      </c>
      <c r="B741" s="58">
        <v>103.53335233516621</v>
      </c>
      <c r="C741" s="58">
        <v>102.13048742185445</v>
      </c>
      <c r="D741" s="58">
        <v>102.40913867175883</v>
      </c>
      <c r="E741" s="58">
        <v>5473672.6302980119</v>
      </c>
      <c r="F741" s="58" t="s">
        <v>688</v>
      </c>
      <c r="G741" s="25">
        <f t="shared" si="11"/>
        <v>4.1283542878589596E-3</v>
      </c>
    </row>
    <row r="742" spans="1:7">
      <c r="A742" s="58">
        <v>102.18813940459327</v>
      </c>
      <c r="B742" s="58">
        <v>103.70861436269227</v>
      </c>
      <c r="C742" s="58">
        <v>101.91909681847869</v>
      </c>
      <c r="D742" s="58">
        <v>102.14009608564425</v>
      </c>
      <c r="E742" s="58">
        <v>5259513.8206013916</v>
      </c>
      <c r="F742" s="58" t="s">
        <v>689</v>
      </c>
      <c r="G742" s="25">
        <f t="shared" si="11"/>
        <v>4.7036688617119182E-4</v>
      </c>
    </row>
    <row r="743" spans="1:7">
      <c r="A743" s="58">
        <v>103.00487582672685</v>
      </c>
      <c r="B743" s="58">
        <v>103.24509242147201</v>
      </c>
      <c r="C743" s="58">
        <v>101.98635746500734</v>
      </c>
      <c r="D743" s="58">
        <v>102.57248595618555</v>
      </c>
      <c r="E743" s="58">
        <v>5542205.5724848937</v>
      </c>
      <c r="F743" s="58" t="s">
        <v>690</v>
      </c>
      <c r="G743" s="25">
        <f t="shared" si="11"/>
        <v>4.2154566744729838E-3</v>
      </c>
    </row>
    <row r="744" spans="1:7">
      <c r="A744" s="58">
        <v>103.16822311115357</v>
      </c>
      <c r="B744" s="58">
        <v>103.61022164548466</v>
      </c>
      <c r="C744" s="58">
        <v>102.28518690887032</v>
      </c>
      <c r="D744" s="58">
        <v>102.54365996481613</v>
      </c>
      <c r="E744" s="58">
        <v>5171062.3960753698</v>
      </c>
      <c r="F744" s="58" t="s">
        <v>691</v>
      </c>
      <c r="G744" s="25">
        <f t="shared" si="11"/>
        <v>6.0907046476761373E-3</v>
      </c>
    </row>
    <row r="745" spans="1:7">
      <c r="A745" s="58">
        <v>103.02409315430646</v>
      </c>
      <c r="B745" s="58">
        <v>104.23478479182209</v>
      </c>
      <c r="C745" s="58">
        <v>102.84152854230013</v>
      </c>
      <c r="D745" s="58">
        <v>104.01378552465654</v>
      </c>
      <c r="E745" s="58">
        <v>2360362.5328279361</v>
      </c>
      <c r="F745" s="58" t="s">
        <v>692</v>
      </c>
      <c r="G745" s="25">
        <f t="shared" si="11"/>
        <v>-9.5150115473441321E-3</v>
      </c>
    </row>
    <row r="746" spans="1:7">
      <c r="A746" s="58">
        <v>104.75365263647164</v>
      </c>
      <c r="B746" s="58">
        <v>105.06112987774546</v>
      </c>
      <c r="C746" s="58">
        <v>103.48530901621717</v>
      </c>
      <c r="D746" s="58">
        <v>103.77356892991138</v>
      </c>
      <c r="E746" s="58">
        <v>4630451.3273947621</v>
      </c>
      <c r="F746" s="58" t="s">
        <v>693</v>
      </c>
      <c r="G746" s="25">
        <f t="shared" si="11"/>
        <v>9.4444444444443665E-3</v>
      </c>
    </row>
    <row r="747" spans="1:7">
      <c r="A747" s="58">
        <v>103.44687436105795</v>
      </c>
      <c r="B747" s="58">
        <v>103.63904763685407</v>
      </c>
      <c r="C747" s="58">
        <v>102.78387655956129</v>
      </c>
      <c r="D747" s="58">
        <v>102.84152854230013</v>
      </c>
      <c r="E747" s="58">
        <v>3556628.7620817902</v>
      </c>
      <c r="F747" s="58" t="s">
        <v>694</v>
      </c>
      <c r="G747" s="25">
        <f t="shared" si="11"/>
        <v>5.8862001308044309E-3</v>
      </c>
    </row>
    <row r="748" spans="1:7">
      <c r="A748" s="58">
        <v>103.39883104210891</v>
      </c>
      <c r="B748" s="58">
        <v>103.91769888675847</v>
      </c>
      <c r="C748" s="58">
        <v>103.15861444736375</v>
      </c>
      <c r="D748" s="58">
        <v>103.73513427475214</v>
      </c>
      <c r="E748" s="58">
        <v>4058902.5543149905</v>
      </c>
      <c r="F748" s="58" t="s">
        <v>695</v>
      </c>
      <c r="G748" s="25">
        <f t="shared" si="11"/>
        <v>-3.2419414597999463E-3</v>
      </c>
    </row>
    <row r="749" spans="1:7">
      <c r="A749" s="58">
        <v>103.57178699032544</v>
      </c>
      <c r="B749" s="58">
        <v>104.67678332615318</v>
      </c>
      <c r="C749" s="58">
        <v>102.59170328376516</v>
      </c>
      <c r="D749" s="58">
        <v>104.62874000720416</v>
      </c>
      <c r="E749" s="58">
        <v>5047243.9311955664</v>
      </c>
      <c r="F749" s="58" t="s">
        <v>696</v>
      </c>
      <c r="G749" s="25">
        <f t="shared" si="11"/>
        <v>-1.0101937735329192E-2</v>
      </c>
    </row>
    <row r="750" spans="1:7">
      <c r="A750" s="58">
        <v>104.26361078319151</v>
      </c>
      <c r="B750" s="58">
        <v>104.93621724847796</v>
      </c>
      <c r="C750" s="58">
        <v>102.62052927513457</v>
      </c>
      <c r="D750" s="58">
        <v>103.86965556780943</v>
      </c>
      <c r="E750" s="58">
        <v>6384560.9901639316</v>
      </c>
      <c r="F750" s="58" t="s">
        <v>697</v>
      </c>
      <c r="G750" s="25">
        <f t="shared" si="11"/>
        <v>3.7927844588345749E-3</v>
      </c>
    </row>
    <row r="751" spans="1:7">
      <c r="A751" s="58">
        <v>103.8216122488604</v>
      </c>
      <c r="B751" s="58">
        <v>104.2540021194017</v>
      </c>
      <c r="C751" s="58">
        <v>103.16822311115357</v>
      </c>
      <c r="D751" s="58">
        <v>103.96574220570751</v>
      </c>
      <c r="E751" s="58">
        <v>5877153.2895040121</v>
      </c>
      <c r="F751" s="58" t="s">
        <v>698</v>
      </c>
      <c r="G751" s="25">
        <f t="shared" si="11"/>
        <v>-1.3863216266174483E-3</v>
      </c>
    </row>
    <row r="752" spans="1:7">
      <c r="A752" s="58">
        <v>104.01378552465654</v>
      </c>
      <c r="B752" s="58">
        <v>104.11948082634441</v>
      </c>
      <c r="C752" s="58">
        <v>102.27461737870154</v>
      </c>
      <c r="D752" s="58">
        <v>102.5148339734467</v>
      </c>
      <c r="E752" s="58">
        <v>5703778.5064496528</v>
      </c>
      <c r="F752" s="58" t="s">
        <v>699</v>
      </c>
      <c r="G752" s="25">
        <f t="shared" si="11"/>
        <v>1.4621801480926067E-2</v>
      </c>
    </row>
    <row r="753" spans="1:7">
      <c r="A753" s="58">
        <v>102.09205276669522</v>
      </c>
      <c r="B753" s="58">
        <v>102.58209461997535</v>
      </c>
      <c r="C753" s="58">
        <v>101.47709828414759</v>
      </c>
      <c r="D753" s="58">
        <v>102.44757332691806</v>
      </c>
      <c r="E753" s="58">
        <v>4609057.0935557056</v>
      </c>
      <c r="F753" s="58" t="s">
        <v>700</v>
      </c>
      <c r="G753" s="25">
        <f t="shared" si="11"/>
        <v>-3.4702682423559672E-3</v>
      </c>
    </row>
    <row r="754" spans="1:7">
      <c r="A754" s="58">
        <v>102.52444263723652</v>
      </c>
      <c r="B754" s="58">
        <v>103.45648302484776</v>
      </c>
      <c r="C754" s="58">
        <v>100.79488315507133</v>
      </c>
      <c r="D754" s="58">
        <v>101.08314306876552</v>
      </c>
      <c r="E754" s="58">
        <v>6840864.8109565051</v>
      </c>
      <c r="F754" s="58" t="s">
        <v>701</v>
      </c>
      <c r="G754" s="25">
        <f t="shared" si="11"/>
        <v>1.4258555133079831E-2</v>
      </c>
    </row>
    <row r="755" spans="1:7">
      <c r="A755" s="58">
        <v>102.04400944774619</v>
      </c>
      <c r="B755" s="58">
        <v>102.39953000796902</v>
      </c>
      <c r="C755" s="58">
        <v>101.24649035319224</v>
      </c>
      <c r="D755" s="58">
        <v>101.31375099972088</v>
      </c>
      <c r="E755" s="58">
        <v>10429021.36989194</v>
      </c>
      <c r="F755" s="58" t="s">
        <v>702</v>
      </c>
      <c r="G755" s="25">
        <f t="shared" si="11"/>
        <v>7.2078907435508821E-3</v>
      </c>
    </row>
    <row r="756" spans="1:7">
      <c r="A756" s="58">
        <v>100.910187120549</v>
      </c>
      <c r="B756" s="58">
        <v>101.19844703424319</v>
      </c>
      <c r="C756" s="58">
        <v>99.074932336695937</v>
      </c>
      <c r="D756" s="58">
        <v>99.219062293543047</v>
      </c>
      <c r="E756" s="58">
        <v>6638360.0670540063</v>
      </c>
      <c r="F756" s="58" t="s">
        <v>703</v>
      </c>
      <c r="G756" s="25">
        <f t="shared" si="11"/>
        <v>1.7044354057718314E-2</v>
      </c>
    </row>
    <row r="757" spans="1:7">
      <c r="A757" s="58">
        <v>99.209453629753227</v>
      </c>
      <c r="B757" s="58">
        <v>100.07423337083583</v>
      </c>
      <c r="C757" s="58">
        <v>98.796281086791538</v>
      </c>
      <c r="D757" s="58">
        <v>99.267105612492074</v>
      </c>
      <c r="E757" s="58">
        <v>5225237.4625973376</v>
      </c>
      <c r="F757" s="58" t="s">
        <v>704</v>
      </c>
      <c r="G757" s="25">
        <f t="shared" si="11"/>
        <v>-5.8077630432684657E-4</v>
      </c>
    </row>
    <row r="758" spans="1:7">
      <c r="A758" s="58">
        <v>97.87384936297012</v>
      </c>
      <c r="B758" s="58">
        <v>98.075631302556047</v>
      </c>
      <c r="C758" s="58">
        <v>96.989852294307909</v>
      </c>
      <c r="D758" s="58">
        <v>97.518328802747263</v>
      </c>
      <c r="E758" s="58">
        <v>4831427.2426982643</v>
      </c>
      <c r="F758" s="58" t="s">
        <v>705</v>
      </c>
      <c r="G758" s="25">
        <f t="shared" si="11"/>
        <v>3.6456793772787766E-3</v>
      </c>
    </row>
    <row r="759" spans="1:7">
      <c r="A759" s="58">
        <v>97.431850828639014</v>
      </c>
      <c r="B759" s="58">
        <v>97.921892681919147</v>
      </c>
      <c r="C759" s="58">
        <v>96.845722337460813</v>
      </c>
      <c r="D759" s="58">
        <v>97.854632035390509</v>
      </c>
      <c r="E759" s="58">
        <v>3777058.9952893388</v>
      </c>
      <c r="F759" s="58" t="s">
        <v>706</v>
      </c>
      <c r="G759" s="25">
        <f t="shared" si="11"/>
        <v>-4.3205027494108705E-3</v>
      </c>
    </row>
    <row r="760" spans="1:7">
      <c r="A760" s="58">
        <v>97.710502078543399</v>
      </c>
      <c r="B760" s="58">
        <v>97.984348996552882</v>
      </c>
      <c r="C760" s="58">
        <v>96.60550574271565</v>
      </c>
      <c r="D760" s="58">
        <v>97.018678285677325</v>
      </c>
      <c r="E760" s="58">
        <v>4450129.6887254929</v>
      </c>
      <c r="F760" s="58" t="s">
        <v>707</v>
      </c>
      <c r="G760" s="25">
        <f t="shared" si="11"/>
        <v>7.1308309398832037E-3</v>
      </c>
    </row>
    <row r="761" spans="1:7">
      <c r="A761" s="58">
        <v>96.836113673671008</v>
      </c>
      <c r="B761" s="58">
        <v>97.412633501059389</v>
      </c>
      <c r="C761" s="58">
        <v>96.634331734085052</v>
      </c>
      <c r="D761" s="58">
        <v>97.287720871791905</v>
      </c>
      <c r="E761" s="58">
        <v>5369687.3081078483</v>
      </c>
      <c r="F761" s="58" t="s">
        <v>708</v>
      </c>
      <c r="G761" s="25">
        <f t="shared" si="11"/>
        <v>-4.6419753086418547E-3</v>
      </c>
    </row>
    <row r="762" spans="1:7">
      <c r="A762" s="58">
        <v>97.681676087173983</v>
      </c>
      <c r="B762" s="58">
        <v>98.479195181727931</v>
      </c>
      <c r="C762" s="58">
        <v>97.287720871791905</v>
      </c>
      <c r="D762" s="58">
        <v>98.411934535199279</v>
      </c>
      <c r="E762" s="58">
        <v>6485143.1336483648</v>
      </c>
      <c r="F762" s="58" t="s">
        <v>709</v>
      </c>
      <c r="G762" s="25">
        <f t="shared" si="11"/>
        <v>-7.4204256981057481E-3</v>
      </c>
    </row>
    <row r="763" spans="1:7">
      <c r="A763" s="58">
        <v>98.604107810995416</v>
      </c>
      <c r="B763" s="58">
        <v>99.968538069147968</v>
      </c>
      <c r="C763" s="58">
        <v>98.214956927508254</v>
      </c>
      <c r="D763" s="58">
        <v>99.805190784721248</v>
      </c>
      <c r="E763" s="58">
        <v>4209201.2879986539</v>
      </c>
      <c r="F763" s="58" t="s">
        <v>710</v>
      </c>
      <c r="G763" s="25">
        <f t="shared" si="11"/>
        <v>-1.2034273611244872E-2</v>
      </c>
    </row>
    <row r="764" spans="1:7">
      <c r="A764" s="58">
        <v>99.699495483033374</v>
      </c>
      <c r="B764" s="58">
        <v>100.89577412486429</v>
      </c>
      <c r="C764" s="58">
        <v>99.29593160386149</v>
      </c>
      <c r="D764" s="58">
        <v>99.987755396727565</v>
      </c>
      <c r="E764" s="58">
        <v>3911302.4268649546</v>
      </c>
      <c r="F764" s="58" t="s">
        <v>711</v>
      </c>
      <c r="G764" s="25">
        <f t="shared" si="11"/>
        <v>-2.8829521429943883E-3</v>
      </c>
    </row>
    <row r="765" spans="1:7">
      <c r="A765" s="58">
        <v>100.12227668978487</v>
      </c>
      <c r="B765" s="58">
        <v>100.41053660347906</v>
      </c>
      <c r="C765" s="58">
        <v>98.825107078160968</v>
      </c>
      <c r="D765" s="58">
        <v>99.267105612492074</v>
      </c>
      <c r="E765" s="58">
        <v>6269722.9623030145</v>
      </c>
      <c r="F765" s="58" t="s">
        <v>712</v>
      </c>
      <c r="G765" s="25">
        <f t="shared" si="11"/>
        <v>8.6148485141805953E-3</v>
      </c>
    </row>
    <row r="766" spans="1:7">
      <c r="A766" s="58">
        <v>98.796281086791538</v>
      </c>
      <c r="B766" s="58">
        <v>98.87315039711001</v>
      </c>
      <c r="C766" s="58">
        <v>96.961026302938478</v>
      </c>
      <c r="D766" s="58">
        <v>97.921892681919147</v>
      </c>
      <c r="E766" s="58">
        <v>4791463.3092731647</v>
      </c>
      <c r="F766" s="58" t="s">
        <v>713</v>
      </c>
      <c r="G766" s="25">
        <f t="shared" si="11"/>
        <v>8.9294475517611716E-3</v>
      </c>
    </row>
    <row r="767" spans="1:7">
      <c r="A767" s="58">
        <v>98.008370656027409</v>
      </c>
      <c r="B767" s="58">
        <v>98.267804578352184</v>
      </c>
      <c r="C767" s="58">
        <v>96.451478862165047</v>
      </c>
      <c r="D767" s="58">
        <v>97.527937466537082</v>
      </c>
      <c r="E767" s="58">
        <v>7351123.0640552621</v>
      </c>
      <c r="F767" s="58" t="s">
        <v>714</v>
      </c>
      <c r="G767" s="25">
        <f t="shared" si="11"/>
        <v>4.9261083743841194E-3</v>
      </c>
    </row>
    <row r="768" spans="1:7">
      <c r="A768" s="58">
        <v>97.72971940612301</v>
      </c>
      <c r="B768" s="58">
        <v>98.508021173097347</v>
      </c>
      <c r="C768" s="58">
        <v>97.59519811306572</v>
      </c>
      <c r="D768" s="58">
        <v>98.248587250772573</v>
      </c>
      <c r="E768" s="58">
        <v>5379290.1001316346</v>
      </c>
      <c r="F768" s="58" t="s">
        <v>715</v>
      </c>
      <c r="G768" s="25">
        <f t="shared" si="11"/>
        <v>-5.2811735941320492E-3</v>
      </c>
    </row>
    <row r="769" spans="1:7">
      <c r="A769" s="58">
        <v>98.844324405740579</v>
      </c>
      <c r="B769" s="58">
        <v>99.401626905549364</v>
      </c>
      <c r="C769" s="58">
        <v>98.037196647396826</v>
      </c>
      <c r="D769" s="58">
        <v>98.152500612874505</v>
      </c>
      <c r="E769" s="58">
        <v>5111851.2495053792</v>
      </c>
      <c r="F769" s="58" t="s">
        <v>716</v>
      </c>
      <c r="G769" s="25">
        <f t="shared" si="11"/>
        <v>7.0484581497796128E-3</v>
      </c>
    </row>
    <row r="770" spans="1:7">
      <c r="A770" s="58">
        <v>98.142891949084699</v>
      </c>
      <c r="B770" s="58">
        <v>99.473691883972919</v>
      </c>
      <c r="C770" s="58">
        <v>97.376889271761314</v>
      </c>
      <c r="D770" s="58">
        <v>99.228670957332838</v>
      </c>
      <c r="E770" s="58">
        <v>7008816.3633577861</v>
      </c>
      <c r="F770" s="58" t="s">
        <v>717</v>
      </c>
      <c r="G770" s="25">
        <f t="shared" si="11"/>
        <v>-1.0942190374745753E-2</v>
      </c>
    </row>
    <row r="771" spans="1:7">
      <c r="A771" s="58">
        <v>99.968538069147968</v>
      </c>
      <c r="B771" s="58">
        <v>101.51553293930682</v>
      </c>
      <c r="C771" s="58">
        <v>99.920494750198912</v>
      </c>
      <c r="D771" s="58">
        <v>101.51553293930682</v>
      </c>
      <c r="E771" s="58">
        <v>4691188.1803814508</v>
      </c>
      <c r="F771" s="58" t="s">
        <v>718</v>
      </c>
      <c r="G771" s="25">
        <f t="shared" ref="G771:G834" si="12">A771/D771-1</f>
        <v>-1.5238996687174544E-2</v>
      </c>
    </row>
    <row r="772" spans="1:7">
      <c r="A772" s="58">
        <v>101.60201091341507</v>
      </c>
      <c r="B772" s="58">
        <v>103.27391841284143</v>
      </c>
      <c r="C772" s="58">
        <v>101.39062031003932</v>
      </c>
      <c r="D772" s="58">
        <v>103.10096246462491</v>
      </c>
      <c r="E772" s="58">
        <v>4514492.4360885629</v>
      </c>
      <c r="F772" s="58" t="s">
        <v>719</v>
      </c>
      <c r="G772" s="25">
        <f t="shared" si="12"/>
        <v>-1.4538676607642187E-2</v>
      </c>
    </row>
    <row r="773" spans="1:7">
      <c r="A773" s="58">
        <v>104.01378552465654</v>
      </c>
      <c r="B773" s="58">
        <v>105.04191255016583</v>
      </c>
      <c r="C773" s="58">
        <v>103.84082957644002</v>
      </c>
      <c r="D773" s="58">
        <v>104.42695806761823</v>
      </c>
      <c r="E773" s="58">
        <v>2924066.3025181661</v>
      </c>
      <c r="F773" s="58" t="s">
        <v>720</v>
      </c>
      <c r="G773" s="25">
        <f t="shared" si="12"/>
        <v>-3.9565697460435256E-3</v>
      </c>
    </row>
    <row r="774" spans="1:7">
      <c r="A774" s="58">
        <v>104.66717466236339</v>
      </c>
      <c r="B774" s="58">
        <v>105.67560392710359</v>
      </c>
      <c r="C774" s="58">
        <v>104.15839591469312</v>
      </c>
      <c r="D774" s="58">
        <v>104.71521798131242</v>
      </c>
      <c r="E774" s="58">
        <v>4670470.4193738084</v>
      </c>
      <c r="F774" s="58" t="s">
        <v>721</v>
      </c>
      <c r="G774" s="25">
        <f t="shared" si="12"/>
        <v>-4.5879977977603126E-4</v>
      </c>
    </row>
    <row r="775" spans="1:7">
      <c r="A775" s="58">
        <v>104.22517612803229</v>
      </c>
      <c r="B775" s="58">
        <v>104.58069668825513</v>
      </c>
      <c r="C775" s="58">
        <v>103.64865630064389</v>
      </c>
      <c r="D775" s="58">
        <v>104.47500138656726</v>
      </c>
      <c r="E775" s="58">
        <v>3623392.4676326648</v>
      </c>
      <c r="F775" s="58" t="s">
        <v>722</v>
      </c>
      <c r="G775" s="25">
        <f t="shared" si="12"/>
        <v>-2.3912443667800654E-3</v>
      </c>
    </row>
    <row r="776" spans="1:7">
      <c r="A776" s="58">
        <v>104.56147936067551</v>
      </c>
      <c r="B776" s="58">
        <v>105.67608436029309</v>
      </c>
      <c r="C776" s="58">
        <v>103.74474293854195</v>
      </c>
      <c r="D776" s="58">
        <v>105.47430242070713</v>
      </c>
      <c r="E776" s="58">
        <v>3955773.7508021407</v>
      </c>
      <c r="F776" s="58" t="s">
        <v>723</v>
      </c>
      <c r="G776" s="25">
        <f t="shared" si="12"/>
        <v>-8.654459324041186E-3</v>
      </c>
    </row>
    <row r="777" spans="1:7">
      <c r="A777" s="58">
        <v>105.10917319669448</v>
      </c>
      <c r="B777" s="58">
        <v>106.13249589030889</v>
      </c>
      <c r="C777" s="58">
        <v>104.98426056742701</v>
      </c>
      <c r="D777" s="58">
        <v>105.25330315354159</v>
      </c>
      <c r="E777" s="58">
        <v>3532639.9947524006</v>
      </c>
      <c r="F777" s="58" t="s">
        <v>724</v>
      </c>
      <c r="G777" s="25">
        <f t="shared" si="12"/>
        <v>-1.3693627898485605E-3</v>
      </c>
    </row>
    <row r="778" spans="1:7">
      <c r="A778" s="58">
        <v>105.54156306723578</v>
      </c>
      <c r="B778" s="58">
        <v>106.63685465263585</v>
      </c>
      <c r="C778" s="58">
        <v>105.25157359405942</v>
      </c>
      <c r="D778" s="58">
        <v>106.31025617042032</v>
      </c>
      <c r="E778" s="58">
        <v>3142951.0554877911</v>
      </c>
      <c r="F778" s="58" t="s">
        <v>725</v>
      </c>
      <c r="G778" s="25">
        <f t="shared" si="12"/>
        <v>-7.2306579898770984E-3</v>
      </c>
    </row>
    <row r="779" spans="1:7">
      <c r="A779" s="58">
        <v>106.16612621357321</v>
      </c>
      <c r="B779" s="58">
        <v>106.21897386441715</v>
      </c>
      <c r="C779" s="58">
        <v>105.19565117080275</v>
      </c>
      <c r="D779" s="58">
        <v>105.46469375691734</v>
      </c>
      <c r="E779" s="58">
        <v>3460588.3531147307</v>
      </c>
      <c r="F779" s="58" t="s">
        <v>726</v>
      </c>
      <c r="G779" s="25">
        <f t="shared" si="12"/>
        <v>6.65087463556846E-3</v>
      </c>
    </row>
    <row r="780" spans="1:7">
      <c r="A780" s="58">
        <v>105.74334500682173</v>
      </c>
      <c r="B780" s="58">
        <v>106.1469088859936</v>
      </c>
      <c r="C780" s="58">
        <v>104.98426056742701</v>
      </c>
      <c r="D780" s="58">
        <v>105.75295367061153</v>
      </c>
      <c r="E780" s="58">
        <v>4037469.8135609147</v>
      </c>
      <c r="F780" s="58" t="s">
        <v>727</v>
      </c>
      <c r="G780" s="25">
        <f t="shared" si="12"/>
        <v>-9.0859531164833029E-5</v>
      </c>
    </row>
    <row r="781" spans="1:7">
      <c r="A781" s="58">
        <v>106.35829948936934</v>
      </c>
      <c r="B781" s="58">
        <v>106.62734207548394</v>
      </c>
      <c r="C781" s="58">
        <v>105.33497679575494</v>
      </c>
      <c r="D781" s="58">
        <v>106.5600814289553</v>
      </c>
      <c r="E781" s="58">
        <v>3256539.1697017415</v>
      </c>
      <c r="F781" s="58" t="s">
        <v>728</v>
      </c>
      <c r="G781" s="25">
        <f t="shared" si="12"/>
        <v>-1.8935978358883832E-3</v>
      </c>
    </row>
    <row r="782" spans="1:7">
      <c r="A782" s="58">
        <v>105.93551828261786</v>
      </c>
      <c r="B782" s="58">
        <v>106.68499405822277</v>
      </c>
      <c r="C782" s="58">
        <v>105.01308655879643</v>
      </c>
      <c r="D782" s="58">
        <v>105.82021431714017</v>
      </c>
      <c r="E782" s="58">
        <v>3407693.3813352855</v>
      </c>
      <c r="F782" s="58" t="s">
        <v>729</v>
      </c>
      <c r="G782" s="25">
        <f t="shared" si="12"/>
        <v>1.0896213565787516E-3</v>
      </c>
    </row>
    <row r="783" spans="1:7">
      <c r="A783" s="58">
        <v>106.5600814289553</v>
      </c>
      <c r="B783" s="58">
        <v>107.21625707916118</v>
      </c>
      <c r="C783" s="58">
        <v>105.97654727700034</v>
      </c>
      <c r="D783" s="58">
        <v>106.13730022220379</v>
      </c>
      <c r="E783" s="58">
        <v>2545071.8783545028</v>
      </c>
      <c r="F783" s="58" t="s">
        <v>730</v>
      </c>
      <c r="G783" s="25">
        <f t="shared" si="12"/>
        <v>3.9833423863844253E-3</v>
      </c>
    </row>
    <row r="784" spans="1:7">
      <c r="A784" s="58">
        <v>106.90599332538834</v>
      </c>
      <c r="B784" s="58">
        <v>107.37681785108884</v>
      </c>
      <c r="C784" s="58">
        <v>106.69940705390749</v>
      </c>
      <c r="D784" s="58">
        <v>107.0116886270762</v>
      </c>
      <c r="E784" s="58">
        <v>4188945.6099712388</v>
      </c>
      <c r="F784" s="58" t="s">
        <v>731</v>
      </c>
      <c r="G784" s="25">
        <f t="shared" si="12"/>
        <v>-9.8769866211712021E-4</v>
      </c>
    </row>
    <row r="785" spans="1:7">
      <c r="A785" s="58">
        <v>106.52164677379606</v>
      </c>
      <c r="B785" s="58">
        <v>107.12699259255388</v>
      </c>
      <c r="C785" s="58">
        <v>106.23338686010186</v>
      </c>
      <c r="D785" s="58">
        <v>107.08855793739465</v>
      </c>
      <c r="E785" s="58">
        <v>4236583.8674868774</v>
      </c>
      <c r="F785" s="58" t="s">
        <v>732</v>
      </c>
      <c r="G785" s="25">
        <f t="shared" si="12"/>
        <v>-5.293853746074495E-3</v>
      </c>
    </row>
    <row r="786" spans="1:7">
      <c r="A786" s="58">
        <v>107.38642651487866</v>
      </c>
      <c r="B786" s="58">
        <v>108.52985750586565</v>
      </c>
      <c r="C786" s="58">
        <v>107.07126234257301</v>
      </c>
      <c r="D786" s="58">
        <v>107.43446983382769</v>
      </c>
      <c r="E786" s="58">
        <v>5830190.4640923552</v>
      </c>
      <c r="F786" s="58" t="s">
        <v>733</v>
      </c>
      <c r="G786" s="25">
        <f t="shared" si="12"/>
        <v>-4.4718719255876227E-4</v>
      </c>
    </row>
    <row r="787" spans="1:7">
      <c r="A787" s="58">
        <v>107.13660125634368</v>
      </c>
      <c r="B787" s="58">
        <v>107.55938246309518</v>
      </c>
      <c r="C787" s="58">
        <v>106.10847423083439</v>
      </c>
      <c r="D787" s="58">
        <v>106.7138200495922</v>
      </c>
      <c r="E787" s="58">
        <v>5201734.7149791336</v>
      </c>
      <c r="F787" s="58" t="s">
        <v>734</v>
      </c>
      <c r="G787" s="25">
        <f t="shared" si="12"/>
        <v>3.9618224383215495E-3</v>
      </c>
    </row>
    <row r="788" spans="1:7">
      <c r="A788" s="58">
        <v>106.76186336854123</v>
      </c>
      <c r="B788" s="58">
        <v>107.20386190287232</v>
      </c>
      <c r="C788" s="58">
        <v>105.62804104134405</v>
      </c>
      <c r="D788" s="58">
        <v>106.13730022220379</v>
      </c>
      <c r="E788" s="58">
        <v>3874503.3455634415</v>
      </c>
      <c r="F788" s="58" t="s">
        <v>735</v>
      </c>
      <c r="G788" s="25">
        <f t="shared" si="12"/>
        <v>5.8844830707949214E-3</v>
      </c>
    </row>
    <row r="789" spans="1:7">
      <c r="A789" s="58">
        <v>106.1469088859936</v>
      </c>
      <c r="B789" s="58">
        <v>106.51203811000624</v>
      </c>
      <c r="C789" s="58">
        <v>105.08976369583908</v>
      </c>
      <c r="D789" s="58">
        <v>105.15721651564353</v>
      </c>
      <c r="E789" s="58">
        <v>5032922.4809908066</v>
      </c>
      <c r="F789" s="58" t="s">
        <v>736</v>
      </c>
      <c r="G789" s="25">
        <f t="shared" si="12"/>
        <v>9.4115497076021626E-3</v>
      </c>
    </row>
    <row r="790" spans="1:7">
      <c r="A790" s="58">
        <v>105.21486849838236</v>
      </c>
      <c r="B790" s="58">
        <v>105.25330315354159</v>
      </c>
      <c r="C790" s="58">
        <v>103.45648302484776</v>
      </c>
      <c r="D790" s="58">
        <v>104.45578405898763</v>
      </c>
      <c r="E790" s="58">
        <v>4430764.8733806796</v>
      </c>
      <c r="F790" s="58" t="s">
        <v>737</v>
      </c>
      <c r="G790" s="25">
        <f t="shared" si="12"/>
        <v>7.2670407506210122E-3</v>
      </c>
    </row>
    <row r="791" spans="1:7">
      <c r="A791" s="58">
        <v>104.49421871414687</v>
      </c>
      <c r="B791" s="58">
        <v>105.13799918806392</v>
      </c>
      <c r="C791" s="58">
        <v>104.03300285223615</v>
      </c>
      <c r="D791" s="58">
        <v>105.04191255016583</v>
      </c>
      <c r="E791" s="58">
        <v>4412688.4785978524</v>
      </c>
      <c r="F791" s="58" t="s">
        <v>738</v>
      </c>
      <c r="G791" s="25">
        <f t="shared" si="12"/>
        <v>-5.2140504939626187E-3</v>
      </c>
    </row>
    <row r="792" spans="1:7">
      <c r="A792" s="58">
        <v>105.66647569650327</v>
      </c>
      <c r="B792" s="58">
        <v>106.20456086873244</v>
      </c>
      <c r="C792" s="58">
        <v>105.37821578280908</v>
      </c>
      <c r="D792" s="58">
        <v>106.07003957567515</v>
      </c>
      <c r="E792" s="58">
        <v>5866358.8645695038</v>
      </c>
      <c r="F792" s="58" t="s">
        <v>739</v>
      </c>
      <c r="G792" s="25">
        <f t="shared" si="12"/>
        <v>-3.8046924540267035E-3</v>
      </c>
    </row>
    <row r="793" spans="1:7">
      <c r="A793" s="58">
        <v>106.07964823946496</v>
      </c>
      <c r="B793" s="58">
        <v>107.37681785108884</v>
      </c>
      <c r="C793" s="58">
        <v>105.82982298092999</v>
      </c>
      <c r="D793" s="58">
        <v>107.37681785108884</v>
      </c>
      <c r="E793" s="58">
        <v>5559458.751868261</v>
      </c>
      <c r="F793" s="58" t="s">
        <v>740</v>
      </c>
      <c r="G793" s="25">
        <f t="shared" si="12"/>
        <v>-1.2080536912751572E-2</v>
      </c>
    </row>
    <row r="794" spans="1:7">
      <c r="A794" s="58">
        <v>107.29033987698058</v>
      </c>
      <c r="B794" s="58">
        <v>107.7323384113117</v>
      </c>
      <c r="C794" s="58">
        <v>106.54086410137567</v>
      </c>
      <c r="D794" s="58">
        <v>106.54086410137567</v>
      </c>
      <c r="E794" s="58">
        <v>6557803.6008343073</v>
      </c>
      <c r="F794" s="58" t="s">
        <v>741</v>
      </c>
      <c r="G794" s="25">
        <f t="shared" si="12"/>
        <v>7.0346320346319491E-3</v>
      </c>
    </row>
    <row r="795" spans="1:7">
      <c r="A795" s="58">
        <v>106.03160492051592</v>
      </c>
      <c r="B795" s="58">
        <v>107.89568569573841</v>
      </c>
      <c r="C795" s="58">
        <v>105.6953016878727</v>
      </c>
      <c r="D795" s="58">
        <v>107.85725104057919</v>
      </c>
      <c r="E795" s="58">
        <v>7715086.2619048962</v>
      </c>
      <c r="F795" s="58" t="s">
        <v>742</v>
      </c>
      <c r="G795" s="25">
        <f t="shared" si="12"/>
        <v>-1.6926503340757404E-2</v>
      </c>
    </row>
    <row r="796" spans="1:7">
      <c r="A796" s="58">
        <v>107.89568569573841</v>
      </c>
      <c r="B796" s="58">
        <v>108.28964091112049</v>
      </c>
      <c r="C796" s="58">
        <v>103.91769888675847</v>
      </c>
      <c r="D796" s="58">
        <v>104.2540021194017</v>
      </c>
      <c r="E796" s="58">
        <v>12931431.749315148</v>
      </c>
      <c r="F796" s="58" t="s">
        <v>743</v>
      </c>
      <c r="G796" s="25">
        <f t="shared" si="12"/>
        <v>3.4930875576036913E-2</v>
      </c>
    </row>
    <row r="797" spans="1:7">
      <c r="A797" s="58">
        <v>100.07423337083583</v>
      </c>
      <c r="B797" s="58">
        <v>101.56357625825585</v>
      </c>
      <c r="C797" s="58">
        <v>99.862842767460094</v>
      </c>
      <c r="D797" s="58">
        <v>101.31375099972088</v>
      </c>
      <c r="E797" s="58">
        <v>6818935.6432169145</v>
      </c>
      <c r="F797" s="58" t="s">
        <v>744</v>
      </c>
      <c r="G797" s="25">
        <f t="shared" si="12"/>
        <v>-1.2234446130500731E-2</v>
      </c>
    </row>
    <row r="798" spans="1:7">
      <c r="A798" s="58">
        <v>100.42975393105867</v>
      </c>
      <c r="B798" s="58">
        <v>100.74674374948439</v>
      </c>
      <c r="C798" s="58">
        <v>99.930103413988732</v>
      </c>
      <c r="D798" s="58">
        <v>99.930103413988732</v>
      </c>
      <c r="E798" s="58">
        <v>5002115.9082481926</v>
      </c>
      <c r="F798" s="58" t="s">
        <v>745</v>
      </c>
      <c r="G798" s="25">
        <f t="shared" si="12"/>
        <v>4.9999999999998934E-3</v>
      </c>
    </row>
    <row r="799" spans="1:7">
      <c r="A799" s="58">
        <v>99.891668758829496</v>
      </c>
      <c r="B799" s="58">
        <v>100.26640664663195</v>
      </c>
      <c r="C799" s="58">
        <v>99.411235569339169</v>
      </c>
      <c r="D799" s="58">
        <v>99.555365526186264</v>
      </c>
      <c r="E799" s="58">
        <v>5249140.8902772255</v>
      </c>
      <c r="F799" s="58" t="s">
        <v>746</v>
      </c>
      <c r="G799" s="25">
        <f t="shared" si="12"/>
        <v>3.3780523115529704E-3</v>
      </c>
    </row>
    <row r="800" spans="1:7">
      <c r="A800" s="58">
        <v>99.555365526186264</v>
      </c>
      <c r="B800" s="58">
        <v>99.651452164084333</v>
      </c>
      <c r="C800" s="58">
        <v>97.816197380231273</v>
      </c>
      <c r="D800" s="58">
        <v>98.7290204402629</v>
      </c>
      <c r="E800" s="58">
        <v>4973400.1569183655</v>
      </c>
      <c r="F800" s="58" t="s">
        <v>747</v>
      </c>
      <c r="G800" s="25">
        <f t="shared" si="12"/>
        <v>8.36982968369826E-3</v>
      </c>
    </row>
    <row r="801" spans="1:7">
      <c r="A801" s="58">
        <v>98.056413974976479</v>
      </c>
      <c r="B801" s="58">
        <v>99.280206973104114</v>
      </c>
      <c r="C801" s="58">
        <v>97.81739190502968</v>
      </c>
      <c r="D801" s="58">
        <v>98.849967247199857</v>
      </c>
      <c r="E801" s="58">
        <v>4770195.4897041935</v>
      </c>
      <c r="F801" s="58" t="s">
        <v>748</v>
      </c>
      <c r="G801" s="25">
        <f t="shared" si="12"/>
        <v>-8.027855692039787E-3</v>
      </c>
    </row>
    <row r="802" spans="1:7">
      <c r="A802" s="58">
        <v>98.754358419221148</v>
      </c>
      <c r="B802" s="58">
        <v>100.1024428937211</v>
      </c>
      <c r="C802" s="58">
        <v>98.567921204662625</v>
      </c>
      <c r="D802" s="58">
        <v>99.624398753827506</v>
      </c>
      <c r="E802" s="58">
        <v>4872046.9631075412</v>
      </c>
      <c r="F802" s="58" t="s">
        <v>749</v>
      </c>
      <c r="G802" s="25">
        <f t="shared" si="12"/>
        <v>-8.7332053742801286E-3</v>
      </c>
    </row>
    <row r="803" spans="1:7">
      <c r="A803" s="58">
        <v>99.146354613933894</v>
      </c>
      <c r="B803" s="58">
        <v>100.30322143247642</v>
      </c>
      <c r="C803" s="58">
        <v>98.534458114870077</v>
      </c>
      <c r="D803" s="58">
        <v>99.834738175380693</v>
      </c>
      <c r="E803" s="58">
        <v>5125335.2892168174</v>
      </c>
      <c r="F803" s="58" t="s">
        <v>750</v>
      </c>
      <c r="G803" s="25">
        <f t="shared" si="12"/>
        <v>-6.8952307986975825E-3</v>
      </c>
    </row>
    <row r="804" spans="1:7">
      <c r="A804" s="58">
        <v>100.32234319807218</v>
      </c>
      <c r="B804" s="58">
        <v>100.91511793154024</v>
      </c>
      <c r="C804" s="58">
        <v>99.605276988231765</v>
      </c>
      <c r="D804" s="58">
        <v>99.901664354965789</v>
      </c>
      <c r="E804" s="58">
        <v>5297684.4367627678</v>
      </c>
      <c r="F804" s="58" t="s">
        <v>751</v>
      </c>
      <c r="G804" s="25">
        <f t="shared" si="12"/>
        <v>4.2109292755287964E-3</v>
      </c>
    </row>
    <row r="805" spans="1:7">
      <c r="A805" s="58">
        <v>99.633959636625363</v>
      </c>
      <c r="B805" s="58">
        <v>99.710446699008358</v>
      </c>
      <c r="C805" s="58">
        <v>97.99904867818924</v>
      </c>
      <c r="D805" s="58">
        <v>98.123340154561575</v>
      </c>
      <c r="E805" s="58">
        <v>7633535.6831529448</v>
      </c>
      <c r="F805" s="58" t="s">
        <v>752</v>
      </c>
      <c r="G805" s="25">
        <f t="shared" si="12"/>
        <v>1.5395108642696886E-2</v>
      </c>
    </row>
    <row r="806" spans="1:7">
      <c r="A806" s="58">
        <v>98.285875162125407</v>
      </c>
      <c r="B806" s="58">
        <v>98.802162833210502</v>
      </c>
      <c r="C806" s="58">
        <v>97.35846953073181</v>
      </c>
      <c r="D806" s="58">
        <v>97.42539571031692</v>
      </c>
      <c r="E806" s="58">
        <v>8345510.7323100157</v>
      </c>
      <c r="F806" s="58" t="s">
        <v>753</v>
      </c>
      <c r="G806" s="25">
        <f t="shared" si="12"/>
        <v>8.8321884200195377E-3</v>
      </c>
    </row>
    <row r="807" spans="1:7">
      <c r="A807" s="58">
        <v>97.129008343582882</v>
      </c>
      <c r="B807" s="58">
        <v>97.195934523167978</v>
      </c>
      <c r="C807" s="58">
        <v>95.647071509912706</v>
      </c>
      <c r="D807" s="58">
        <v>96.373698602550974</v>
      </c>
      <c r="E807" s="58">
        <v>5682071.5354957348</v>
      </c>
      <c r="F807" s="58" t="s">
        <v>754</v>
      </c>
      <c r="G807" s="25">
        <f t="shared" si="12"/>
        <v>7.8373015873016705E-3</v>
      </c>
    </row>
    <row r="808" spans="1:7">
      <c r="A808" s="58">
        <v>96.813499211253102</v>
      </c>
      <c r="B808" s="58">
        <v>96.956912453221179</v>
      </c>
      <c r="C808" s="58">
        <v>95.350684143178668</v>
      </c>
      <c r="D808" s="58">
        <v>95.527560474939307</v>
      </c>
      <c r="E808" s="58">
        <v>6738331.7379790861</v>
      </c>
      <c r="F808" s="58" t="s">
        <v>755</v>
      </c>
      <c r="G808" s="25">
        <f t="shared" si="12"/>
        <v>1.3461442225891851E-2</v>
      </c>
    </row>
    <row r="809" spans="1:7">
      <c r="A809" s="58">
        <v>94.72922676131698</v>
      </c>
      <c r="B809" s="58">
        <v>95.111662073231869</v>
      </c>
      <c r="C809" s="58">
        <v>94.184256441838272</v>
      </c>
      <c r="D809" s="58">
        <v>95.016053245253133</v>
      </c>
      <c r="E809" s="58">
        <v>5438107.6621472267</v>
      </c>
      <c r="F809" s="58" t="s">
        <v>756</v>
      </c>
      <c r="G809" s="25">
        <f t="shared" si="12"/>
        <v>-3.0187160394444801E-3</v>
      </c>
    </row>
    <row r="810" spans="1:7">
      <c r="A810" s="58">
        <v>94.289426152614865</v>
      </c>
      <c r="B810" s="58">
        <v>94.404156746189315</v>
      </c>
      <c r="C810" s="58">
        <v>92.979585209306379</v>
      </c>
      <c r="D810" s="58">
        <v>93.70621230194466</v>
      </c>
      <c r="E810" s="58">
        <v>7091615.014367721</v>
      </c>
      <c r="F810" s="58" t="s">
        <v>757</v>
      </c>
      <c r="G810" s="25">
        <f t="shared" si="12"/>
        <v>6.2238547087032359E-3</v>
      </c>
    </row>
    <row r="811" spans="1:7">
      <c r="A811" s="58">
        <v>92.845732850136173</v>
      </c>
      <c r="B811" s="58">
        <v>93.926112606295717</v>
      </c>
      <c r="C811" s="58">
        <v>92.367688710242561</v>
      </c>
      <c r="D811" s="58">
        <v>93.792260247125498</v>
      </c>
      <c r="E811" s="58">
        <v>5036609.1728179427</v>
      </c>
      <c r="F811" s="58" t="s">
        <v>758</v>
      </c>
      <c r="G811" s="25">
        <f t="shared" si="12"/>
        <v>-1.0091743119265861E-2</v>
      </c>
    </row>
    <row r="812" spans="1:7">
      <c r="A812" s="58">
        <v>94.136452027848904</v>
      </c>
      <c r="B812" s="58">
        <v>95.111662073231869</v>
      </c>
      <c r="C812" s="58">
        <v>93.95479525468933</v>
      </c>
      <c r="D812" s="58">
        <v>94.652739698933999</v>
      </c>
      <c r="E812" s="58">
        <v>4840335.4562927652</v>
      </c>
      <c r="F812" s="58" t="s">
        <v>759</v>
      </c>
      <c r="G812" s="25">
        <f t="shared" si="12"/>
        <v>-5.4545454545454897E-3</v>
      </c>
    </row>
    <row r="813" spans="1:7">
      <c r="A813" s="58">
        <v>93.744455833136143</v>
      </c>
      <c r="B813" s="58">
        <v>93.773138481529756</v>
      </c>
      <c r="C813" s="58">
        <v>92.558906366200006</v>
      </c>
      <c r="D813" s="58">
        <v>92.778806670551063</v>
      </c>
      <c r="E813" s="58">
        <v>5511226.4331623456</v>
      </c>
      <c r="F813" s="58" t="s">
        <v>760</v>
      </c>
      <c r="G813" s="25">
        <f t="shared" si="12"/>
        <v>1.040807914262154E-2</v>
      </c>
    </row>
    <row r="814" spans="1:7">
      <c r="A814" s="58">
        <v>92.778806670551063</v>
      </c>
      <c r="B814" s="58">
        <v>93.514994645987215</v>
      </c>
      <c r="C814" s="58">
        <v>92.205153702678729</v>
      </c>
      <c r="D814" s="58">
        <v>92.644954311380857</v>
      </c>
      <c r="E814" s="58">
        <v>4732897.6786611201</v>
      </c>
      <c r="F814" s="58" t="s">
        <v>761</v>
      </c>
      <c r="G814" s="25">
        <f t="shared" si="12"/>
        <v>1.4447884416923795E-3</v>
      </c>
    </row>
    <row r="815" spans="1:7">
      <c r="A815" s="58">
        <v>92.60671078018936</v>
      </c>
      <c r="B815" s="58">
        <v>94.949127065668037</v>
      </c>
      <c r="C815" s="58">
        <v>92.587589014593618</v>
      </c>
      <c r="D815" s="58">
        <v>94.27986526981698</v>
      </c>
      <c r="E815" s="58">
        <v>3772418.3804478021</v>
      </c>
      <c r="F815" s="58" t="s">
        <v>762</v>
      </c>
      <c r="G815" s="25">
        <f t="shared" si="12"/>
        <v>-1.774667883581782E-2</v>
      </c>
    </row>
    <row r="816" spans="1:7">
      <c r="A816" s="58">
        <v>94.012160551476569</v>
      </c>
      <c r="B816" s="58">
        <v>94.088647613859536</v>
      </c>
      <c r="C816" s="58">
        <v>93.013048299098926</v>
      </c>
      <c r="D816" s="58">
        <v>93.859186426710622</v>
      </c>
      <c r="E816" s="58">
        <v>4680678.6513437768</v>
      </c>
      <c r="F816" s="58" t="s">
        <v>763</v>
      </c>
      <c r="G816" s="25">
        <f t="shared" si="12"/>
        <v>1.629825812366148E-3</v>
      </c>
    </row>
    <row r="817" spans="1:7">
      <c r="A817" s="58">
        <v>93.572359942774455</v>
      </c>
      <c r="B817" s="58">
        <v>93.887869075104234</v>
      </c>
      <c r="C817" s="58">
        <v>92.907878588322333</v>
      </c>
      <c r="D817" s="58">
        <v>92.984365650705314</v>
      </c>
      <c r="E817" s="58">
        <v>6354817.9895607848</v>
      </c>
      <c r="F817" s="58" t="s">
        <v>764</v>
      </c>
      <c r="G817" s="25">
        <f t="shared" si="12"/>
        <v>6.3235823350984433E-3</v>
      </c>
    </row>
    <row r="818" spans="1:7">
      <c r="A818" s="58">
        <v>92.750124022157451</v>
      </c>
      <c r="B818" s="58">
        <v>94.843957354891444</v>
      </c>
      <c r="C818" s="58">
        <v>92.272079882263853</v>
      </c>
      <c r="D818" s="58">
        <v>94.66230058173187</v>
      </c>
      <c r="E818" s="58">
        <v>11346544.277704572</v>
      </c>
      <c r="F818" s="58" t="s">
        <v>765</v>
      </c>
      <c r="G818" s="25">
        <f t="shared" si="12"/>
        <v>-2.0199979800020196E-2</v>
      </c>
    </row>
    <row r="819" spans="1:7">
      <c r="A819" s="58">
        <v>94.681422347327612</v>
      </c>
      <c r="B819" s="58">
        <v>94.920444417274425</v>
      </c>
      <c r="C819" s="58">
        <v>92.74056313935958</v>
      </c>
      <c r="D819" s="58">
        <v>92.797928436146805</v>
      </c>
      <c r="E819" s="58">
        <v>5532340.5922068357</v>
      </c>
      <c r="F819" s="58" t="s">
        <v>766</v>
      </c>
      <c r="G819" s="25">
        <f t="shared" si="12"/>
        <v>2.0296723676076711E-2</v>
      </c>
    </row>
    <row r="820" spans="1:7">
      <c r="A820" s="58">
        <v>93.505433763189345</v>
      </c>
      <c r="B820" s="58">
        <v>93.639955384155414</v>
      </c>
      <c r="C820" s="58">
        <v>92.454979570187135</v>
      </c>
      <c r="D820" s="58">
        <v>93.218607279253177</v>
      </c>
      <c r="E820" s="58">
        <v>5974618.7886241283</v>
      </c>
      <c r="F820" s="58" t="s">
        <v>767</v>
      </c>
      <c r="G820" s="25">
        <f t="shared" si="12"/>
        <v>3.0769230769231992E-3</v>
      </c>
    </row>
    <row r="821" spans="1:7">
      <c r="A821" s="58">
        <v>94.222499973029755</v>
      </c>
      <c r="B821" s="58">
        <v>95.130783838827611</v>
      </c>
      <c r="C821" s="58">
        <v>93.06563315448723</v>
      </c>
      <c r="D821" s="58">
        <v>94.920444417274425</v>
      </c>
      <c r="E821" s="58">
        <v>5327899.2198646264</v>
      </c>
      <c r="F821" s="58" t="s">
        <v>768</v>
      </c>
      <c r="G821" s="25">
        <f t="shared" si="12"/>
        <v>-7.3529411764706731E-3</v>
      </c>
    </row>
    <row r="822" spans="1:7">
      <c r="A822" s="58">
        <v>93.878308192306349</v>
      </c>
      <c r="B822" s="58">
        <v>94.843957354891444</v>
      </c>
      <c r="C822" s="58">
        <v>92.157349288689375</v>
      </c>
      <c r="D822" s="58">
        <v>92.35812782744469</v>
      </c>
      <c r="E822" s="58">
        <v>6854131.7141325865</v>
      </c>
      <c r="F822" s="58" t="s">
        <v>769</v>
      </c>
      <c r="G822" s="25">
        <f t="shared" si="12"/>
        <v>1.6459627329192372E-2</v>
      </c>
    </row>
    <row r="823" spans="1:7">
      <c r="A823" s="58">
        <v>92.702319608168082</v>
      </c>
      <c r="B823" s="58">
        <v>94.074306289662729</v>
      </c>
      <c r="C823" s="58">
        <v>92.315103854854272</v>
      </c>
      <c r="D823" s="58">
        <v>93.467190231997861</v>
      </c>
      <c r="E823" s="58">
        <v>7365913.9525979515</v>
      </c>
      <c r="F823" s="58" t="s">
        <v>770</v>
      </c>
      <c r="G823" s="25">
        <f t="shared" si="12"/>
        <v>-8.1833060556465442E-3</v>
      </c>
    </row>
    <row r="824" spans="1:7">
      <c r="A824" s="58">
        <v>93.553238177178699</v>
      </c>
      <c r="B824" s="58">
        <v>95.580145330327596</v>
      </c>
      <c r="C824" s="58">
        <v>93.218607279253177</v>
      </c>
      <c r="D824" s="58">
        <v>95.503658267944616</v>
      </c>
      <c r="E824" s="58">
        <v>5382340.8452881537</v>
      </c>
      <c r="F824" s="58" t="s">
        <v>771</v>
      </c>
      <c r="G824" s="25">
        <f t="shared" si="12"/>
        <v>-2.0422464711182364E-2</v>
      </c>
    </row>
    <row r="825" spans="1:7">
      <c r="A825" s="58">
        <v>95.035175010848889</v>
      </c>
      <c r="B825" s="58">
        <v>95.864581593564296</v>
      </c>
      <c r="C825" s="58">
        <v>94.901322651678683</v>
      </c>
      <c r="D825" s="58">
        <v>95.527560474939307</v>
      </c>
      <c r="E825" s="58">
        <v>6539979.7614835612</v>
      </c>
      <c r="F825" s="58" t="s">
        <v>772</v>
      </c>
      <c r="G825" s="25">
        <f t="shared" si="12"/>
        <v>-5.1543812240404385E-3</v>
      </c>
    </row>
    <row r="826" spans="1:7">
      <c r="A826" s="58">
        <v>95.589706213125467</v>
      </c>
      <c r="B826" s="58">
        <v>98.57270164606156</v>
      </c>
      <c r="C826" s="58">
        <v>95.436732088359506</v>
      </c>
      <c r="D826" s="58">
        <v>98.343240458912632</v>
      </c>
      <c r="E826" s="58">
        <v>6640643.060087556</v>
      </c>
      <c r="F826" s="58" t="s">
        <v>773</v>
      </c>
      <c r="G826" s="25">
        <f t="shared" si="12"/>
        <v>-2.7999222243826449E-2</v>
      </c>
    </row>
    <row r="827" spans="1:7">
      <c r="A827" s="58">
        <v>98.238070748136039</v>
      </c>
      <c r="B827" s="58">
        <v>100.00683406574238</v>
      </c>
      <c r="C827" s="58">
        <v>98.123340154561575</v>
      </c>
      <c r="D827" s="58">
        <v>99.920786120561544</v>
      </c>
      <c r="E827" s="58">
        <v>5235020.7672391394</v>
      </c>
      <c r="F827" s="58" t="s">
        <v>774</v>
      </c>
      <c r="G827" s="25">
        <f t="shared" si="12"/>
        <v>-1.684049373265728E-2</v>
      </c>
    </row>
    <row r="828" spans="1:7">
      <c r="A828" s="58">
        <v>99.863420823774305</v>
      </c>
      <c r="B828" s="58">
        <v>99.920786120561544</v>
      </c>
      <c r="C828" s="58">
        <v>98.247631630933924</v>
      </c>
      <c r="D828" s="58">
        <v>98.38148399010413</v>
      </c>
      <c r="E828" s="58">
        <v>5211400.5634593945</v>
      </c>
      <c r="F828" s="58" t="s">
        <v>775</v>
      </c>
      <c r="G828" s="25">
        <f t="shared" si="12"/>
        <v>1.5063168124392678E-2</v>
      </c>
    </row>
    <row r="829" spans="1:7">
      <c r="A829" s="58">
        <v>98.123340154561575</v>
      </c>
      <c r="B829" s="58">
        <v>98.45797105248711</v>
      </c>
      <c r="C829" s="58">
        <v>95.866971814263749</v>
      </c>
      <c r="D829" s="58">
        <v>95.866971814263749</v>
      </c>
      <c r="E829" s="58">
        <v>5449247.846819683</v>
      </c>
      <c r="F829" s="58" t="s">
        <v>776</v>
      </c>
      <c r="G829" s="25">
        <f t="shared" si="12"/>
        <v>2.3536451580732143E-2</v>
      </c>
    </row>
    <row r="830" spans="1:7">
      <c r="A830" s="58">
        <v>96.4023812509446</v>
      </c>
      <c r="B830" s="58">
        <v>96.909108039231825</v>
      </c>
      <c r="C830" s="58">
        <v>95.981702407838227</v>
      </c>
      <c r="D830" s="58">
        <v>96.278089774572265</v>
      </c>
      <c r="E830" s="58">
        <v>4145616.1358678476</v>
      </c>
      <c r="F830" s="58" t="s">
        <v>777</v>
      </c>
      <c r="G830" s="25">
        <f t="shared" si="12"/>
        <v>1.2909632571995733E-3</v>
      </c>
    </row>
    <row r="831" spans="1:7">
      <c r="A831" s="58">
        <v>97.253299819955217</v>
      </c>
      <c r="B831" s="58">
        <v>97.917781174407338</v>
      </c>
      <c r="C831" s="58">
        <v>95.312440611987171</v>
      </c>
      <c r="D831" s="58">
        <v>95.455853853955261</v>
      </c>
      <c r="E831" s="58">
        <v>8238829.1609987346</v>
      </c>
      <c r="F831" s="58" t="s">
        <v>778</v>
      </c>
      <c r="G831" s="25">
        <f t="shared" si="12"/>
        <v>1.8830128205128194E-2</v>
      </c>
    </row>
    <row r="832" spans="1:7">
      <c r="A832" s="58">
        <v>95.388927674370152</v>
      </c>
      <c r="B832" s="58">
        <v>96.862259713522249</v>
      </c>
      <c r="C832" s="58">
        <v>95.283757963593558</v>
      </c>
      <c r="D832" s="58">
        <v>96.832620976848844</v>
      </c>
      <c r="E832" s="58">
        <v>4696028.698311476</v>
      </c>
      <c r="F832" s="58" t="s">
        <v>779</v>
      </c>
      <c r="G832" s="25">
        <f t="shared" si="12"/>
        <v>-1.4909162717219648E-2</v>
      </c>
    </row>
    <row r="833" spans="1:7">
      <c r="A833" s="58">
        <v>96.048628587423323</v>
      </c>
      <c r="B833" s="58">
        <v>97.329786882338198</v>
      </c>
      <c r="C833" s="58">
        <v>95.503658267944616</v>
      </c>
      <c r="D833" s="58">
        <v>96.995155984412676</v>
      </c>
      <c r="E833" s="58">
        <v>5728348.6428877916</v>
      </c>
      <c r="F833" s="58" t="s">
        <v>780</v>
      </c>
      <c r="G833" s="25">
        <f t="shared" si="12"/>
        <v>-9.7585017249878225E-3</v>
      </c>
    </row>
    <row r="834" spans="1:7">
      <c r="A834" s="58">
        <v>98.046853092178594</v>
      </c>
      <c r="B834" s="58">
        <v>99.222841676316875</v>
      </c>
      <c r="C834" s="58">
        <v>97.195934523167978</v>
      </c>
      <c r="D834" s="58">
        <v>98.70655400523178</v>
      </c>
      <c r="E834" s="58">
        <v>4822844.3936434854</v>
      </c>
      <c r="F834" s="58" t="s">
        <v>781</v>
      </c>
      <c r="G834" s="25">
        <f t="shared" si="12"/>
        <v>-6.6834560247966968E-3</v>
      </c>
    </row>
    <row r="835" spans="1:7">
      <c r="A835" s="58">
        <v>98.180705451348814</v>
      </c>
      <c r="B835" s="58">
        <v>99.284987414503036</v>
      </c>
      <c r="C835" s="58">
        <v>96.086872118614821</v>
      </c>
      <c r="D835" s="58">
        <v>98.70655400523178</v>
      </c>
      <c r="E835" s="58">
        <v>9309729.2249843255</v>
      </c>
      <c r="F835" s="58" t="s">
        <v>782</v>
      </c>
      <c r="G835" s="25">
        <f t="shared" ref="G835:G898" si="13">A835/D835-1</f>
        <v>-5.3273924835335329E-3</v>
      </c>
    </row>
    <row r="836" spans="1:7">
      <c r="A836" s="58">
        <v>99.09855019994454</v>
      </c>
      <c r="B836" s="58">
        <v>101.4792100166147</v>
      </c>
      <c r="C836" s="58">
        <v>98.811723716008373</v>
      </c>
      <c r="D836" s="58">
        <v>101.20194441547639</v>
      </c>
      <c r="E836" s="58">
        <v>5443390.6471045623</v>
      </c>
      <c r="F836" s="58" t="s">
        <v>783</v>
      </c>
      <c r="G836" s="25">
        <f t="shared" si="13"/>
        <v>-2.0784128483703146E-2</v>
      </c>
    </row>
    <row r="837" spans="1:7">
      <c r="A837" s="58">
        <v>102.05286298448702</v>
      </c>
      <c r="B837" s="58">
        <v>102.26387166783606</v>
      </c>
      <c r="C837" s="58">
        <v>100.857752634753</v>
      </c>
      <c r="D837" s="58">
        <v>100.90555704874237</v>
      </c>
      <c r="E837" s="58">
        <v>3727923.5352547746</v>
      </c>
      <c r="F837" s="58" t="s">
        <v>784</v>
      </c>
      <c r="G837" s="25">
        <f t="shared" si="13"/>
        <v>1.1370096645821448E-2</v>
      </c>
    </row>
    <row r="838" spans="1:7">
      <c r="A838" s="58">
        <v>101.42184471982746</v>
      </c>
      <c r="B838" s="58">
        <v>102.67336427806892</v>
      </c>
      <c r="C838" s="58">
        <v>101.0298485251147</v>
      </c>
      <c r="D838" s="58">
        <v>101.12545735309342</v>
      </c>
      <c r="E838" s="58">
        <v>3450556.8886737498</v>
      </c>
      <c r="F838" s="58" t="s">
        <v>785</v>
      </c>
      <c r="G838" s="25">
        <f t="shared" si="13"/>
        <v>2.9308877753615459E-3</v>
      </c>
    </row>
    <row r="839" spans="1:7">
      <c r="A839" s="58">
        <v>102.56915065557212</v>
      </c>
      <c r="B839" s="58">
        <v>102.59783330396573</v>
      </c>
      <c r="C839" s="58">
        <v>101.61306237578491</v>
      </c>
      <c r="D839" s="58">
        <v>102.07198475008278</v>
      </c>
      <c r="E839" s="58">
        <v>4246825.4091595737</v>
      </c>
      <c r="F839" s="58" t="s">
        <v>786</v>
      </c>
      <c r="G839" s="25">
        <f t="shared" si="13"/>
        <v>4.8707381041588338E-3</v>
      </c>
    </row>
    <row r="840" spans="1:7">
      <c r="A840" s="58">
        <v>102.55002888997637</v>
      </c>
      <c r="B840" s="58">
        <v>103.58260423214656</v>
      </c>
      <c r="C840" s="58">
        <v>101.68801969692022</v>
      </c>
      <c r="D840" s="58">
        <v>103.43919099017847</v>
      </c>
      <c r="E840" s="58">
        <v>4438880.8959613433</v>
      </c>
      <c r="F840" s="58" t="s">
        <v>787</v>
      </c>
      <c r="G840" s="25">
        <f t="shared" si="13"/>
        <v>-8.5959885386819312E-3</v>
      </c>
    </row>
    <row r="841" spans="1:7">
      <c r="A841" s="58">
        <v>103.75470012250825</v>
      </c>
      <c r="B841" s="58">
        <v>104.34747485597633</v>
      </c>
      <c r="C841" s="58">
        <v>103.03763391266784</v>
      </c>
      <c r="D841" s="58">
        <v>103.56348246655081</v>
      </c>
      <c r="E841" s="58">
        <v>3881460.6124299816</v>
      </c>
      <c r="F841" s="58" t="s">
        <v>788</v>
      </c>
      <c r="G841" s="25">
        <f t="shared" si="13"/>
        <v>1.8463810930575697E-3</v>
      </c>
    </row>
    <row r="842" spans="1:7">
      <c r="A842" s="58">
        <v>103.41050834178486</v>
      </c>
      <c r="B842" s="58">
        <v>104.11323322742847</v>
      </c>
      <c r="C842" s="58">
        <v>103.06631656106147</v>
      </c>
      <c r="D842" s="58">
        <v>103.50611716976358</v>
      </c>
      <c r="E842" s="58">
        <v>4378571.61153749</v>
      </c>
      <c r="F842" s="58" t="s">
        <v>789</v>
      </c>
      <c r="G842" s="25">
        <f t="shared" si="13"/>
        <v>-9.237021984112026E-4</v>
      </c>
    </row>
    <row r="843" spans="1:7">
      <c r="A843" s="58">
        <v>103.32446039660401</v>
      </c>
      <c r="B843" s="58">
        <v>106.38394289192308</v>
      </c>
      <c r="C843" s="58">
        <v>102.78905095992317</v>
      </c>
      <c r="D843" s="58">
        <v>105.82941168964651</v>
      </c>
      <c r="E843" s="58">
        <v>4092446.3595253183</v>
      </c>
      <c r="F843" s="58" t="s">
        <v>790</v>
      </c>
      <c r="G843" s="25">
        <f t="shared" si="13"/>
        <v>-2.366970819405545E-2</v>
      </c>
    </row>
    <row r="844" spans="1:7">
      <c r="A844" s="58">
        <v>105.36092843255078</v>
      </c>
      <c r="B844" s="58">
        <v>106.95759585979542</v>
      </c>
      <c r="C844" s="58">
        <v>104.9259082652476</v>
      </c>
      <c r="D844" s="58">
        <v>106.50823436829543</v>
      </c>
      <c r="E844" s="58">
        <v>4416320.2177729234</v>
      </c>
      <c r="F844" s="58" t="s">
        <v>791</v>
      </c>
      <c r="G844" s="25">
        <f t="shared" si="13"/>
        <v>-1.0771992818671472E-2</v>
      </c>
    </row>
    <row r="845" spans="1:7">
      <c r="A845" s="58">
        <v>107.07232645336988</v>
      </c>
      <c r="B845" s="58">
        <v>107.47388353088051</v>
      </c>
      <c r="C845" s="58">
        <v>105.05498018301886</v>
      </c>
      <c r="D845" s="58">
        <v>105.20795430778483</v>
      </c>
      <c r="E845" s="58">
        <v>3557800.1236005705</v>
      </c>
      <c r="F845" s="58" t="s">
        <v>792</v>
      </c>
      <c r="G845" s="25">
        <f t="shared" si="13"/>
        <v>1.7720828789530962E-2</v>
      </c>
    </row>
    <row r="846" spans="1:7">
      <c r="A846" s="58">
        <v>105.88677698643374</v>
      </c>
      <c r="B846" s="58">
        <v>106.78549996943372</v>
      </c>
      <c r="C846" s="58">
        <v>105.60951138529545</v>
      </c>
      <c r="D846" s="58">
        <v>106.67076937585925</v>
      </c>
      <c r="E846" s="58">
        <v>4335974.0806807531</v>
      </c>
      <c r="F846" s="58" t="s">
        <v>793</v>
      </c>
      <c r="G846" s="25">
        <f t="shared" si="13"/>
        <v>-7.3496459621761323E-3</v>
      </c>
    </row>
    <row r="847" spans="1:7">
      <c r="A847" s="58">
        <v>106.88110879741245</v>
      </c>
      <c r="B847" s="58">
        <v>107.39644038021774</v>
      </c>
      <c r="C847" s="58">
        <v>105.80072904125289</v>
      </c>
      <c r="D847" s="58">
        <v>106.90023056300819</v>
      </c>
      <c r="E847" s="58">
        <v>3926917.7118619219</v>
      </c>
      <c r="F847" s="58" t="s">
        <v>794</v>
      </c>
      <c r="G847" s="25">
        <f t="shared" si="13"/>
        <v>-1.7887487702350491E-4</v>
      </c>
    </row>
    <row r="848" spans="1:7">
      <c r="A848" s="58">
        <v>107.32090940611457</v>
      </c>
      <c r="B848" s="58">
        <v>107.43563999968903</v>
      </c>
      <c r="C848" s="58">
        <v>106.02062934560395</v>
      </c>
      <c r="D848" s="58">
        <v>106.39350377472097</v>
      </c>
      <c r="E848" s="58">
        <v>5283865.629149165</v>
      </c>
      <c r="F848" s="58" t="s">
        <v>795</v>
      </c>
      <c r="G848" s="25">
        <f t="shared" si="13"/>
        <v>8.7167505391805289E-3</v>
      </c>
    </row>
    <row r="849" spans="1:7">
      <c r="A849" s="58">
        <v>106.90979144580605</v>
      </c>
      <c r="B849" s="58">
        <v>107.16315483994967</v>
      </c>
      <c r="C849" s="58">
        <v>104.85420164426355</v>
      </c>
      <c r="D849" s="58">
        <v>105.91545963482736</v>
      </c>
      <c r="E849" s="58">
        <v>4740548.6457889965</v>
      </c>
      <c r="F849" s="58" t="s">
        <v>796</v>
      </c>
      <c r="G849" s="25">
        <f t="shared" si="13"/>
        <v>9.3879761689834584E-3</v>
      </c>
    </row>
    <row r="850" spans="1:7">
      <c r="A850" s="58">
        <v>105.6955593304763</v>
      </c>
      <c r="B850" s="58">
        <v>105.80072904125289</v>
      </c>
      <c r="C850" s="58">
        <v>104.08933102043379</v>
      </c>
      <c r="D850" s="58">
        <v>104.96893223783802</v>
      </c>
      <c r="E850" s="58">
        <v>5960024.9479767922</v>
      </c>
      <c r="F850" s="58" t="s">
        <v>797</v>
      </c>
      <c r="G850" s="25">
        <f t="shared" si="13"/>
        <v>6.9223062209673447E-3</v>
      </c>
    </row>
    <row r="851" spans="1:7">
      <c r="A851" s="58">
        <v>104.98805400343376</v>
      </c>
      <c r="B851" s="58">
        <v>105.81028992405076</v>
      </c>
      <c r="C851" s="58">
        <v>104.8063972302742</v>
      </c>
      <c r="D851" s="58">
        <v>104.98805400343376</v>
      </c>
      <c r="E851" s="58">
        <v>4638504.7215378666</v>
      </c>
      <c r="F851" s="58" t="s">
        <v>798</v>
      </c>
      <c r="G851" s="25">
        <f t="shared" si="13"/>
        <v>0</v>
      </c>
    </row>
    <row r="852" spans="1:7">
      <c r="A852" s="58">
        <v>105.12190636260398</v>
      </c>
      <c r="B852" s="58">
        <v>106.37438200912523</v>
      </c>
      <c r="C852" s="58">
        <v>104.98805400343376</v>
      </c>
      <c r="D852" s="58">
        <v>105.79116815845502</v>
      </c>
      <c r="E852" s="58">
        <v>5084088.05208012</v>
      </c>
      <c r="F852" s="58" t="s">
        <v>799</v>
      </c>
      <c r="G852" s="25">
        <f t="shared" si="13"/>
        <v>-6.3262539539086227E-3</v>
      </c>
    </row>
    <row r="853" spans="1:7">
      <c r="A853" s="58">
        <v>106.19272523596564</v>
      </c>
      <c r="B853" s="58">
        <v>106.71857378984862</v>
      </c>
      <c r="C853" s="58">
        <v>105.27488048736993</v>
      </c>
      <c r="D853" s="58">
        <v>106.36482112632734</v>
      </c>
      <c r="E853" s="58">
        <v>4350628.5851822812</v>
      </c>
      <c r="F853" s="58" t="s">
        <v>800</v>
      </c>
      <c r="G853" s="25">
        <f t="shared" si="13"/>
        <v>-1.6179775280898978E-3</v>
      </c>
    </row>
    <row r="854" spans="1:7">
      <c r="A854" s="58">
        <v>106.12579905638054</v>
      </c>
      <c r="B854" s="58">
        <v>107.31134852331668</v>
      </c>
      <c r="C854" s="58">
        <v>104.77771458188057</v>
      </c>
      <c r="D854" s="58">
        <v>105.16971077659333</v>
      </c>
      <c r="E854" s="58">
        <v>6349638.5515269851</v>
      </c>
      <c r="F854" s="58" t="s">
        <v>801</v>
      </c>
      <c r="G854" s="25">
        <f t="shared" si="13"/>
        <v>9.0909090909090384E-3</v>
      </c>
    </row>
    <row r="855" spans="1:7">
      <c r="A855" s="58">
        <v>107.58861412445498</v>
      </c>
      <c r="B855" s="58">
        <v>108.66899388061452</v>
      </c>
      <c r="C855" s="58">
        <v>107.34959205450818</v>
      </c>
      <c r="D855" s="58">
        <v>107.90412325678476</v>
      </c>
      <c r="E855" s="58">
        <v>4876158.5081218518</v>
      </c>
      <c r="F855" s="58" t="s">
        <v>802</v>
      </c>
      <c r="G855" s="25">
        <f t="shared" si="13"/>
        <v>-2.9239766081871066E-3</v>
      </c>
    </row>
    <row r="856" spans="1:7">
      <c r="A856" s="58">
        <v>109.00362477854006</v>
      </c>
      <c r="B856" s="58">
        <v>109.66332569159323</v>
      </c>
      <c r="C856" s="58">
        <v>107.48344441367838</v>
      </c>
      <c r="D856" s="58">
        <v>107.49300529647627</v>
      </c>
      <c r="E856" s="58">
        <v>6396309.9739712924</v>
      </c>
      <c r="F856" s="58" t="s">
        <v>803</v>
      </c>
      <c r="G856" s="25">
        <f t="shared" si="13"/>
        <v>1.4053188650716031E-2</v>
      </c>
    </row>
    <row r="857" spans="1:7">
      <c r="A857" s="58">
        <v>107.86587972559326</v>
      </c>
      <c r="B857" s="58">
        <v>108.07143870574752</v>
      </c>
      <c r="C857" s="58">
        <v>106.74725643824223</v>
      </c>
      <c r="D857" s="58">
        <v>107.2731049921252</v>
      </c>
      <c r="E857" s="58">
        <v>5311537.7600175487</v>
      </c>
      <c r="F857" s="58" t="s">
        <v>804</v>
      </c>
      <c r="G857" s="25">
        <f t="shared" si="13"/>
        <v>5.5258467023171498E-3</v>
      </c>
    </row>
    <row r="858" spans="1:7">
      <c r="A858" s="58">
        <v>106.89066968021031</v>
      </c>
      <c r="B858" s="58">
        <v>107.38783558569966</v>
      </c>
      <c r="C858" s="58">
        <v>105.7338028616678</v>
      </c>
      <c r="D858" s="58">
        <v>106.18316435316778</v>
      </c>
      <c r="E858" s="58">
        <v>6440525.5562493308</v>
      </c>
      <c r="F858" s="58" t="s">
        <v>805</v>
      </c>
      <c r="G858" s="25">
        <f t="shared" si="13"/>
        <v>6.6630650099044342E-3</v>
      </c>
    </row>
    <row r="859" spans="1:7">
      <c r="A859" s="58">
        <v>106.61340407907203</v>
      </c>
      <c r="B859" s="58">
        <v>108.59250681823156</v>
      </c>
      <c r="C859" s="58">
        <v>106.30745582954012</v>
      </c>
      <c r="D859" s="58">
        <v>108.23875415471028</v>
      </c>
      <c r="E859" s="58">
        <v>4485491.6545514585</v>
      </c>
      <c r="F859" s="58" t="s">
        <v>806</v>
      </c>
      <c r="G859" s="25">
        <f t="shared" si="13"/>
        <v>-1.5016341312604764E-2</v>
      </c>
    </row>
    <row r="860" spans="1:7">
      <c r="A860" s="58">
        <v>108.41085004507198</v>
      </c>
      <c r="B860" s="58">
        <v>109.2617686140826</v>
      </c>
      <c r="C860" s="58">
        <v>108.0953409127422</v>
      </c>
      <c r="D860" s="58">
        <v>108.51601975584857</v>
      </c>
      <c r="E860" s="58">
        <v>5973245.4844766371</v>
      </c>
      <c r="F860" s="58" t="s">
        <v>807</v>
      </c>
      <c r="G860" s="25">
        <f t="shared" si="13"/>
        <v>-9.6916299559468566E-4</v>
      </c>
    </row>
    <row r="861" spans="1:7">
      <c r="A861" s="58">
        <v>108.52558063864645</v>
      </c>
      <c r="B861" s="58">
        <v>108.88889418496559</v>
      </c>
      <c r="C861" s="58">
        <v>106.30745582954012</v>
      </c>
      <c r="D861" s="58">
        <v>106.38394289192308</v>
      </c>
      <c r="E861" s="58">
        <v>5594523.1346110078</v>
      </c>
      <c r="F861" s="58" t="s">
        <v>808</v>
      </c>
      <c r="G861" s="25">
        <f t="shared" si="13"/>
        <v>2.0131212366316209E-2</v>
      </c>
    </row>
    <row r="862" spans="1:7">
      <c r="A862" s="58">
        <v>106.46999083710394</v>
      </c>
      <c r="B862" s="58">
        <v>107.45074619450966</v>
      </c>
      <c r="C862" s="58">
        <v>106.02062934560395</v>
      </c>
      <c r="D862" s="58">
        <v>107.07232645336988</v>
      </c>
      <c r="E862" s="58">
        <v>4913445.8598797191</v>
      </c>
      <c r="F862" s="58" t="s">
        <v>809</v>
      </c>
      <c r="G862" s="25">
        <f t="shared" si="13"/>
        <v>-5.6255022769889917E-3</v>
      </c>
    </row>
    <row r="863" spans="1:7">
      <c r="A863" s="58">
        <v>107.69378383523161</v>
      </c>
      <c r="B863" s="58">
        <v>110.1113022704193</v>
      </c>
      <c r="C863" s="58">
        <v>106.73343891353696</v>
      </c>
      <c r="D863" s="58">
        <v>109.33084356299651</v>
      </c>
      <c r="E863" s="58">
        <v>5621358.0017415136</v>
      </c>
      <c r="F863" s="58" t="s">
        <v>810</v>
      </c>
      <c r="G863" s="25">
        <f t="shared" si="13"/>
        <v>-1.4973448245843013E-2</v>
      </c>
    </row>
    <row r="864" spans="1:7">
      <c r="A864" s="58">
        <v>108.36002907327546</v>
      </c>
      <c r="B864" s="58">
        <v>108.57893822291844</v>
      </c>
      <c r="C864" s="58">
        <v>106.90380733869388</v>
      </c>
      <c r="D864" s="58">
        <v>107.0751275427623</v>
      </c>
      <c r="E864" s="58">
        <v>5874968.3697436908</v>
      </c>
      <c r="F864" s="58" t="s">
        <v>811</v>
      </c>
      <c r="G864" s="25">
        <f t="shared" si="13"/>
        <v>1.2000000000000011E-2</v>
      </c>
    </row>
    <row r="865" spans="1:7">
      <c r="A865" s="58">
        <v>106.74200492374038</v>
      </c>
      <c r="B865" s="58">
        <v>108.18870886920703</v>
      </c>
      <c r="C865" s="58">
        <v>106.61827366524652</v>
      </c>
      <c r="D865" s="58">
        <v>108.04594203248335</v>
      </c>
      <c r="E865" s="58">
        <v>7646417.5788445501</v>
      </c>
      <c r="F865" s="58" t="s">
        <v>812</v>
      </c>
      <c r="G865" s="25">
        <f t="shared" si="13"/>
        <v>-1.2068357998590518E-2</v>
      </c>
    </row>
    <row r="866" spans="1:7">
      <c r="A866" s="58">
        <v>106.9133251278088</v>
      </c>
      <c r="B866" s="58">
        <v>107.29879558696274</v>
      </c>
      <c r="C866" s="58">
        <v>104.8955538354474</v>
      </c>
      <c r="D866" s="58">
        <v>106.5992380870167</v>
      </c>
      <c r="E866" s="58">
        <v>3992915.7434741668</v>
      </c>
      <c r="F866" s="58" t="s">
        <v>813</v>
      </c>
      <c r="G866" s="25">
        <f t="shared" si="13"/>
        <v>2.946428571428461E-3</v>
      </c>
    </row>
    <row r="867" spans="1:7">
      <c r="A867" s="58">
        <v>105.45710339322723</v>
      </c>
      <c r="B867" s="58">
        <v>106.32322220268424</v>
      </c>
      <c r="C867" s="58">
        <v>105.0383206721711</v>
      </c>
      <c r="D867" s="58">
        <v>105.74263706667459</v>
      </c>
      <c r="E867" s="58">
        <v>5145121.352108432</v>
      </c>
      <c r="F867" s="58" t="s">
        <v>814</v>
      </c>
      <c r="G867" s="25">
        <f t="shared" si="13"/>
        <v>-2.7002700270026825E-3</v>
      </c>
    </row>
    <row r="868" spans="1:7">
      <c r="A868" s="58">
        <v>105.84733274693863</v>
      </c>
      <c r="B868" s="58">
        <v>106.54213135232722</v>
      </c>
      <c r="C868" s="58">
        <v>105.02880288305617</v>
      </c>
      <c r="D868" s="58">
        <v>105.65697696464039</v>
      </c>
      <c r="E868" s="58">
        <v>4618397.1371176438</v>
      </c>
      <c r="F868" s="58" t="s">
        <v>815</v>
      </c>
      <c r="G868" s="25">
        <f t="shared" si="13"/>
        <v>1.8016394919375678E-3</v>
      </c>
    </row>
    <row r="869" spans="1:7">
      <c r="A869" s="58">
        <v>104.29593312120794</v>
      </c>
      <c r="B869" s="58">
        <v>105.96154621631757</v>
      </c>
      <c r="C869" s="58">
        <v>103.50595662467023</v>
      </c>
      <c r="D869" s="58">
        <v>105.18108750889478</v>
      </c>
      <c r="E869" s="58">
        <v>4383325.7383939037</v>
      </c>
      <c r="F869" s="58" t="s">
        <v>816</v>
      </c>
      <c r="G869" s="25">
        <f t="shared" si="13"/>
        <v>-8.4155280065152382E-3</v>
      </c>
    </row>
    <row r="870" spans="1:7">
      <c r="A870" s="58">
        <v>104.4958066926211</v>
      </c>
      <c r="B870" s="58">
        <v>104.8098937334132</v>
      </c>
      <c r="C870" s="58">
        <v>103.42029652263602</v>
      </c>
      <c r="D870" s="58">
        <v>104.50532448173601</v>
      </c>
      <c r="E870" s="58">
        <v>3646845.877853869</v>
      </c>
      <c r="F870" s="58" t="s">
        <v>817</v>
      </c>
      <c r="G870" s="25">
        <f t="shared" si="13"/>
        <v>-9.1074681238589861E-5</v>
      </c>
    </row>
    <row r="871" spans="1:7">
      <c r="A871" s="58">
        <v>104.99073172659654</v>
      </c>
      <c r="B871" s="58">
        <v>105.41931777044103</v>
      </c>
      <c r="C871" s="58">
        <v>103.22994074033777</v>
      </c>
      <c r="D871" s="58">
        <v>103.50595662467023</v>
      </c>
      <c r="E871" s="58">
        <v>3202240.523720738</v>
      </c>
      <c r="F871" s="58" t="s">
        <v>818</v>
      </c>
      <c r="G871" s="25">
        <f t="shared" si="13"/>
        <v>1.434482758620681E-2</v>
      </c>
    </row>
    <row r="872" spans="1:7">
      <c r="A872" s="58">
        <v>102.6303200260983</v>
      </c>
      <c r="B872" s="58">
        <v>104.79085815518337</v>
      </c>
      <c r="C872" s="58">
        <v>102.53990102950664</v>
      </c>
      <c r="D872" s="58">
        <v>103.76293693077285</v>
      </c>
      <c r="E872" s="58">
        <v>3430673.8262188523</v>
      </c>
      <c r="F872" s="58" t="s">
        <v>819</v>
      </c>
      <c r="G872" s="25">
        <f t="shared" si="13"/>
        <v>-1.0915428361768398E-2</v>
      </c>
    </row>
    <row r="873" spans="1:7">
      <c r="A873" s="58">
        <v>103.33463642060181</v>
      </c>
      <c r="B873" s="58">
        <v>103.79149029811759</v>
      </c>
      <c r="C873" s="58">
        <v>102.20201951592725</v>
      </c>
      <c r="D873" s="58">
        <v>103.12524506007374</v>
      </c>
      <c r="E873" s="58">
        <v>3075670.1631616293</v>
      </c>
      <c r="F873" s="58" t="s">
        <v>820</v>
      </c>
      <c r="G873" s="25">
        <f t="shared" si="13"/>
        <v>2.0304568527920175E-3</v>
      </c>
    </row>
    <row r="874" spans="1:7">
      <c r="A874" s="58">
        <v>102.96344264512024</v>
      </c>
      <c r="B874" s="58">
        <v>103.17283400564831</v>
      </c>
      <c r="C874" s="58">
        <v>101.9355214207097</v>
      </c>
      <c r="D874" s="58">
        <v>102.47803540025971</v>
      </c>
      <c r="E874" s="58">
        <v>2751103.1904431446</v>
      </c>
      <c r="F874" s="58" t="s">
        <v>821</v>
      </c>
      <c r="G874" s="25">
        <f t="shared" si="13"/>
        <v>4.7366954583449861E-3</v>
      </c>
    </row>
    <row r="875" spans="1:7">
      <c r="A875" s="58">
        <v>102.82067580839656</v>
      </c>
      <c r="B875" s="58">
        <v>102.94440706689041</v>
      </c>
      <c r="C875" s="58">
        <v>101.09795597859744</v>
      </c>
      <c r="D875" s="58">
        <v>102.51610655671935</v>
      </c>
      <c r="E875" s="58">
        <v>3478835.2211043313</v>
      </c>
      <c r="F875" s="58" t="s">
        <v>822</v>
      </c>
      <c r="G875" s="25">
        <f t="shared" si="13"/>
        <v>2.9709404883484503E-3</v>
      </c>
    </row>
    <row r="876" spans="1:7">
      <c r="A876" s="58">
        <v>102.92537148866059</v>
      </c>
      <c r="B876" s="58">
        <v>103.16331621653339</v>
      </c>
      <c r="C876" s="58">
        <v>101.89745026425007</v>
      </c>
      <c r="D876" s="58">
        <v>101.92600363159481</v>
      </c>
      <c r="E876" s="58">
        <v>3392386.5732023874</v>
      </c>
      <c r="F876" s="58" t="s">
        <v>823</v>
      </c>
      <c r="G876" s="25">
        <f t="shared" si="13"/>
        <v>9.8048370529459916E-3</v>
      </c>
    </row>
    <row r="877" spans="1:7">
      <c r="A877" s="58">
        <v>101.35493628470007</v>
      </c>
      <c r="B877" s="58">
        <v>101.83082574044568</v>
      </c>
      <c r="C877" s="58">
        <v>100.52212973714525</v>
      </c>
      <c r="D877" s="58">
        <v>101.46914975407901</v>
      </c>
      <c r="E877" s="58">
        <v>3859068.4828741141</v>
      </c>
      <c r="F877" s="58" t="s">
        <v>824</v>
      </c>
      <c r="G877" s="25">
        <f t="shared" si="13"/>
        <v>-1.1255979739235311E-3</v>
      </c>
    </row>
    <row r="878" spans="1:7">
      <c r="A878" s="58">
        <v>101.45011417584919</v>
      </c>
      <c r="B878" s="58">
        <v>102.01166373362902</v>
      </c>
      <c r="C878" s="58">
        <v>100.72676220311587</v>
      </c>
      <c r="D878" s="58">
        <v>101.59288101257287</v>
      </c>
      <c r="E878" s="58">
        <v>4572546.1527418438</v>
      </c>
      <c r="F878" s="58" t="s">
        <v>825</v>
      </c>
      <c r="G878" s="25">
        <f t="shared" si="13"/>
        <v>-1.4052838673411783E-3</v>
      </c>
    </row>
    <row r="879" spans="1:7">
      <c r="A879" s="58">
        <v>101.75468342752639</v>
      </c>
      <c r="B879" s="58">
        <v>102.64935560432812</v>
      </c>
      <c r="C879" s="58">
        <v>100.67917325754131</v>
      </c>
      <c r="D879" s="58">
        <v>102.50658876760446</v>
      </c>
      <c r="E879" s="58">
        <v>8380208.7897737306</v>
      </c>
      <c r="F879" s="58" t="s">
        <v>826</v>
      </c>
      <c r="G879" s="25">
        <f t="shared" si="13"/>
        <v>-7.3351903435469046E-3</v>
      </c>
    </row>
    <row r="880" spans="1:7">
      <c r="A880" s="58">
        <v>103.28704747502725</v>
      </c>
      <c r="B880" s="58">
        <v>104.69568026403425</v>
      </c>
      <c r="C880" s="58">
        <v>103.18235179476321</v>
      </c>
      <c r="D880" s="58">
        <v>104.55291342731057</v>
      </c>
      <c r="E880" s="58">
        <v>5198516.1052243384</v>
      </c>
      <c r="F880" s="58" t="s">
        <v>827</v>
      </c>
      <c r="G880" s="25">
        <f t="shared" si="13"/>
        <v>-1.210741920801095E-2</v>
      </c>
    </row>
    <row r="881" spans="1:7">
      <c r="A881" s="58">
        <v>105.89492169251319</v>
      </c>
      <c r="B881" s="58">
        <v>107.46535689647371</v>
      </c>
      <c r="C881" s="58">
        <v>105.20012308712461</v>
      </c>
      <c r="D881" s="58">
        <v>105.99961737277724</v>
      </c>
      <c r="E881" s="58">
        <v>5899333.2718443964</v>
      </c>
      <c r="F881" s="58" t="s">
        <v>828</v>
      </c>
      <c r="G881" s="25">
        <f t="shared" si="13"/>
        <v>-9.8769866211734225E-4</v>
      </c>
    </row>
    <row r="882" spans="1:7">
      <c r="A882" s="58">
        <v>106.15190199861583</v>
      </c>
      <c r="B882" s="58">
        <v>107.26548332506056</v>
      </c>
      <c r="C882" s="58">
        <v>105.70456591021495</v>
      </c>
      <c r="D882" s="58">
        <v>106.90380733869388</v>
      </c>
      <c r="E882" s="58">
        <v>6562411.6321446933</v>
      </c>
      <c r="F882" s="58" t="s">
        <v>829</v>
      </c>
      <c r="G882" s="25">
        <f t="shared" si="13"/>
        <v>-7.0334757834756845E-3</v>
      </c>
    </row>
    <row r="883" spans="1:7">
      <c r="A883" s="58">
        <v>104.21027301917373</v>
      </c>
      <c r="B883" s="58">
        <v>104.30545091032286</v>
      </c>
      <c r="C883" s="58">
        <v>102.53514213494918</v>
      </c>
      <c r="D883" s="58">
        <v>102.53514213494918</v>
      </c>
      <c r="E883" s="58">
        <v>4993330.8488142928</v>
      </c>
      <c r="F883" s="58" t="s">
        <v>830</v>
      </c>
      <c r="G883" s="25">
        <f t="shared" si="13"/>
        <v>1.6337139144156687E-2</v>
      </c>
    </row>
    <row r="884" spans="1:7">
      <c r="A884" s="58">
        <v>102.32575077442112</v>
      </c>
      <c r="B884" s="58">
        <v>103.24421742401015</v>
      </c>
      <c r="C884" s="58">
        <v>101.31686512824042</v>
      </c>
      <c r="D884" s="58">
        <v>101.58336322345797</v>
      </c>
      <c r="E884" s="58">
        <v>5617288.7794113699</v>
      </c>
      <c r="F884" s="58" t="s">
        <v>831</v>
      </c>
      <c r="G884" s="25">
        <f t="shared" si="13"/>
        <v>7.3081607795371095E-3</v>
      </c>
    </row>
    <row r="885" spans="1:7">
      <c r="A885" s="58">
        <v>101.7642012166413</v>
      </c>
      <c r="B885" s="58">
        <v>101.92124473703734</v>
      </c>
      <c r="C885" s="58">
        <v>99.203915944729914</v>
      </c>
      <c r="D885" s="58">
        <v>99.613180876671137</v>
      </c>
      <c r="E885" s="58">
        <v>4841336.5166711872</v>
      </c>
      <c r="F885" s="58" t="s">
        <v>832</v>
      </c>
      <c r="G885" s="25">
        <f t="shared" si="13"/>
        <v>2.1593732084846273E-2</v>
      </c>
    </row>
    <row r="886" spans="1:7">
      <c r="A886" s="58">
        <v>99.755947713394818</v>
      </c>
      <c r="B886" s="58">
        <v>100.40315737320884</v>
      </c>
      <c r="C886" s="58">
        <v>99.00404237331675</v>
      </c>
      <c r="D886" s="58">
        <v>99.00404237331675</v>
      </c>
      <c r="E886" s="58">
        <v>3774430.1293369615</v>
      </c>
      <c r="F886" s="58" t="s">
        <v>833</v>
      </c>
      <c r="G886" s="25">
        <f t="shared" si="13"/>
        <v>7.5946933282060591E-3</v>
      </c>
    </row>
    <row r="887" spans="1:7">
      <c r="A887" s="58">
        <v>98.85175774747816</v>
      </c>
      <c r="B887" s="58">
        <v>100.32701506028955</v>
      </c>
      <c r="C887" s="58">
        <v>98.156959142089562</v>
      </c>
      <c r="D887" s="58">
        <v>99.92726791746324</v>
      </c>
      <c r="E887" s="58">
        <v>4387277.2863370152</v>
      </c>
      <c r="F887" s="58" t="s">
        <v>834</v>
      </c>
      <c r="G887" s="25">
        <f t="shared" si="13"/>
        <v>-1.0762929802838328E-2</v>
      </c>
    </row>
    <row r="888" spans="1:7">
      <c r="A888" s="58">
        <v>100.32701506028955</v>
      </c>
      <c r="B888" s="58">
        <v>101.89745026425007</v>
      </c>
      <c r="C888" s="58">
        <v>99.993892441267633</v>
      </c>
      <c r="D888" s="58">
        <v>101.73564784929656</v>
      </c>
      <c r="E888" s="58">
        <v>4924599.5508099003</v>
      </c>
      <c r="F888" s="58" t="s">
        <v>835</v>
      </c>
      <c r="G888" s="25">
        <f t="shared" si="13"/>
        <v>-1.384600991673679E-2</v>
      </c>
    </row>
    <row r="889" spans="1:7">
      <c r="A889" s="58">
        <v>102.87778254308603</v>
      </c>
      <c r="B889" s="58">
        <v>102.92537148866059</v>
      </c>
      <c r="C889" s="58">
        <v>101.07892040036762</v>
      </c>
      <c r="D889" s="58">
        <v>101.60239880168778</v>
      </c>
      <c r="E889" s="58">
        <v>5194567.7092737369</v>
      </c>
      <c r="F889" s="58" t="s">
        <v>836</v>
      </c>
      <c r="G889" s="25">
        <f t="shared" si="13"/>
        <v>1.2552693208430998E-2</v>
      </c>
    </row>
    <row r="890" spans="1:7">
      <c r="A890" s="58">
        <v>102.72549791724744</v>
      </c>
      <c r="B890" s="58">
        <v>103.41077873352111</v>
      </c>
      <c r="C890" s="58">
        <v>102.17346614858252</v>
      </c>
      <c r="D890" s="58">
        <v>103.02054937980971</v>
      </c>
      <c r="E890" s="58">
        <v>5333372.0034275251</v>
      </c>
      <c r="F890" s="58" t="s">
        <v>837</v>
      </c>
      <c r="G890" s="25">
        <f t="shared" si="13"/>
        <v>-2.8640059127863493E-3</v>
      </c>
    </row>
    <row r="891" spans="1:7">
      <c r="A891" s="58">
        <v>102.3923752982255</v>
      </c>
      <c r="B891" s="58">
        <v>102.50658876760446</v>
      </c>
      <c r="C891" s="58">
        <v>98.452010604651846</v>
      </c>
      <c r="D891" s="58">
        <v>100.06051696507201</v>
      </c>
      <c r="E891" s="58">
        <v>13382793.888596779</v>
      </c>
      <c r="F891" s="58" t="s">
        <v>838</v>
      </c>
      <c r="G891" s="25">
        <f t="shared" si="13"/>
        <v>2.3304480167411823E-2</v>
      </c>
    </row>
    <row r="892" spans="1:7">
      <c r="A892" s="58">
        <v>99.936785706578149</v>
      </c>
      <c r="B892" s="58">
        <v>100.29846169294481</v>
      </c>
      <c r="C892" s="58">
        <v>99.441860672602729</v>
      </c>
      <c r="D892" s="58">
        <v>99.936785706578149</v>
      </c>
      <c r="E892" s="58">
        <v>5077153.8869555788</v>
      </c>
      <c r="F892" s="58" t="s">
        <v>839</v>
      </c>
      <c r="G892" s="25">
        <f t="shared" si="13"/>
        <v>0</v>
      </c>
    </row>
    <row r="893" spans="1:7">
      <c r="A893" s="58">
        <v>100.30797948205974</v>
      </c>
      <c r="B893" s="58">
        <v>102.55417771317902</v>
      </c>
      <c r="C893" s="58">
        <v>100.06051696507201</v>
      </c>
      <c r="D893" s="58">
        <v>101.57384543434306</v>
      </c>
      <c r="E893" s="58">
        <v>4360070.3376566451</v>
      </c>
      <c r="F893" s="58" t="s">
        <v>840</v>
      </c>
      <c r="G893" s="25">
        <f t="shared" si="13"/>
        <v>-1.2462518740629647E-2</v>
      </c>
    </row>
    <row r="894" spans="1:7">
      <c r="A894" s="58">
        <v>101.80227237310093</v>
      </c>
      <c r="B894" s="58">
        <v>102.17251436967103</v>
      </c>
      <c r="C894" s="58">
        <v>101.36921296837244</v>
      </c>
      <c r="D894" s="58">
        <v>101.5262564887685</v>
      </c>
      <c r="E894" s="58">
        <v>2687714.5197428516</v>
      </c>
      <c r="F894" s="58" t="s">
        <v>841</v>
      </c>
      <c r="G894" s="25">
        <f t="shared" si="13"/>
        <v>2.7186650417172498E-3</v>
      </c>
    </row>
    <row r="895" spans="1:7">
      <c r="A895" s="58">
        <v>100.9076001962992</v>
      </c>
      <c r="B895" s="58">
        <v>101.33590070647024</v>
      </c>
      <c r="C895" s="58">
        <v>99.365718359683427</v>
      </c>
      <c r="D895" s="58">
        <v>99.908232339233422</v>
      </c>
      <c r="E895" s="58">
        <v>4851587.8469772069</v>
      </c>
      <c r="F895" s="58" t="s">
        <v>842</v>
      </c>
      <c r="G895" s="25">
        <f t="shared" si="13"/>
        <v>1.0002857959416911E-2</v>
      </c>
    </row>
    <row r="896" spans="1:7">
      <c r="A896" s="58">
        <v>99.813054448084301</v>
      </c>
      <c r="B896" s="58">
        <v>99.936785706578149</v>
      </c>
      <c r="C896" s="58">
        <v>97.909496625101852</v>
      </c>
      <c r="D896" s="58">
        <v>98.965971216857113</v>
      </c>
      <c r="E896" s="58">
        <v>4740254.2182104411</v>
      </c>
      <c r="F896" s="58" t="s">
        <v>843</v>
      </c>
      <c r="G896" s="25">
        <f t="shared" si="13"/>
        <v>8.559338334295008E-3</v>
      </c>
    </row>
    <row r="897" spans="1:7">
      <c r="A897" s="58">
        <v>98.870793325707979</v>
      </c>
      <c r="B897" s="58">
        <v>99.841607815429043</v>
      </c>
      <c r="C897" s="58">
        <v>98.670919754294829</v>
      </c>
      <c r="D897" s="58">
        <v>98.728026488984312</v>
      </c>
      <c r="E897" s="58">
        <v>4359019.6734867143</v>
      </c>
      <c r="F897" s="58" t="s">
        <v>844</v>
      </c>
      <c r="G897" s="25">
        <f t="shared" si="13"/>
        <v>1.4460618914486911E-3</v>
      </c>
    </row>
    <row r="898" spans="1:7">
      <c r="A898" s="58">
        <v>98.861275536593084</v>
      </c>
      <c r="B898" s="58">
        <v>99.165844788270263</v>
      </c>
      <c r="C898" s="58">
        <v>97.97612114890623</v>
      </c>
      <c r="D898" s="58">
        <v>98.528152917571148</v>
      </c>
      <c r="E898" s="58">
        <v>4131145.3243270027</v>
      </c>
      <c r="F898" s="58" t="s">
        <v>845</v>
      </c>
      <c r="G898" s="25">
        <f t="shared" si="13"/>
        <v>3.380989180834737E-3</v>
      </c>
    </row>
    <row r="899" spans="1:7">
      <c r="A899" s="58">
        <v>97.614445162539582</v>
      </c>
      <c r="B899" s="58">
        <v>98.118887985629925</v>
      </c>
      <c r="C899" s="58">
        <v>96.653148461933441</v>
      </c>
      <c r="D899" s="58">
        <v>97.719140842803611</v>
      </c>
      <c r="E899" s="58">
        <v>3504925.3137720646</v>
      </c>
      <c r="F899" s="58" t="s">
        <v>846</v>
      </c>
      <c r="G899" s="25">
        <f t="shared" ref="G899:G962" si="14">A899/D899-1</f>
        <v>-1.0713937859160305E-3</v>
      </c>
    </row>
    <row r="900" spans="1:7">
      <c r="A900" s="58">
        <v>98.61381301960536</v>
      </c>
      <c r="B900" s="58">
        <v>100.22231938002551</v>
      </c>
      <c r="C900" s="58">
        <v>98.275931506025969</v>
      </c>
      <c r="D900" s="58">
        <v>99.213433733844823</v>
      </c>
      <c r="E900" s="58">
        <v>3459682.6639506547</v>
      </c>
      <c r="F900" s="58" t="s">
        <v>847</v>
      </c>
      <c r="G900" s="25">
        <f t="shared" si="14"/>
        <v>-6.0437452033768047E-3</v>
      </c>
    </row>
    <row r="901" spans="1:7">
      <c r="A901" s="58">
        <v>98.166476931204485</v>
      </c>
      <c r="B901" s="58">
        <v>99.441860672602729</v>
      </c>
      <c r="C901" s="58">
        <v>97.443124958471145</v>
      </c>
      <c r="D901" s="58">
        <v>98.46152839376677</v>
      </c>
      <c r="E901" s="58">
        <v>5529585.6384905279</v>
      </c>
      <c r="F901" s="58" t="s">
        <v>848</v>
      </c>
      <c r="G901" s="25">
        <f t="shared" si="14"/>
        <v>-2.9966167230546237E-3</v>
      </c>
    </row>
    <row r="902" spans="1:7">
      <c r="A902" s="58">
        <v>97.090966761219406</v>
      </c>
      <c r="B902" s="58">
        <v>99.280058257649216</v>
      </c>
      <c r="C902" s="58">
        <v>97.071931182989573</v>
      </c>
      <c r="D902" s="58">
        <v>98.670919754294829</v>
      </c>
      <c r="E902" s="58">
        <v>5852492.561820521</v>
      </c>
      <c r="F902" s="58" t="s">
        <v>849</v>
      </c>
      <c r="G902" s="25">
        <f t="shared" si="14"/>
        <v>-1.6012346869875516E-2</v>
      </c>
    </row>
    <row r="903" spans="1:7">
      <c r="A903" s="58">
        <v>99.070666897121143</v>
      </c>
      <c r="B903" s="58">
        <v>100.80290451603516</v>
      </c>
      <c r="C903" s="58">
        <v>98.918382271282553</v>
      </c>
      <c r="D903" s="58">
        <v>99.594145298441319</v>
      </c>
      <c r="E903" s="58">
        <v>7466953.6319785919</v>
      </c>
      <c r="F903" s="58" t="s">
        <v>850</v>
      </c>
      <c r="G903" s="25">
        <f t="shared" si="14"/>
        <v>-5.2561162079510781E-3</v>
      </c>
    </row>
    <row r="904" spans="1:7">
      <c r="A904" s="58">
        <v>99.203915944729914</v>
      </c>
      <c r="B904" s="58">
        <v>99.403789516143064</v>
      </c>
      <c r="C904" s="58">
        <v>97.214698019713268</v>
      </c>
      <c r="D904" s="58">
        <v>98.061781250940456</v>
      </c>
      <c r="E904" s="58">
        <v>6206759.7092946228</v>
      </c>
      <c r="F904" s="58" t="s">
        <v>851</v>
      </c>
      <c r="G904" s="25">
        <f t="shared" si="14"/>
        <v>1.1647093079685478E-2</v>
      </c>
    </row>
    <row r="905" spans="1:7">
      <c r="A905" s="58">
        <v>94.66393053691678</v>
      </c>
      <c r="B905" s="58">
        <v>96.389791237123831</v>
      </c>
      <c r="C905" s="58">
        <v>94.46405696550363</v>
      </c>
      <c r="D905" s="58">
        <v>95.092231047087836</v>
      </c>
      <c r="E905" s="58">
        <v>5610079.1218773015</v>
      </c>
      <c r="F905" s="58" t="s">
        <v>852</v>
      </c>
      <c r="G905" s="25">
        <f t="shared" si="14"/>
        <v>-4.5040536482835458E-3</v>
      </c>
    </row>
    <row r="906" spans="1:7">
      <c r="A906" s="58">
        <v>94.835250740985217</v>
      </c>
      <c r="B906" s="58">
        <v>95.425353666109771</v>
      </c>
      <c r="C906" s="58">
        <v>94.178523292056269</v>
      </c>
      <c r="D906" s="58">
        <v>95.082713257972941</v>
      </c>
      <c r="E906" s="58">
        <v>5997471.6093009952</v>
      </c>
      <c r="F906" s="58" t="s">
        <v>853</v>
      </c>
      <c r="G906" s="25">
        <f t="shared" si="14"/>
        <v>-2.6026026026026994E-3</v>
      </c>
    </row>
    <row r="907" spans="1:7">
      <c r="A907" s="58">
        <v>94.702001693376445</v>
      </c>
      <c r="B907" s="58">
        <v>95.215962305581712</v>
      </c>
      <c r="C907" s="58">
        <v>93.39806458463346</v>
      </c>
      <c r="D907" s="58">
        <v>94.01672087710277</v>
      </c>
      <c r="E907" s="58">
        <v>5152176.5620095199</v>
      </c>
      <c r="F907" s="58" t="s">
        <v>854</v>
      </c>
      <c r="G907" s="25">
        <f t="shared" si="14"/>
        <v>7.2889248835796838E-3</v>
      </c>
    </row>
    <row r="908" spans="1:7">
      <c r="A908" s="58">
        <v>93.34095784994399</v>
      </c>
      <c r="B908" s="58">
        <v>93.493242475782594</v>
      </c>
      <c r="C908" s="58">
        <v>91.515065186139239</v>
      </c>
      <c r="D908" s="58">
        <v>93.112530911186099</v>
      </c>
      <c r="E908" s="58">
        <v>5151223.6096073929</v>
      </c>
      <c r="F908" s="58" t="s">
        <v>855</v>
      </c>
      <c r="G908" s="25">
        <f t="shared" si="14"/>
        <v>2.4532352039252636E-3</v>
      </c>
    </row>
    <row r="909" spans="1:7">
      <c r="A909" s="58">
        <v>91.799076013328218</v>
      </c>
      <c r="B909" s="58">
        <v>92.332072203763303</v>
      </c>
      <c r="C909" s="58">
        <v>90.752119210687866</v>
      </c>
      <c r="D909" s="58">
        <v>92.141716421465063</v>
      </c>
      <c r="E909" s="58">
        <v>5120361.4002798321</v>
      </c>
      <c r="F909" s="58" t="s">
        <v>856</v>
      </c>
      <c r="G909" s="25">
        <f t="shared" si="14"/>
        <v>-3.7186241090797489E-3</v>
      </c>
    </row>
    <row r="910" spans="1:7">
      <c r="A910" s="58">
        <v>93.312404482599263</v>
      </c>
      <c r="B910" s="58">
        <v>96.348579210256261</v>
      </c>
      <c r="C910" s="58">
        <v>93.29336890436943</v>
      </c>
      <c r="D910" s="58">
        <v>93.96913193152821</v>
      </c>
      <c r="E910" s="58">
        <v>5460168.2567831697</v>
      </c>
      <c r="F910" s="58" t="s">
        <v>857</v>
      </c>
      <c r="G910" s="25">
        <f t="shared" si="14"/>
        <v>-6.9887572166514866E-3</v>
      </c>
    </row>
    <row r="911" spans="1:7">
      <c r="A911" s="58">
        <v>94.521163700193114</v>
      </c>
      <c r="B911" s="58">
        <v>95.479985775629373</v>
      </c>
      <c r="C911" s="58">
        <v>93.883471829493999</v>
      </c>
      <c r="D911" s="58">
        <v>94.816215162755398</v>
      </c>
      <c r="E911" s="58">
        <v>5515390.1148905866</v>
      </c>
      <c r="F911" s="58" t="s">
        <v>858</v>
      </c>
      <c r="G911" s="25">
        <f t="shared" si="14"/>
        <v>-3.1118249347521498E-3</v>
      </c>
    </row>
    <row r="912" spans="1:7">
      <c r="A912" s="58">
        <v>94.16900550294136</v>
      </c>
      <c r="B912" s="58">
        <v>94.702001693376445</v>
      </c>
      <c r="C912" s="58">
        <v>93.417100162863292</v>
      </c>
      <c r="D912" s="58">
        <v>94.349843496124691</v>
      </c>
      <c r="E912" s="58">
        <v>6183834.2171067223</v>
      </c>
      <c r="F912" s="58" t="s">
        <v>859</v>
      </c>
      <c r="G912" s="25">
        <f t="shared" si="14"/>
        <v>-1.9166750731363091E-3</v>
      </c>
    </row>
    <row r="913" spans="1:7">
      <c r="A913" s="58">
        <v>94.692483904261522</v>
      </c>
      <c r="B913" s="58">
        <v>95.196926727351865</v>
      </c>
      <c r="C913" s="58">
        <v>92.512910196946635</v>
      </c>
      <c r="D913" s="58">
        <v>92.627123666325573</v>
      </c>
      <c r="E913" s="58">
        <v>6060557.6887203483</v>
      </c>
      <c r="F913" s="58" t="s">
        <v>860</v>
      </c>
      <c r="G913" s="25">
        <f t="shared" si="14"/>
        <v>2.2297575010275406E-2</v>
      </c>
    </row>
    <row r="914" spans="1:7">
      <c r="A914" s="58">
        <v>92.255929890844016</v>
      </c>
      <c r="B914" s="58">
        <v>93.912025196838727</v>
      </c>
      <c r="C914" s="58">
        <v>92.103645265005412</v>
      </c>
      <c r="D914" s="58">
        <v>93.912025196838727</v>
      </c>
      <c r="E914" s="58">
        <v>6945062.4721694877</v>
      </c>
      <c r="F914" s="58" t="s">
        <v>861</v>
      </c>
      <c r="G914" s="25">
        <f t="shared" si="14"/>
        <v>-1.7634539373669655E-2</v>
      </c>
    </row>
    <row r="915" spans="1:7">
      <c r="A915" s="58">
        <v>93.674080468965926</v>
      </c>
      <c r="B915" s="58">
        <v>94.718562646436382</v>
      </c>
      <c r="C915" s="58">
        <v>93.160119856760659</v>
      </c>
      <c r="D915" s="58">
        <v>93.359993428173823</v>
      </c>
      <c r="E915" s="58">
        <v>8710899.0332745742</v>
      </c>
      <c r="F915" s="58" t="s">
        <v>862</v>
      </c>
      <c r="G915" s="25">
        <f t="shared" si="14"/>
        <v>3.3642573147110166E-3</v>
      </c>
    </row>
    <row r="916" spans="1:7">
      <c r="A916" s="58">
        <v>93.226744380565052</v>
      </c>
      <c r="B916" s="58">
        <v>94.130934346481709</v>
      </c>
      <c r="C916" s="58">
        <v>92.950728496232585</v>
      </c>
      <c r="D916" s="58">
        <v>93.34095784994399</v>
      </c>
      <c r="E916" s="58">
        <v>7474876.6904840441</v>
      </c>
      <c r="F916" s="58" t="s">
        <v>863</v>
      </c>
      <c r="G916" s="25">
        <f t="shared" si="14"/>
        <v>-1.2236157846435836E-3</v>
      </c>
    </row>
    <row r="917" spans="1:7">
      <c r="A917" s="58">
        <v>93.550349210472064</v>
      </c>
      <c r="B917" s="58">
        <v>93.740704992770304</v>
      </c>
      <c r="C917" s="58">
        <v>91.275597612008056</v>
      </c>
      <c r="D917" s="58">
        <v>91.418364448731722</v>
      </c>
      <c r="E917" s="58">
        <v>8529406.2538964786</v>
      </c>
      <c r="F917" s="58" t="s">
        <v>864</v>
      </c>
      <c r="G917" s="25">
        <f t="shared" si="14"/>
        <v>2.3321186881832379E-2</v>
      </c>
    </row>
    <row r="918" spans="1:7">
      <c r="A918" s="58">
        <v>90.476103326355428</v>
      </c>
      <c r="B918" s="58">
        <v>90.913921625641379</v>
      </c>
      <c r="C918" s="58">
        <v>88.75338349655631</v>
      </c>
      <c r="D918" s="58">
        <v>89.800340299196648</v>
      </c>
      <c r="E918" s="58">
        <v>10358512.760650657</v>
      </c>
      <c r="F918" s="58" t="s">
        <v>865</v>
      </c>
      <c r="G918" s="25">
        <f t="shared" si="14"/>
        <v>7.5251722310547553E-3</v>
      </c>
    </row>
    <row r="919" spans="1:7">
      <c r="A919" s="58">
        <v>90.618870163079094</v>
      </c>
      <c r="B919" s="58">
        <v>93.026870809151887</v>
      </c>
      <c r="C919" s="58">
        <v>90.428514380780868</v>
      </c>
      <c r="D919" s="58">
        <v>91.865700537132597</v>
      </c>
      <c r="E919" s="58">
        <v>13292158.343977658</v>
      </c>
      <c r="F919" s="58" t="s">
        <v>866</v>
      </c>
      <c r="G919" s="25">
        <f t="shared" si="14"/>
        <v>-1.3572316618317481E-2</v>
      </c>
    </row>
    <row r="920" spans="1:7">
      <c r="A920" s="58">
        <v>93.379029006403641</v>
      </c>
      <c r="B920" s="58">
        <v>96.291472475566778</v>
      </c>
      <c r="C920" s="58">
        <v>91.675344754834356</v>
      </c>
      <c r="D920" s="58">
        <v>96.129670060613279</v>
      </c>
      <c r="E920" s="58">
        <v>19463711.347602054</v>
      </c>
      <c r="F920" s="58" t="s">
        <v>867</v>
      </c>
      <c r="G920" s="25">
        <f t="shared" si="14"/>
        <v>-2.861386138613875E-2</v>
      </c>
    </row>
    <row r="921" spans="1:7">
      <c r="A921" s="58">
        <v>99.917750128348331</v>
      </c>
      <c r="B921" s="58">
        <v>101.52149759421104</v>
      </c>
      <c r="C921" s="58">
        <v>99.613180876671137</v>
      </c>
      <c r="D921" s="58">
        <v>100.70772662488605</v>
      </c>
      <c r="E921" s="58">
        <v>9397010.0535081048</v>
      </c>
      <c r="F921" s="58" t="s">
        <v>868</v>
      </c>
      <c r="G921" s="25">
        <f t="shared" si="14"/>
        <v>-7.8442491257915137E-3</v>
      </c>
    </row>
    <row r="922" spans="1:7">
      <c r="A922" s="58">
        <v>98.528152917571148</v>
      </c>
      <c r="B922" s="58">
        <v>98.937417849512372</v>
      </c>
      <c r="C922" s="58">
        <v>96.957717713610634</v>
      </c>
      <c r="D922" s="58">
        <v>97.195662441483449</v>
      </c>
      <c r="E922" s="58">
        <v>7686480.4543081988</v>
      </c>
      <c r="F922" s="58" t="s">
        <v>869</v>
      </c>
      <c r="G922" s="25">
        <f t="shared" si="14"/>
        <v>1.3709361535448439E-2</v>
      </c>
    </row>
    <row r="923" spans="1:7">
      <c r="A923" s="58">
        <v>96.044009958579053</v>
      </c>
      <c r="B923" s="58">
        <v>98.908864482167644</v>
      </c>
      <c r="C923" s="58">
        <v>95.929796489200115</v>
      </c>
      <c r="D923" s="58">
        <v>98.204548087664136</v>
      </c>
      <c r="E923" s="58">
        <v>6395720.6095925895</v>
      </c>
      <c r="F923" s="58" t="s">
        <v>870</v>
      </c>
      <c r="G923" s="25">
        <f t="shared" si="14"/>
        <v>-2.2000387672029609E-2</v>
      </c>
    </row>
    <row r="924" spans="1:7">
      <c r="A924" s="58">
        <v>97.528785060505371</v>
      </c>
      <c r="B924" s="58">
        <v>98.109370196515016</v>
      </c>
      <c r="C924" s="58">
        <v>92.969764074462432</v>
      </c>
      <c r="D924" s="58">
        <v>93.207708802335233</v>
      </c>
      <c r="E924" s="58">
        <v>6567572.494547396</v>
      </c>
      <c r="F924" s="58" t="s">
        <v>871</v>
      </c>
      <c r="G924" s="25">
        <f t="shared" si="14"/>
        <v>4.6359644644133446E-2</v>
      </c>
    </row>
    <row r="925" spans="1:7">
      <c r="A925" s="58">
        <v>94.806697373640432</v>
      </c>
      <c r="B925" s="58">
        <v>96.540273075016941</v>
      </c>
      <c r="C925" s="58">
        <v>94.787751191111724</v>
      </c>
      <c r="D925" s="58">
        <v>95.915049051569682</v>
      </c>
      <c r="E925" s="58">
        <v>4334705.4149600714</v>
      </c>
      <c r="F925" s="58" t="s">
        <v>872</v>
      </c>
      <c r="G925" s="25">
        <f t="shared" si="14"/>
        <v>-1.1555555555555541E-2</v>
      </c>
    </row>
    <row r="926" spans="1:7">
      <c r="A926" s="58">
        <v>96.388703614787303</v>
      </c>
      <c r="B926" s="58">
        <v>97.336012741222561</v>
      </c>
      <c r="C926" s="58">
        <v>94.816170464904786</v>
      </c>
      <c r="D926" s="58">
        <v>95.536125400995573</v>
      </c>
      <c r="E926" s="58">
        <v>5599818.3190337438</v>
      </c>
      <c r="F926" s="58" t="s">
        <v>873</v>
      </c>
      <c r="G926" s="25">
        <f t="shared" si="14"/>
        <v>8.9241447694596854E-3</v>
      </c>
    </row>
    <row r="927" spans="1:7">
      <c r="A927" s="58">
        <v>95.801371956397446</v>
      </c>
      <c r="B927" s="58">
        <v>96.928669816855404</v>
      </c>
      <c r="C927" s="58">
        <v>95.034051563984889</v>
      </c>
      <c r="D927" s="58">
        <v>96.739207991568364</v>
      </c>
      <c r="E927" s="58">
        <v>4269756.1832013456</v>
      </c>
      <c r="F927" s="58" t="s">
        <v>874</v>
      </c>
      <c r="G927" s="25">
        <f t="shared" si="14"/>
        <v>-9.6944770857815277E-3</v>
      </c>
    </row>
    <row r="928" spans="1:7">
      <c r="A928" s="58">
        <v>96.42659597984472</v>
      </c>
      <c r="B928" s="58">
        <v>99.552716097081074</v>
      </c>
      <c r="C928" s="58">
        <v>95.716114135018287</v>
      </c>
      <c r="D928" s="58">
        <v>97.09918545961375</v>
      </c>
      <c r="E928" s="58">
        <v>8957955.5006852057</v>
      </c>
      <c r="F928" s="58" t="s">
        <v>875</v>
      </c>
      <c r="G928" s="25">
        <f t="shared" si="14"/>
        <v>-6.9268292682926891E-3</v>
      </c>
    </row>
    <row r="929" spans="1:7">
      <c r="A929" s="58">
        <v>97.051820003291994</v>
      </c>
      <c r="B929" s="58">
        <v>97.76703839375061</v>
      </c>
      <c r="C929" s="58">
        <v>96.511853801223893</v>
      </c>
      <c r="D929" s="58">
        <v>97.440216745130442</v>
      </c>
      <c r="E929" s="58">
        <v>6701353.1516249692</v>
      </c>
      <c r="F929" s="58" t="s">
        <v>876</v>
      </c>
      <c r="G929" s="25">
        <f t="shared" si="14"/>
        <v>-3.9860003888779749E-3</v>
      </c>
    </row>
    <row r="930" spans="1:7">
      <c r="A930" s="58">
        <v>97.932817490876772</v>
      </c>
      <c r="B930" s="58">
        <v>98.482256784209213</v>
      </c>
      <c r="C930" s="58">
        <v>96.549746166281309</v>
      </c>
      <c r="D930" s="58">
        <v>96.78657344789012</v>
      </c>
      <c r="E930" s="58">
        <v>4014900.6209959071</v>
      </c>
      <c r="F930" s="58" t="s">
        <v>877</v>
      </c>
      <c r="G930" s="25">
        <f t="shared" si="14"/>
        <v>1.1843006753450069E-2</v>
      </c>
    </row>
    <row r="931" spans="1:7">
      <c r="A931" s="58">
        <v>97.648624752946205</v>
      </c>
      <c r="B931" s="58">
        <v>97.77177493938278</v>
      </c>
      <c r="C931" s="58">
        <v>95.242459571800651</v>
      </c>
      <c r="D931" s="58">
        <v>95.431921397087692</v>
      </c>
      <c r="E931" s="58">
        <v>6028410.1996248448</v>
      </c>
      <c r="F931" s="58" t="s">
        <v>878</v>
      </c>
      <c r="G931" s="25">
        <f t="shared" si="14"/>
        <v>2.3228111971411725E-2</v>
      </c>
    </row>
    <row r="932" spans="1:7">
      <c r="A932" s="58">
        <v>94.276204262836686</v>
      </c>
      <c r="B932" s="58">
        <v>94.910901377548313</v>
      </c>
      <c r="C932" s="58">
        <v>92.267908914793949</v>
      </c>
      <c r="D932" s="58">
        <v>92.646832565368044</v>
      </c>
      <c r="E932" s="58">
        <v>5085532.1304974854</v>
      </c>
      <c r="F932" s="58" t="s">
        <v>879</v>
      </c>
      <c r="G932" s="25">
        <f t="shared" si="14"/>
        <v>1.7586912065439719E-2</v>
      </c>
    </row>
    <row r="933" spans="1:7">
      <c r="A933" s="58">
        <v>91.661631073875384</v>
      </c>
      <c r="B933" s="58">
        <v>94.257258080307977</v>
      </c>
      <c r="C933" s="58">
        <v>91.576373252496211</v>
      </c>
      <c r="D933" s="58">
        <v>93.508883870424128</v>
      </c>
      <c r="E933" s="58">
        <v>7102811.3339514667</v>
      </c>
      <c r="F933" s="58" t="s">
        <v>880</v>
      </c>
      <c r="G933" s="25">
        <f t="shared" si="14"/>
        <v>-1.9754837402492065E-2</v>
      </c>
    </row>
    <row r="934" spans="1:7">
      <c r="A934" s="58">
        <v>93.111014037321326</v>
      </c>
      <c r="B934" s="58">
        <v>93.954119159848702</v>
      </c>
      <c r="C934" s="58">
        <v>92.405268738127063</v>
      </c>
      <c r="D934" s="58">
        <v>93.641507148125058</v>
      </c>
      <c r="E934" s="58">
        <v>7071553.321995616</v>
      </c>
      <c r="F934" s="58" t="s">
        <v>881</v>
      </c>
      <c r="G934" s="25">
        <f t="shared" si="14"/>
        <v>-5.6651492159837114E-3</v>
      </c>
    </row>
    <row r="935" spans="1:7">
      <c r="A935" s="58">
        <v>93.518356961688482</v>
      </c>
      <c r="B935" s="58">
        <v>94.034640435595705</v>
      </c>
      <c r="C935" s="58">
        <v>92.428951466287927</v>
      </c>
      <c r="D935" s="58">
        <v>92.902606029505563</v>
      </c>
      <c r="E935" s="58">
        <v>7607736.2699118415</v>
      </c>
      <c r="F935" s="58" t="s">
        <v>882</v>
      </c>
      <c r="G935" s="25">
        <f t="shared" si="14"/>
        <v>6.6279188334863459E-3</v>
      </c>
    </row>
    <row r="936" spans="1:7">
      <c r="A936" s="58">
        <v>93.148906402378728</v>
      </c>
      <c r="B936" s="58">
        <v>95.422448305823352</v>
      </c>
      <c r="C936" s="58">
        <v>92.751036569275925</v>
      </c>
      <c r="D936" s="58">
        <v>94.967739925134424</v>
      </c>
      <c r="E936" s="58">
        <v>6732490.8227155013</v>
      </c>
      <c r="F936" s="58" t="s">
        <v>883</v>
      </c>
      <c r="G936" s="25">
        <f t="shared" si="14"/>
        <v>-1.9152119700748149E-2</v>
      </c>
    </row>
    <row r="937" spans="1:7">
      <c r="A937" s="58">
        <v>94.579343183295975</v>
      </c>
      <c r="B937" s="58">
        <v>95.346663575708533</v>
      </c>
      <c r="C937" s="58">
        <v>94.029903889963521</v>
      </c>
      <c r="D937" s="58">
        <v>94.901428286283959</v>
      </c>
      <c r="E937" s="58">
        <v>6373616.4167659925</v>
      </c>
      <c r="F937" s="58" t="s">
        <v>884</v>
      </c>
      <c r="G937" s="25">
        <f t="shared" si="14"/>
        <v>-3.3938909962067942E-3</v>
      </c>
    </row>
    <row r="938" spans="1:7">
      <c r="A938" s="58">
        <v>95.375082849501595</v>
      </c>
      <c r="B938" s="58">
        <v>95.56928122042082</v>
      </c>
      <c r="C938" s="58">
        <v>93.603614783067655</v>
      </c>
      <c r="D938" s="58">
        <v>95.100363202835368</v>
      </c>
      <c r="E938" s="58">
        <v>6560253.4870381998</v>
      </c>
      <c r="F938" s="58" t="s">
        <v>885</v>
      </c>
      <c r="G938" s="25">
        <f t="shared" si="14"/>
        <v>2.8887339376433285E-3</v>
      </c>
    </row>
    <row r="939" spans="1:7">
      <c r="A939" s="58">
        <v>95.744533408811336</v>
      </c>
      <c r="B939" s="58">
        <v>96.464488344902122</v>
      </c>
      <c r="C939" s="58">
        <v>94.586921656307453</v>
      </c>
      <c r="D939" s="58">
        <v>94.77827809984737</v>
      </c>
      <c r="E939" s="58">
        <v>5877242.0159730362</v>
      </c>
      <c r="F939" s="58" t="s">
        <v>886</v>
      </c>
      <c r="G939" s="25">
        <f t="shared" si="14"/>
        <v>1.0194902548725793E-2</v>
      </c>
    </row>
    <row r="940" spans="1:7">
      <c r="A940" s="58">
        <v>95.346663575708533</v>
      </c>
      <c r="B940" s="58">
        <v>98.44436441915181</v>
      </c>
      <c r="C940" s="58">
        <v>95.31824430191547</v>
      </c>
      <c r="D940" s="58">
        <v>97.449689836394796</v>
      </c>
      <c r="E940" s="58">
        <v>4983232.8943815297</v>
      </c>
      <c r="F940" s="58" t="s">
        <v>887</v>
      </c>
      <c r="G940" s="25">
        <f t="shared" si="14"/>
        <v>-2.1580635753864041E-2</v>
      </c>
    </row>
    <row r="941" spans="1:7">
      <c r="A941" s="58">
        <v>96.91919672559105</v>
      </c>
      <c r="B941" s="58">
        <v>97.601259296624434</v>
      </c>
      <c r="C941" s="58">
        <v>95.896102869040973</v>
      </c>
      <c r="D941" s="58">
        <v>97.373905106279977</v>
      </c>
      <c r="E941" s="58">
        <v>4874021.4478610987</v>
      </c>
      <c r="F941" s="58" t="s">
        <v>888</v>
      </c>
      <c r="G941" s="25">
        <f t="shared" si="14"/>
        <v>-4.6697149528164283E-3</v>
      </c>
    </row>
    <row r="942" spans="1:7">
      <c r="A942" s="58">
        <v>98.605406970645817</v>
      </c>
      <c r="B942" s="58">
        <v>98.624353153174511</v>
      </c>
      <c r="C942" s="58">
        <v>96.862358178004939</v>
      </c>
      <c r="D942" s="58">
        <v>97.809667304440197</v>
      </c>
      <c r="E942" s="58">
        <v>4028507.5837499821</v>
      </c>
      <c r="F942" s="58" t="s">
        <v>889</v>
      </c>
      <c r="G942" s="25">
        <f t="shared" si="14"/>
        <v>8.1355932203390768E-3</v>
      </c>
    </row>
    <row r="943" spans="1:7">
      <c r="A943" s="58">
        <v>98.520149149266629</v>
      </c>
      <c r="B943" s="58">
        <v>99.467458275701887</v>
      </c>
      <c r="C943" s="58">
        <v>97.961236764669835</v>
      </c>
      <c r="D943" s="58">
        <v>99.263786813518308</v>
      </c>
      <c r="E943" s="58">
        <v>9393113.3477875832</v>
      </c>
      <c r="F943" s="58" t="s">
        <v>890</v>
      </c>
      <c r="G943" s="25">
        <f t="shared" si="14"/>
        <v>-7.4915302762800229E-3</v>
      </c>
    </row>
    <row r="944" spans="1:7">
      <c r="A944" s="58">
        <v>99.524296823288012</v>
      </c>
      <c r="B944" s="58">
        <v>101.43786125868722</v>
      </c>
      <c r="C944" s="58">
        <v>99.334834998000957</v>
      </c>
      <c r="D944" s="58">
        <v>100.47160594972327</v>
      </c>
      <c r="E944" s="58">
        <v>4472683.6063999208</v>
      </c>
      <c r="F944" s="58" t="s">
        <v>891</v>
      </c>
      <c r="G944" s="25">
        <f t="shared" si="14"/>
        <v>-9.4286253064302938E-3</v>
      </c>
    </row>
    <row r="945" spans="1:7">
      <c r="A945" s="58">
        <v>100.2063593943214</v>
      </c>
      <c r="B945" s="58">
        <v>101.15840506638882</v>
      </c>
      <c r="C945" s="58">
        <v>99.476931366966255</v>
      </c>
      <c r="D945" s="58">
        <v>100.34845576328668</v>
      </c>
      <c r="E945" s="58">
        <v>3445831.8925771443</v>
      </c>
      <c r="F945" s="58" t="s">
        <v>892</v>
      </c>
      <c r="G945" s="25">
        <f t="shared" si="14"/>
        <v>-1.4160294534125706E-3</v>
      </c>
    </row>
    <row r="946" spans="1:7">
      <c r="A946" s="58">
        <v>100.26319794190751</v>
      </c>
      <c r="B946" s="58">
        <v>101.91151582190486</v>
      </c>
      <c r="C946" s="58">
        <v>100.01689756903434</v>
      </c>
      <c r="D946" s="58">
        <v>101.57048453638816</v>
      </c>
      <c r="E946" s="58">
        <v>5595602.1662610685</v>
      </c>
      <c r="F946" s="58" t="s">
        <v>893</v>
      </c>
      <c r="G946" s="25">
        <f t="shared" si="14"/>
        <v>-1.2870733072188112E-2</v>
      </c>
    </row>
    <row r="947" spans="1:7">
      <c r="A947" s="58">
        <v>103.53141442810914</v>
      </c>
      <c r="B947" s="58">
        <v>103.88665535052236</v>
      </c>
      <c r="C947" s="58">
        <v>102.79251330948965</v>
      </c>
      <c r="D947" s="58">
        <v>103.04828677362715</v>
      </c>
      <c r="E947" s="58">
        <v>4600510.9402879328</v>
      </c>
      <c r="F947" s="58" t="s">
        <v>894</v>
      </c>
      <c r="G947" s="25">
        <f t="shared" si="14"/>
        <v>4.6883618312190123E-3</v>
      </c>
    </row>
    <row r="948" spans="1:7">
      <c r="A948" s="58">
        <v>102.76409403569659</v>
      </c>
      <c r="B948" s="58">
        <v>103.32300642029338</v>
      </c>
      <c r="C948" s="58">
        <v>101.39049580236546</v>
      </c>
      <c r="D948" s="58">
        <v>101.48522671500898</v>
      </c>
      <c r="E948" s="58">
        <v>6102750.2413649717</v>
      </c>
      <c r="F948" s="58" t="s">
        <v>895</v>
      </c>
      <c r="G948" s="25">
        <f t="shared" si="14"/>
        <v>1.2601512181461993E-2</v>
      </c>
    </row>
    <row r="949" spans="1:7">
      <c r="A949" s="58">
        <v>101.35260343730805</v>
      </c>
      <c r="B949" s="58">
        <v>101.90204273064049</v>
      </c>
      <c r="C949" s="58">
        <v>98.131752407428181</v>
      </c>
      <c r="D949" s="58">
        <v>98.169644772485583</v>
      </c>
      <c r="E949" s="58">
        <v>9184729.4164062459</v>
      </c>
      <c r="F949" s="58" t="s">
        <v>896</v>
      </c>
      <c r="G949" s="25">
        <f t="shared" si="14"/>
        <v>3.2423043520216188E-2</v>
      </c>
    </row>
    <row r="950" spans="1:7">
      <c r="A950" s="58">
        <v>99.183265537771319</v>
      </c>
      <c r="B950" s="58">
        <v>99.434302456276654</v>
      </c>
      <c r="C950" s="58">
        <v>97.326539649958207</v>
      </c>
      <c r="D950" s="58">
        <v>97.45916292765915</v>
      </c>
      <c r="E950" s="58">
        <v>5384587.6257887175</v>
      </c>
      <c r="F950" s="58" t="s">
        <v>897</v>
      </c>
      <c r="G950" s="25">
        <f t="shared" si="14"/>
        <v>1.7690513219284609E-2</v>
      </c>
    </row>
    <row r="951" spans="1:7">
      <c r="A951" s="58">
        <v>97.298120376165144</v>
      </c>
      <c r="B951" s="58">
        <v>98.453837510416179</v>
      </c>
      <c r="C951" s="58">
        <v>96.848148541108401</v>
      </c>
      <c r="D951" s="58">
        <v>97.09918545961375</v>
      </c>
      <c r="E951" s="58">
        <v>4930211.1313705379</v>
      </c>
      <c r="F951" s="58" t="s">
        <v>898</v>
      </c>
      <c r="G951" s="25">
        <f t="shared" si="14"/>
        <v>2.0487804878048799E-3</v>
      </c>
    </row>
    <row r="952" spans="1:7">
      <c r="A952" s="58">
        <v>97.09918545961375</v>
      </c>
      <c r="B952" s="58">
        <v>100.08320920788481</v>
      </c>
      <c r="C952" s="58">
        <v>96.60658471386742</v>
      </c>
      <c r="D952" s="58">
        <v>99.893747382597766</v>
      </c>
      <c r="E952" s="58">
        <v>4331502.65894798</v>
      </c>
      <c r="F952" s="58" t="s">
        <v>899</v>
      </c>
      <c r="G952" s="25">
        <f t="shared" si="14"/>
        <v>-2.7975343764817584E-2</v>
      </c>
    </row>
    <row r="953" spans="1:7">
      <c r="A953" s="58">
        <v>99.315888815472249</v>
      </c>
      <c r="B953" s="58">
        <v>99.372727363058374</v>
      </c>
      <c r="C953" s="58">
        <v>96.653950170189177</v>
      </c>
      <c r="D953" s="58">
        <v>96.966562181912821</v>
      </c>
      <c r="E953" s="58">
        <v>4642630.2431496549</v>
      </c>
      <c r="F953" s="58" t="s">
        <v>900</v>
      </c>
      <c r="G953" s="25">
        <f t="shared" si="14"/>
        <v>2.4228214146150728E-2</v>
      </c>
    </row>
    <row r="954" spans="1:7">
      <c r="A954" s="58">
        <v>97.241281828579048</v>
      </c>
      <c r="B954" s="58">
        <v>98.5675146055884</v>
      </c>
      <c r="C954" s="58">
        <v>97.193916372257277</v>
      </c>
      <c r="D954" s="58">
        <v>97.544420749038323</v>
      </c>
      <c r="E954" s="58">
        <v>8023453.7891570386</v>
      </c>
      <c r="F954" s="58" t="s">
        <v>901</v>
      </c>
      <c r="G954" s="25">
        <f t="shared" si="14"/>
        <v>-3.1077012722151576E-3</v>
      </c>
    </row>
    <row r="955" spans="1:7">
      <c r="A955" s="58">
        <v>96.814992721683183</v>
      </c>
      <c r="B955" s="58">
        <v>97.307593467429513</v>
      </c>
      <c r="C955" s="58">
        <v>96.473961436166491</v>
      </c>
      <c r="D955" s="58">
        <v>97.032873820763285</v>
      </c>
      <c r="E955" s="58">
        <v>4887217.7738028131</v>
      </c>
      <c r="F955" s="58" t="s">
        <v>902</v>
      </c>
      <c r="G955" s="25">
        <f t="shared" si="14"/>
        <v>-2.2454359074489671E-3</v>
      </c>
    </row>
    <row r="956" spans="1:7">
      <c r="A956" s="58">
        <v>96.473961436166491</v>
      </c>
      <c r="B956" s="58">
        <v>97.203389463521631</v>
      </c>
      <c r="C956" s="58">
        <v>95.877156686512265</v>
      </c>
      <c r="D956" s="58">
        <v>96.151876333178492</v>
      </c>
      <c r="E956" s="58">
        <v>4465242.5295610167</v>
      </c>
      <c r="F956" s="58" t="s">
        <v>903</v>
      </c>
      <c r="G956" s="25">
        <f t="shared" si="14"/>
        <v>3.3497536945814588E-3</v>
      </c>
    </row>
    <row r="957" spans="1:7">
      <c r="A957" s="58">
        <v>96.530799983752601</v>
      </c>
      <c r="B957" s="58">
        <v>100.69896014006773</v>
      </c>
      <c r="C957" s="58">
        <v>96.275026519615068</v>
      </c>
      <c r="D957" s="58">
        <v>100.35792885455103</v>
      </c>
      <c r="E957" s="58">
        <v>5743286.7985483753</v>
      </c>
      <c r="F957" s="58" t="s">
        <v>904</v>
      </c>
      <c r="G957" s="25">
        <f t="shared" si="14"/>
        <v>-3.8134793279214652E-2</v>
      </c>
    </row>
    <row r="958" spans="1:7">
      <c r="A958" s="58">
        <v>100.31056339822926</v>
      </c>
      <c r="B958" s="58">
        <v>100.37687503707973</v>
      </c>
      <c r="C958" s="58">
        <v>99.041169168806022</v>
      </c>
      <c r="D958" s="58">
        <v>99.694812466046344</v>
      </c>
      <c r="E958" s="58">
        <v>5541152.1471906304</v>
      </c>
      <c r="F958" s="58" t="s">
        <v>905</v>
      </c>
      <c r="G958" s="25">
        <f t="shared" si="14"/>
        <v>6.1763587989358548E-3</v>
      </c>
    </row>
    <row r="959" spans="1:7">
      <c r="A959" s="58">
        <v>99.884274291333398</v>
      </c>
      <c r="B959" s="58">
        <v>100.57580995363114</v>
      </c>
      <c r="C959" s="58">
        <v>99.581135370874122</v>
      </c>
      <c r="D959" s="58">
        <v>100.32003648949363</v>
      </c>
      <c r="E959" s="58">
        <v>4516363.1180242905</v>
      </c>
      <c r="F959" s="58" t="s">
        <v>906</v>
      </c>
      <c r="G959" s="25">
        <f t="shared" si="14"/>
        <v>-4.3437204910293792E-3</v>
      </c>
    </row>
    <row r="960" spans="1:7">
      <c r="A960" s="58">
        <v>100.4242404934015</v>
      </c>
      <c r="B960" s="58">
        <v>101.23892634213583</v>
      </c>
      <c r="C960" s="58">
        <v>99.960059021448217</v>
      </c>
      <c r="D960" s="58">
        <v>101.19156088581406</v>
      </c>
      <c r="E960" s="58">
        <v>4436828.3622645512</v>
      </c>
      <c r="F960" s="58" t="s">
        <v>907</v>
      </c>
      <c r="G960" s="25">
        <f t="shared" si="14"/>
        <v>-7.5828496536228807E-3</v>
      </c>
    </row>
    <row r="961" spans="1:7">
      <c r="A961" s="58">
        <v>101.78836563546827</v>
      </c>
      <c r="B961" s="58">
        <v>103.55036061063785</v>
      </c>
      <c r="C961" s="58">
        <v>101.25787252466452</v>
      </c>
      <c r="D961" s="58">
        <v>103.22827550764985</v>
      </c>
      <c r="E961" s="58">
        <v>3691263.9205307886</v>
      </c>
      <c r="F961" s="58" t="s">
        <v>908</v>
      </c>
      <c r="G961" s="25">
        <f t="shared" si="14"/>
        <v>-1.3948793245847413E-2</v>
      </c>
    </row>
    <row r="962" spans="1:7">
      <c r="A962" s="58">
        <v>104.26084245546429</v>
      </c>
      <c r="B962" s="58">
        <v>104.96185120902638</v>
      </c>
      <c r="C962" s="58">
        <v>103.63561843201703</v>
      </c>
      <c r="D962" s="58">
        <v>104.6587122885671</v>
      </c>
      <c r="E962" s="58">
        <v>5376040.2574861776</v>
      </c>
      <c r="F962" s="58" t="s">
        <v>909</v>
      </c>
      <c r="G962" s="25">
        <f t="shared" si="14"/>
        <v>-3.8015930485156835E-3</v>
      </c>
    </row>
    <row r="963" spans="1:7">
      <c r="A963" s="58">
        <v>104.16611154282076</v>
      </c>
      <c r="B963" s="58">
        <v>105.08500139546297</v>
      </c>
      <c r="C963" s="58">
        <v>103.05775986489152</v>
      </c>
      <c r="D963" s="58">
        <v>105.08500139546297</v>
      </c>
      <c r="E963" s="58">
        <v>4374196.2199740326</v>
      </c>
      <c r="F963" s="58" t="s">
        <v>910</v>
      </c>
      <c r="G963" s="25">
        <f t="shared" ref="G963:G1026" si="15">A963/D963-1</f>
        <v>-8.7442531326062944E-3</v>
      </c>
    </row>
    <row r="964" spans="1:7">
      <c r="A964" s="58">
        <v>104.72502392741757</v>
      </c>
      <c r="B964" s="58">
        <v>106.22177234718527</v>
      </c>
      <c r="C964" s="58">
        <v>104.55450828465922</v>
      </c>
      <c r="D964" s="58">
        <v>105.74811778396763</v>
      </c>
      <c r="E964" s="58">
        <v>3223377.5805480895</v>
      </c>
      <c r="F964" s="58" t="s">
        <v>911</v>
      </c>
      <c r="G964" s="25">
        <f t="shared" si="15"/>
        <v>-9.6748185971511358E-3</v>
      </c>
    </row>
    <row r="965" spans="1:7">
      <c r="A965" s="58">
        <v>106.12704143454174</v>
      </c>
      <c r="B965" s="58">
        <v>106.60069599775937</v>
      </c>
      <c r="C965" s="58">
        <v>105.55865595868059</v>
      </c>
      <c r="D965" s="58">
        <v>105.58707523247364</v>
      </c>
      <c r="E965" s="58">
        <v>3058650.9927369826</v>
      </c>
      <c r="F965" s="58" t="s">
        <v>912</v>
      </c>
      <c r="G965" s="25">
        <f t="shared" si="15"/>
        <v>5.1139422214248054E-3</v>
      </c>
    </row>
    <row r="966" spans="1:7">
      <c r="A966" s="58">
        <v>106.00389124810516</v>
      </c>
      <c r="B966" s="58">
        <v>106.39228798994361</v>
      </c>
      <c r="C966" s="58">
        <v>105.17025921684213</v>
      </c>
      <c r="D966" s="58">
        <v>105.44497886350835</v>
      </c>
      <c r="E966" s="58">
        <v>3113621.4332688455</v>
      </c>
      <c r="F966" s="58" t="s">
        <v>913</v>
      </c>
      <c r="G966" s="25">
        <f t="shared" si="15"/>
        <v>5.3005120833709007E-3</v>
      </c>
    </row>
    <row r="967" spans="1:7">
      <c r="A967" s="58">
        <v>105.60602141500236</v>
      </c>
      <c r="B967" s="58">
        <v>105.65338687132412</v>
      </c>
      <c r="C967" s="58">
        <v>104.61608337787752</v>
      </c>
      <c r="D967" s="58">
        <v>105.01868975661249</v>
      </c>
      <c r="E967" s="58">
        <v>2969865.8246720489</v>
      </c>
      <c r="F967" s="58" t="s">
        <v>914</v>
      </c>
      <c r="G967" s="25">
        <f t="shared" si="15"/>
        <v>5.592639364965013E-3</v>
      </c>
    </row>
    <row r="968" spans="1:7">
      <c r="A968" s="58">
        <v>104.66818537983144</v>
      </c>
      <c r="B968" s="58">
        <v>106.222909118137</v>
      </c>
      <c r="C968" s="58">
        <v>104.57345446718793</v>
      </c>
      <c r="D968" s="58">
        <v>104.99974357408379</v>
      </c>
      <c r="E968" s="58">
        <v>3463995.9738889653</v>
      </c>
      <c r="F968" s="58" t="s">
        <v>915</v>
      </c>
      <c r="G968" s="25">
        <f t="shared" si="15"/>
        <v>-3.1577047997114471E-3</v>
      </c>
    </row>
    <row r="969" spans="1:7">
      <c r="A969" s="58">
        <v>104.45977737201569</v>
      </c>
      <c r="B969" s="58">
        <v>104.56398137592356</v>
      </c>
      <c r="C969" s="58">
        <v>103.44615660672997</v>
      </c>
      <c r="D969" s="58">
        <v>103.97664971753372</v>
      </c>
      <c r="E969" s="58">
        <v>4181171.5832452769</v>
      </c>
      <c r="F969" s="58" t="s">
        <v>916</v>
      </c>
      <c r="G969" s="25">
        <f t="shared" si="15"/>
        <v>4.6465014577259378E-3</v>
      </c>
    </row>
    <row r="970" spans="1:7">
      <c r="A970" s="58">
        <v>102.22412783362849</v>
      </c>
      <c r="B970" s="58">
        <v>103.06723295615586</v>
      </c>
      <c r="C970" s="58">
        <v>101.88309654811179</v>
      </c>
      <c r="D970" s="58">
        <v>102.39464347638683</v>
      </c>
      <c r="E970" s="58">
        <v>4162906.1622573975</v>
      </c>
      <c r="F970" s="58" t="s">
        <v>917</v>
      </c>
      <c r="G970" s="25">
        <f t="shared" si="15"/>
        <v>-1.6652789342215257E-3</v>
      </c>
    </row>
    <row r="971" spans="1:7">
      <c r="A971" s="58">
        <v>103.25669478144292</v>
      </c>
      <c r="B971" s="58">
        <v>104.18505772534947</v>
      </c>
      <c r="C971" s="58">
        <v>102.86829803960447</v>
      </c>
      <c r="D971" s="58">
        <v>104.00506899132678</v>
      </c>
      <c r="E971" s="58">
        <v>2410868.7821832034</v>
      </c>
      <c r="F971" s="58" t="s">
        <v>918</v>
      </c>
      <c r="G971" s="25">
        <f t="shared" si="15"/>
        <v>-7.1955551507424387E-3</v>
      </c>
    </row>
    <row r="972" spans="1:7">
      <c r="A972" s="58">
        <v>103.49352206305173</v>
      </c>
      <c r="B972" s="58">
        <v>103.55509715627002</v>
      </c>
      <c r="C972" s="58">
        <v>102.67883621431741</v>
      </c>
      <c r="D972" s="58">
        <v>103.01986749983411</v>
      </c>
      <c r="E972" s="58">
        <v>2944809.5897666393</v>
      </c>
      <c r="F972" s="58" t="s">
        <v>919</v>
      </c>
      <c r="G972" s="25">
        <f t="shared" si="15"/>
        <v>4.5977011494251485E-3</v>
      </c>
    </row>
    <row r="973" spans="1:7">
      <c r="A973" s="58">
        <v>103.9387573524763</v>
      </c>
      <c r="B973" s="58">
        <v>104.79133556626803</v>
      </c>
      <c r="C973" s="58">
        <v>103.80613407477536</v>
      </c>
      <c r="D973" s="58">
        <v>104.59240064971662</v>
      </c>
      <c r="E973" s="58">
        <v>2949532.4409196055</v>
      </c>
      <c r="F973" s="58" t="s">
        <v>920</v>
      </c>
      <c r="G973" s="25">
        <f t="shared" si="15"/>
        <v>-6.2494339280861899E-3</v>
      </c>
    </row>
    <row r="974" spans="1:7">
      <c r="A974" s="58">
        <v>103.83455334856842</v>
      </c>
      <c r="B974" s="58">
        <v>104.17558463408511</v>
      </c>
      <c r="C974" s="58">
        <v>102.56515911914518</v>
      </c>
      <c r="D974" s="58">
        <v>103.3608987853508</v>
      </c>
      <c r="E974" s="58">
        <v>4081212.6602732921</v>
      </c>
      <c r="F974" s="58" t="s">
        <v>921</v>
      </c>
      <c r="G974" s="25">
        <f t="shared" si="15"/>
        <v>4.5825313903400389E-3</v>
      </c>
    </row>
    <row r="975" spans="1:7">
      <c r="A975" s="58">
        <v>102.91566349592622</v>
      </c>
      <c r="B975" s="58">
        <v>105.0565821216699</v>
      </c>
      <c r="C975" s="58">
        <v>102.8209325832827</v>
      </c>
      <c r="D975" s="58">
        <v>103.84402643983277</v>
      </c>
      <c r="E975" s="58">
        <v>3265926.5214114338</v>
      </c>
      <c r="F975" s="58" t="s">
        <v>922</v>
      </c>
      <c r="G975" s="25">
        <f t="shared" si="15"/>
        <v>-8.9399744572158379E-3</v>
      </c>
    </row>
    <row r="976" spans="1:7">
      <c r="A976" s="58">
        <v>103.74929552718925</v>
      </c>
      <c r="B976" s="58">
        <v>104.10927299523465</v>
      </c>
      <c r="C976" s="58">
        <v>102.41358965891554</v>
      </c>
      <c r="D976" s="58">
        <v>102.66936312305306</v>
      </c>
      <c r="E976" s="58">
        <v>4087445.0503508761</v>
      </c>
      <c r="F976" s="58" t="s">
        <v>923</v>
      </c>
      <c r="G976" s="25">
        <f t="shared" si="15"/>
        <v>1.051854585716927E-2</v>
      </c>
    </row>
    <row r="977" spans="1:7">
      <c r="A977" s="58">
        <v>103.10512532121328</v>
      </c>
      <c r="B977" s="58">
        <v>104.0808537214416</v>
      </c>
      <c r="C977" s="58">
        <v>102.83514222017924</v>
      </c>
      <c r="D977" s="58">
        <v>104.04296135638418</v>
      </c>
      <c r="E977" s="58">
        <v>5196673.2533495259</v>
      </c>
      <c r="F977" s="58" t="s">
        <v>924</v>
      </c>
      <c r="G977" s="25">
        <f t="shared" si="15"/>
        <v>-9.013930620049182E-3</v>
      </c>
    </row>
    <row r="978" spans="1:7">
      <c r="A978" s="58">
        <v>104.54503519339487</v>
      </c>
      <c r="B978" s="58">
        <v>105.48287122856576</v>
      </c>
      <c r="C978" s="58">
        <v>102.8209325832827</v>
      </c>
      <c r="D978" s="58">
        <v>104.29873482052169</v>
      </c>
      <c r="E978" s="58">
        <v>4999513.7467132676</v>
      </c>
      <c r="F978" s="58" t="s">
        <v>925</v>
      </c>
      <c r="G978" s="25">
        <f t="shared" si="15"/>
        <v>2.3614895549501913E-3</v>
      </c>
    </row>
    <row r="979" spans="1:7">
      <c r="A979" s="58">
        <v>104.19453081661382</v>
      </c>
      <c r="B979" s="58">
        <v>104.81028174879674</v>
      </c>
      <c r="C979" s="58">
        <v>102.89671731339752</v>
      </c>
      <c r="D979" s="58">
        <v>103.61193570385613</v>
      </c>
      <c r="E979" s="58">
        <v>3487265.041382222</v>
      </c>
      <c r="F979" s="58" t="s">
        <v>926</v>
      </c>
      <c r="G979" s="25">
        <f t="shared" si="15"/>
        <v>5.6228571428571517E-3</v>
      </c>
    </row>
    <row r="980" spans="1:7">
      <c r="A980" s="58">
        <v>103.34195260282209</v>
      </c>
      <c r="B980" s="58">
        <v>104.08559026707377</v>
      </c>
      <c r="C980" s="58">
        <v>102.59357839293824</v>
      </c>
      <c r="D980" s="58">
        <v>102.98197513477669</v>
      </c>
      <c r="E980" s="58">
        <v>5092287.0532797454</v>
      </c>
      <c r="F980" s="58" t="s">
        <v>927</v>
      </c>
      <c r="G980" s="25">
        <f t="shared" si="15"/>
        <v>3.4955385889063884E-3</v>
      </c>
    </row>
    <row r="981" spans="1:7">
      <c r="A981" s="58">
        <v>102.78304021822528</v>
      </c>
      <c r="B981" s="58">
        <v>103.56930679316655</v>
      </c>
      <c r="C981" s="58">
        <v>101.80257527236481</v>
      </c>
      <c r="D981" s="58">
        <v>103.34195260282209</v>
      </c>
      <c r="E981" s="58">
        <v>4123076.5027016173</v>
      </c>
      <c r="F981" s="58" t="s">
        <v>928</v>
      </c>
      <c r="G981" s="25">
        <f t="shared" si="15"/>
        <v>-5.4083784031534465E-3</v>
      </c>
    </row>
    <row r="982" spans="1:7">
      <c r="A982" s="58">
        <v>103.44615660672997</v>
      </c>
      <c r="B982" s="58">
        <v>106.09862216074869</v>
      </c>
      <c r="C982" s="58">
        <v>102.62199766673129</v>
      </c>
      <c r="D982" s="58">
        <v>106.09862216074869</v>
      </c>
      <c r="E982" s="58">
        <v>4997269.4951372268</v>
      </c>
      <c r="F982" s="58" t="s">
        <v>929</v>
      </c>
      <c r="G982" s="25">
        <f t="shared" si="15"/>
        <v>-2.5000000000000022E-2</v>
      </c>
    </row>
    <row r="983" spans="1:7">
      <c r="A983" s="58">
        <v>104.8576472051185</v>
      </c>
      <c r="B983" s="58">
        <v>104.88606647891156</v>
      </c>
      <c r="C983" s="58">
        <v>102.69835078232198</v>
      </c>
      <c r="D983" s="58">
        <v>102.89671731339752</v>
      </c>
      <c r="E983" s="58">
        <v>6014964.7469794881</v>
      </c>
      <c r="F983" s="58" t="s">
        <v>930</v>
      </c>
      <c r="G983" s="25">
        <f t="shared" si="15"/>
        <v>1.9057263855643436E-2</v>
      </c>
    </row>
    <row r="984" spans="1:7">
      <c r="A984" s="58">
        <v>102.52726675408778</v>
      </c>
      <c r="B984" s="58">
        <v>103.08617913868456</v>
      </c>
      <c r="C984" s="58">
        <v>101.24839943340017</v>
      </c>
      <c r="D984" s="58">
        <v>101.35260343730805</v>
      </c>
      <c r="E984" s="58">
        <v>7706209.9332565963</v>
      </c>
      <c r="F984" s="58" t="s">
        <v>931</v>
      </c>
      <c r="G984" s="25">
        <f t="shared" si="15"/>
        <v>1.1589868211982601E-2</v>
      </c>
    </row>
    <row r="985" spans="1:7">
      <c r="A985" s="58">
        <v>104.13769226902771</v>
      </c>
      <c r="B985" s="58">
        <v>104.199267362246</v>
      </c>
      <c r="C985" s="58">
        <v>102.27149328995024</v>
      </c>
      <c r="D985" s="58">
        <v>102.71672857937483</v>
      </c>
      <c r="E985" s="58">
        <v>6110395.0531776184</v>
      </c>
      <c r="F985" s="58" t="s">
        <v>932</v>
      </c>
      <c r="G985" s="25">
        <f t="shared" si="15"/>
        <v>1.3833809831227395E-2</v>
      </c>
    </row>
    <row r="986" spans="1:7">
      <c r="A986" s="58">
        <v>101.38102271110111</v>
      </c>
      <c r="B986" s="58">
        <v>103.21406587075333</v>
      </c>
      <c r="C986" s="58">
        <v>101.07788379064183</v>
      </c>
      <c r="D986" s="58">
        <v>102.83987876581141</v>
      </c>
      <c r="E986" s="58">
        <v>4750181.1968530053</v>
      </c>
      <c r="F986" s="58" t="s">
        <v>933</v>
      </c>
      <c r="G986" s="25">
        <f t="shared" si="15"/>
        <v>-1.4185703758290313E-2</v>
      </c>
    </row>
    <row r="987" spans="1:7">
      <c r="A987" s="58">
        <v>103.08617913868456</v>
      </c>
      <c r="B987" s="58">
        <v>103.23774859891421</v>
      </c>
      <c r="C987" s="58">
        <v>101.60837690144558</v>
      </c>
      <c r="D987" s="58">
        <v>101.75047327041085</v>
      </c>
      <c r="E987" s="58">
        <v>4874742.4374313885</v>
      </c>
      <c r="F987" s="58" t="s">
        <v>934</v>
      </c>
      <c r="G987" s="25">
        <f t="shared" si="15"/>
        <v>1.312726934177455E-2</v>
      </c>
    </row>
    <row r="988" spans="1:7">
      <c r="A988" s="58">
        <v>100.14004775547092</v>
      </c>
      <c r="B988" s="58">
        <v>100.33898267202233</v>
      </c>
      <c r="C988" s="58">
        <v>98.292794958922173</v>
      </c>
      <c r="D988" s="58">
        <v>99.116953898920841</v>
      </c>
      <c r="E988" s="58">
        <v>5271363.7614693549</v>
      </c>
      <c r="F988" s="58" t="s">
        <v>935</v>
      </c>
      <c r="G988" s="25">
        <f t="shared" si="15"/>
        <v>1.0322087355443044E-2</v>
      </c>
    </row>
    <row r="989" spans="1:7">
      <c r="A989" s="58">
        <v>100.16846702926397</v>
      </c>
      <c r="B989" s="58">
        <v>100.88523602410665</v>
      </c>
      <c r="C989" s="58">
        <v>99.668614967071065</v>
      </c>
      <c r="D989" s="58">
        <v>100.76263080130461</v>
      </c>
      <c r="E989" s="58">
        <v>5394606.8926275214</v>
      </c>
      <c r="F989" s="58" t="s">
        <v>936</v>
      </c>
      <c r="G989" s="25">
        <f t="shared" si="15"/>
        <v>-5.8966679146387202E-3</v>
      </c>
    </row>
    <row r="990" spans="1:7">
      <c r="A990" s="58">
        <v>102.13958176508133</v>
      </c>
      <c r="B990" s="58">
        <v>104.09183415892915</v>
      </c>
      <c r="C990" s="58">
        <v>101.57125940153897</v>
      </c>
      <c r="D990" s="58">
        <v>102.32820518477678</v>
      </c>
      <c r="E990" s="58">
        <v>6103469.0276470762</v>
      </c>
      <c r="F990" s="58" t="s">
        <v>937</v>
      </c>
      <c r="G990" s="25">
        <f t="shared" si="15"/>
        <v>-1.8433179723502668E-3</v>
      </c>
    </row>
    <row r="991" spans="1:7">
      <c r="A991" s="58">
        <v>102.69602085318289</v>
      </c>
      <c r="B991" s="58">
        <v>103.17701057340626</v>
      </c>
      <c r="C991" s="58">
        <v>101.93209600341635</v>
      </c>
      <c r="D991" s="58">
        <v>102.42251689462448</v>
      </c>
      <c r="E991" s="58">
        <v>4284817.8731197836</v>
      </c>
      <c r="F991" s="58" t="s">
        <v>938</v>
      </c>
      <c r="G991" s="25">
        <f t="shared" si="15"/>
        <v>2.6703499079192561E-3</v>
      </c>
    </row>
    <row r="992" spans="1:7">
      <c r="A992" s="58">
        <v>103.04497417961946</v>
      </c>
      <c r="B992" s="58">
        <v>103.66743146461441</v>
      </c>
      <c r="C992" s="58">
        <v>102.37536103970064</v>
      </c>
      <c r="D992" s="58">
        <v>102.54512211742653</v>
      </c>
      <c r="E992" s="58">
        <v>3303620.5207505366</v>
      </c>
      <c r="F992" s="58" t="s">
        <v>939</v>
      </c>
      <c r="G992" s="25">
        <f t="shared" si="15"/>
        <v>4.8744596707441801E-3</v>
      </c>
    </row>
    <row r="993" spans="1:7">
      <c r="A993" s="58">
        <v>103.2618911122692</v>
      </c>
      <c r="B993" s="58">
        <v>103.38449633507125</v>
      </c>
      <c r="C993" s="58">
        <v>102.04527005523362</v>
      </c>
      <c r="D993" s="58">
        <v>102.30934284280723</v>
      </c>
      <c r="E993" s="58">
        <v>4399226.7839265345</v>
      </c>
      <c r="F993" s="58" t="s">
        <v>940</v>
      </c>
      <c r="G993" s="25">
        <f t="shared" si="15"/>
        <v>9.3104719764012245E-3</v>
      </c>
    </row>
    <row r="994" spans="1:7">
      <c r="A994" s="58">
        <v>102.50739743348744</v>
      </c>
      <c r="B994" s="58">
        <v>103.27132228325398</v>
      </c>
      <c r="C994" s="58">
        <v>101.97925185834021</v>
      </c>
      <c r="D994" s="58">
        <v>102.63943382727425</v>
      </c>
      <c r="E994" s="58">
        <v>4215078.9190639211</v>
      </c>
      <c r="F994" s="58" t="s">
        <v>941</v>
      </c>
      <c r="G994" s="25">
        <f t="shared" si="15"/>
        <v>-1.2864099972433873E-3</v>
      </c>
    </row>
    <row r="995" spans="1:7">
      <c r="A995" s="58">
        <v>103.08269886355853</v>
      </c>
      <c r="B995" s="58">
        <v>103.2618911122692</v>
      </c>
      <c r="C995" s="58">
        <v>101.10215295675641</v>
      </c>
      <c r="D995" s="58">
        <v>102.5545532884113</v>
      </c>
      <c r="E995" s="58">
        <v>5038991.4546914157</v>
      </c>
      <c r="F995" s="58" t="s">
        <v>942</v>
      </c>
      <c r="G995" s="25">
        <f t="shared" si="15"/>
        <v>5.1498988412728153E-3</v>
      </c>
    </row>
    <row r="996" spans="1:7">
      <c r="A996" s="58">
        <v>103.95036659415756</v>
      </c>
      <c r="B996" s="58">
        <v>104.18614586877686</v>
      </c>
      <c r="C996" s="58">
        <v>101.52655565107115</v>
      </c>
      <c r="D996" s="58">
        <v>102.05470122621837</v>
      </c>
      <c r="E996" s="58">
        <v>3490198.6246616207</v>
      </c>
      <c r="F996" s="58" t="s">
        <v>943</v>
      </c>
      <c r="G996" s="25">
        <f t="shared" si="15"/>
        <v>1.8574993069032431E-2</v>
      </c>
    </row>
    <row r="997" spans="1:7">
      <c r="A997" s="58">
        <v>102.46967274954835</v>
      </c>
      <c r="B997" s="58">
        <v>102.87521310189355</v>
      </c>
      <c r="C997" s="58">
        <v>101.25088252318625</v>
      </c>
      <c r="D997" s="58">
        <v>101.93209600341635</v>
      </c>
      <c r="E997" s="58">
        <v>6437090.3780690301</v>
      </c>
      <c r="F997" s="58" t="s">
        <v>944</v>
      </c>
      <c r="G997" s="25">
        <f t="shared" si="15"/>
        <v>5.2738712065136806E-3</v>
      </c>
    </row>
    <row r="998" spans="1:7">
      <c r="A998" s="58">
        <v>102.89407544386309</v>
      </c>
      <c r="B998" s="58">
        <v>103.43165218999511</v>
      </c>
      <c r="C998" s="58">
        <v>100.66718735093872</v>
      </c>
      <c r="D998" s="58">
        <v>101.34736340236047</v>
      </c>
      <c r="E998" s="58">
        <v>4826621.2195176538</v>
      </c>
      <c r="F998" s="58" t="s">
        <v>945</v>
      </c>
      <c r="G998" s="25">
        <f t="shared" si="15"/>
        <v>1.5261492648427355E-2</v>
      </c>
    </row>
    <row r="999" spans="1:7">
      <c r="A999" s="58">
        <v>100.88523602410665</v>
      </c>
      <c r="B999" s="58">
        <v>103.67686263559918</v>
      </c>
      <c r="C999" s="58">
        <v>100.81921782721325</v>
      </c>
      <c r="D999" s="58">
        <v>103.03554300863468</v>
      </c>
      <c r="E999" s="58">
        <v>4448741.3140685493</v>
      </c>
      <c r="F999" s="58" t="s">
        <v>946</v>
      </c>
      <c r="G999" s="25">
        <f t="shared" si="15"/>
        <v>-2.0869565217391362E-2</v>
      </c>
    </row>
    <row r="1000" spans="1:7">
      <c r="A1000" s="58">
        <v>102.87521310189355</v>
      </c>
      <c r="B1000" s="58">
        <v>103.83719254234029</v>
      </c>
      <c r="C1000" s="58">
        <v>102.13958176508133</v>
      </c>
      <c r="D1000" s="58">
        <v>103.64856912264486</v>
      </c>
      <c r="E1000" s="58">
        <v>4033640.1557583953</v>
      </c>
      <c r="F1000" s="58" t="s">
        <v>947</v>
      </c>
      <c r="G1000" s="25">
        <f t="shared" si="15"/>
        <v>-7.4613284804367908E-3</v>
      </c>
    </row>
    <row r="1001" spans="1:7">
      <c r="A1001" s="58">
        <v>103.22416642833012</v>
      </c>
      <c r="B1001" s="58">
        <v>103.40335867704079</v>
      </c>
      <c r="C1001" s="58">
        <v>100.37595279092896</v>
      </c>
      <c r="D1001" s="58">
        <v>100.91352953706097</v>
      </c>
      <c r="E1001" s="58">
        <v>15164212.400657333</v>
      </c>
      <c r="F1001" s="58" t="s">
        <v>948</v>
      </c>
      <c r="G1001" s="25">
        <f t="shared" si="15"/>
        <v>2.2897196261682184E-2</v>
      </c>
    </row>
    <row r="1002" spans="1:7">
      <c r="A1002" s="58">
        <v>100.16846702926397</v>
      </c>
      <c r="B1002" s="58">
        <v>100.70604377539598</v>
      </c>
      <c r="C1002" s="58">
        <v>99.093313536999943</v>
      </c>
      <c r="D1002" s="58">
        <v>99.923256583659906</v>
      </c>
      <c r="E1002" s="58">
        <v>5370391.4478679309</v>
      </c>
      <c r="F1002" s="58" t="s">
        <v>949</v>
      </c>
      <c r="G1002" s="25">
        <f t="shared" si="15"/>
        <v>2.4539877300611135E-3</v>
      </c>
    </row>
    <row r="1003" spans="1:7">
      <c r="A1003" s="58">
        <v>99.442266863436515</v>
      </c>
      <c r="B1003" s="58">
        <v>100.51742035570054</v>
      </c>
      <c r="C1003" s="58">
        <v>97.414565101710537</v>
      </c>
      <c r="D1003" s="58">
        <v>97.659775547314595</v>
      </c>
      <c r="E1003" s="58">
        <v>5844235.0466337325</v>
      </c>
      <c r="F1003" s="58" t="s">
        <v>950</v>
      </c>
      <c r="G1003" s="25">
        <f t="shared" si="15"/>
        <v>1.8252052148720388E-2</v>
      </c>
    </row>
    <row r="1004" spans="1:7">
      <c r="A1004" s="58">
        <v>98.470856252004992</v>
      </c>
      <c r="B1004" s="58">
        <v>98.98013948518269</v>
      </c>
      <c r="C1004" s="58">
        <v>97.452289785649612</v>
      </c>
      <c r="D1004" s="58">
        <v>98.895258946319743</v>
      </c>
      <c r="E1004" s="58">
        <v>5660244.1082018232</v>
      </c>
      <c r="F1004" s="58" t="s">
        <v>951</v>
      </c>
      <c r="G1004" s="25">
        <f t="shared" si="15"/>
        <v>-4.2914362006485351E-3</v>
      </c>
    </row>
    <row r="1005" spans="1:7">
      <c r="A1005" s="58">
        <v>96.697796106867855</v>
      </c>
      <c r="B1005" s="58">
        <v>97.791811941101415</v>
      </c>
      <c r="C1005" s="58">
        <v>95.48117504983226</v>
      </c>
      <c r="D1005" s="58">
        <v>95.48117504983226</v>
      </c>
      <c r="E1005" s="58">
        <v>10867339.820843805</v>
      </c>
      <c r="F1005" s="58" t="s">
        <v>952</v>
      </c>
      <c r="G1005" s="25">
        <f t="shared" si="15"/>
        <v>1.2741999209798571E-2</v>
      </c>
    </row>
    <row r="1006" spans="1:7">
      <c r="A1006" s="58">
        <v>96.263962241568336</v>
      </c>
      <c r="B1006" s="58">
        <v>96.905281868532839</v>
      </c>
      <c r="C1006" s="58">
        <v>95.48117504983226</v>
      </c>
      <c r="D1006" s="58">
        <v>96.575190884065819</v>
      </c>
      <c r="E1006" s="58">
        <v>5082685.9228190091</v>
      </c>
      <c r="F1006" s="58" t="s">
        <v>953</v>
      </c>
      <c r="G1006" s="25">
        <f t="shared" si="15"/>
        <v>-3.2226562500000666E-3</v>
      </c>
    </row>
    <row r="1007" spans="1:7">
      <c r="A1007" s="58">
        <v>98.838671920411102</v>
      </c>
      <c r="B1007" s="58">
        <v>100.04586180646193</v>
      </c>
      <c r="C1007" s="58">
        <v>96.820401329669892</v>
      </c>
      <c r="D1007" s="58">
        <v>98.385975713142045</v>
      </c>
      <c r="E1007" s="58">
        <v>5596427.0062775975</v>
      </c>
      <c r="F1007" s="58" t="s">
        <v>954</v>
      </c>
      <c r="G1007" s="25">
        <f t="shared" si="15"/>
        <v>4.6012269938651151E-3</v>
      </c>
    </row>
    <row r="1008" spans="1:7">
      <c r="A1008" s="58">
        <v>97.084474117243502</v>
      </c>
      <c r="B1008" s="58">
        <v>99.40454217949744</v>
      </c>
      <c r="C1008" s="58">
        <v>96.150882501460927</v>
      </c>
      <c r="D1008" s="58">
        <v>99.121607049954264</v>
      </c>
      <c r="E1008" s="58">
        <v>6245583.9359828616</v>
      </c>
      <c r="F1008" s="58" t="s">
        <v>955</v>
      </c>
      <c r="G1008" s="25">
        <f t="shared" si="15"/>
        <v>-2.0551855375832484E-2</v>
      </c>
    </row>
    <row r="1009" spans="1:7">
      <c r="A1009" s="58">
        <v>99.885531899720803</v>
      </c>
      <c r="B1009" s="58">
        <v>101.95095834538589</v>
      </c>
      <c r="C1009" s="58">
        <v>99.343239568096408</v>
      </c>
      <c r="D1009" s="58">
        <v>101.55484916402547</v>
      </c>
      <c r="E1009" s="58">
        <v>5529979.2660116367</v>
      </c>
      <c r="F1009" s="58" t="s">
        <v>956</v>
      </c>
      <c r="G1009" s="25">
        <f t="shared" si="15"/>
        <v>-1.6437592867756479E-2</v>
      </c>
    </row>
    <row r="1010" spans="1:7">
      <c r="A1010" s="58">
        <v>103.393927506056</v>
      </c>
      <c r="B1010" s="58">
        <v>105.13869413823885</v>
      </c>
      <c r="C1010" s="58">
        <v>102.89407544386309</v>
      </c>
      <c r="D1010" s="58">
        <v>104.50680568225911</v>
      </c>
      <c r="E1010" s="58">
        <v>5096552.7056618985</v>
      </c>
      <c r="F1010" s="58" t="s">
        <v>957</v>
      </c>
      <c r="G1010" s="25">
        <f t="shared" si="15"/>
        <v>-1.0648858406281159E-2</v>
      </c>
    </row>
    <row r="1011" spans="1:7">
      <c r="A1011" s="58">
        <v>106.2987281693658</v>
      </c>
      <c r="B1011" s="58">
        <v>108.87108005546239</v>
      </c>
      <c r="C1011" s="58">
        <v>106.2704346564115</v>
      </c>
      <c r="D1011" s="58">
        <v>108.11894416942681</v>
      </c>
      <c r="E1011" s="58">
        <v>3631288.2096292246</v>
      </c>
      <c r="F1011" s="58" t="s">
        <v>958</v>
      </c>
      <c r="G1011" s="25">
        <f t="shared" si="15"/>
        <v>-1.6835310537334336E-2</v>
      </c>
    </row>
    <row r="1012" spans="1:7">
      <c r="A1012" s="58">
        <v>108.16610002435067</v>
      </c>
      <c r="B1012" s="58">
        <v>109.54305098812739</v>
      </c>
      <c r="C1012" s="58">
        <v>107.83600903988365</v>
      </c>
      <c r="D1012" s="58">
        <v>109.15637297775173</v>
      </c>
      <c r="E1012" s="58">
        <v>3905576.5248529492</v>
      </c>
      <c r="F1012" s="58" t="s">
        <v>959</v>
      </c>
      <c r="G1012" s="25">
        <f t="shared" si="15"/>
        <v>-9.0720580611715063E-3</v>
      </c>
    </row>
    <row r="1013" spans="1:7">
      <c r="A1013" s="58">
        <v>110.23152647001575</v>
      </c>
      <c r="B1013" s="58">
        <v>110.56161745448277</v>
      </c>
      <c r="C1013" s="58">
        <v>108.66595208654358</v>
      </c>
      <c r="D1013" s="58">
        <v>109.49589513320353</v>
      </c>
      <c r="E1013" s="58">
        <v>3483762.5203753118</v>
      </c>
      <c r="F1013" s="58" t="s">
        <v>960</v>
      </c>
      <c r="G1013" s="25">
        <f t="shared" si="15"/>
        <v>6.7183462532298677E-3</v>
      </c>
    </row>
    <row r="1014" spans="1:7">
      <c r="A1014" s="58">
        <v>109.79769260471623</v>
      </c>
      <c r="B1014" s="58">
        <v>111.50473455295999</v>
      </c>
      <c r="C1014" s="58">
        <v>109.43930810729491</v>
      </c>
      <c r="D1014" s="58">
        <v>110.70308501925435</v>
      </c>
      <c r="E1014" s="58">
        <v>4459487.5936306156</v>
      </c>
      <c r="F1014" s="58" t="s">
        <v>961</v>
      </c>
      <c r="G1014" s="25">
        <f t="shared" si="15"/>
        <v>-8.1785653433292804E-3</v>
      </c>
    </row>
    <row r="1015" spans="1:7">
      <c r="A1015" s="58">
        <v>109.93916016948781</v>
      </c>
      <c r="B1015" s="58">
        <v>110.86341492599547</v>
      </c>
      <c r="C1015" s="58">
        <v>109.71281206585329</v>
      </c>
      <c r="D1015" s="58">
        <v>110.13721476016804</v>
      </c>
      <c r="E1015" s="58">
        <v>4006110.1703070421</v>
      </c>
      <c r="F1015" s="58" t="s">
        <v>962</v>
      </c>
      <c r="G1015" s="25">
        <f t="shared" si="15"/>
        <v>-1.7982531255353873E-3</v>
      </c>
    </row>
    <row r="1016" spans="1:7">
      <c r="A1016" s="58">
        <v>110.8256902420564</v>
      </c>
      <c r="B1016" s="58">
        <v>110.92000195190411</v>
      </c>
      <c r="C1016" s="58">
        <v>106.78914906057396</v>
      </c>
      <c r="D1016" s="58">
        <v>108.73197028343701</v>
      </c>
      <c r="E1016" s="58">
        <v>4089277.9976390325</v>
      </c>
      <c r="F1016" s="58" t="s">
        <v>963</v>
      </c>
      <c r="G1016" s="25">
        <f t="shared" si="15"/>
        <v>1.92557897475929E-2</v>
      </c>
    </row>
    <row r="1017" spans="1:7">
      <c r="A1017" s="58">
        <v>108.53391569275678</v>
      </c>
      <c r="B1017" s="58">
        <v>111.28781762031022</v>
      </c>
      <c r="C1017" s="58">
        <v>108.01520128859433</v>
      </c>
      <c r="D1017" s="58">
        <v>111.14635005553863</v>
      </c>
      <c r="E1017" s="58">
        <v>5185168.4248922504</v>
      </c>
      <c r="F1017" s="58" t="s">
        <v>964</v>
      </c>
      <c r="G1017" s="25">
        <f t="shared" si="15"/>
        <v>-2.3504454815443276E-2</v>
      </c>
    </row>
    <row r="1018" spans="1:7">
      <c r="A1018" s="58">
        <v>110.77853438713252</v>
      </c>
      <c r="B1018" s="58">
        <v>111.37269815917317</v>
      </c>
      <c r="C1018" s="58">
        <v>107.89259606579229</v>
      </c>
      <c r="D1018" s="58">
        <v>108.98661190002585</v>
      </c>
      <c r="E1018" s="58">
        <v>11200627.172443651</v>
      </c>
      <c r="F1018" s="58" t="s">
        <v>965</v>
      </c>
      <c r="G1018" s="25">
        <f t="shared" si="15"/>
        <v>1.6441675320179927E-2</v>
      </c>
    </row>
    <row r="1019" spans="1:7">
      <c r="A1019" s="58">
        <v>110.05233422130507</v>
      </c>
      <c r="B1019" s="58">
        <v>110.26925115395484</v>
      </c>
      <c r="C1019" s="58">
        <v>108.90644694665528</v>
      </c>
      <c r="D1019" s="58">
        <v>109.47703279123398</v>
      </c>
      <c r="E1019" s="58">
        <v>4119116.2860609447</v>
      </c>
      <c r="F1019" s="58" t="s">
        <v>966</v>
      </c>
      <c r="G1019" s="25">
        <f t="shared" si="15"/>
        <v>5.254996554100666E-3</v>
      </c>
    </row>
    <row r="1020" spans="1:7">
      <c r="A1020" s="58">
        <v>108.33586110207658</v>
      </c>
      <c r="B1020" s="58">
        <v>108.93945604510199</v>
      </c>
      <c r="C1020" s="58">
        <v>106.7702867186044</v>
      </c>
      <c r="D1020" s="58">
        <v>107.30786346473641</v>
      </c>
      <c r="E1020" s="58">
        <v>4270772.9575717701</v>
      </c>
      <c r="F1020" s="58" t="s">
        <v>967</v>
      </c>
      <c r="G1020" s="25">
        <f t="shared" si="15"/>
        <v>9.5798910177535834E-3</v>
      </c>
    </row>
    <row r="1021" spans="1:7">
      <c r="A1021" s="58">
        <v>106.75142437663486</v>
      </c>
      <c r="B1021" s="58">
        <v>108.40187929896997</v>
      </c>
      <c r="C1021" s="58">
        <v>105.95449042842162</v>
      </c>
      <c r="D1021" s="58">
        <v>106.76085554761964</v>
      </c>
      <c r="E1021" s="58">
        <v>4158196.2688748613</v>
      </c>
      <c r="F1021" s="58" t="s">
        <v>968</v>
      </c>
      <c r="G1021" s="25">
        <f t="shared" si="15"/>
        <v>-8.8339222614974844E-5</v>
      </c>
    </row>
    <row r="1022" spans="1:7">
      <c r="A1022" s="58">
        <v>107.29843229375165</v>
      </c>
      <c r="B1022" s="58">
        <v>108.60936506063496</v>
      </c>
      <c r="C1022" s="58">
        <v>105.46878512270587</v>
      </c>
      <c r="D1022" s="58">
        <v>108.60936506063496</v>
      </c>
      <c r="E1022" s="58">
        <v>5590706.6137529463</v>
      </c>
      <c r="F1022" s="58" t="s">
        <v>969</v>
      </c>
      <c r="G1022" s="25">
        <f t="shared" si="15"/>
        <v>-1.2070163251128863E-2</v>
      </c>
    </row>
    <row r="1023" spans="1:7">
      <c r="A1023" s="58">
        <v>108.48675983783292</v>
      </c>
      <c r="B1023" s="58">
        <v>108.7979884803304</v>
      </c>
      <c r="C1023" s="58">
        <v>106.51564510201555</v>
      </c>
      <c r="D1023" s="58">
        <v>107.37388166162981</v>
      </c>
      <c r="E1023" s="58">
        <v>4619809.1488692351</v>
      </c>
      <c r="F1023" s="58" t="s">
        <v>970</v>
      </c>
      <c r="G1023" s="25">
        <f t="shared" si="15"/>
        <v>1.0364514712340789E-2</v>
      </c>
    </row>
    <row r="1024" spans="1:7">
      <c r="A1024" s="58">
        <v>106.79858023155872</v>
      </c>
      <c r="B1024" s="58">
        <v>107.25127643882779</v>
      </c>
      <c r="C1024" s="58">
        <v>104.51623685324388</v>
      </c>
      <c r="D1024" s="58">
        <v>106.94947896731509</v>
      </c>
      <c r="E1024" s="58">
        <v>4781561.0673174476</v>
      </c>
      <c r="F1024" s="58" t="s">
        <v>971</v>
      </c>
      <c r="G1024" s="25">
        <f t="shared" si="15"/>
        <v>-1.410934744268233E-3</v>
      </c>
    </row>
    <row r="1025" spans="1:7">
      <c r="A1025" s="58">
        <v>106.04408655277696</v>
      </c>
      <c r="B1025" s="58">
        <v>106.58166329890898</v>
      </c>
      <c r="C1025" s="58">
        <v>104.23330172370072</v>
      </c>
      <c r="D1025" s="58">
        <v>105.65740854240131</v>
      </c>
      <c r="E1025" s="58">
        <v>6685052.1639147056</v>
      </c>
      <c r="F1025" s="58" t="s">
        <v>972</v>
      </c>
      <c r="G1025" s="25">
        <f t="shared" si="15"/>
        <v>3.6597339998214462E-3</v>
      </c>
    </row>
    <row r="1026" spans="1:7">
      <c r="A1026" s="58">
        <v>106.32702168232012</v>
      </c>
      <c r="B1026" s="58">
        <v>108.17553119533545</v>
      </c>
      <c r="C1026" s="58">
        <v>105.84131637660435</v>
      </c>
      <c r="D1026" s="58">
        <v>106.96834130928463</v>
      </c>
      <c r="E1026" s="58">
        <v>7352145.3605239568</v>
      </c>
      <c r="F1026" s="58" t="s">
        <v>973</v>
      </c>
      <c r="G1026" s="25">
        <f t="shared" si="15"/>
        <v>-5.9954152706753749E-3</v>
      </c>
    </row>
    <row r="1027" spans="1:7">
      <c r="A1027" s="58">
        <v>108.0246324595791</v>
      </c>
      <c r="B1027" s="58">
        <v>108.86400667722381</v>
      </c>
      <c r="C1027" s="58">
        <v>105.24243701907133</v>
      </c>
      <c r="D1027" s="58">
        <v>105.24243701907133</v>
      </c>
      <c r="E1027" s="58">
        <v>9725219.7153561451</v>
      </c>
      <c r="F1027" s="58" t="s">
        <v>974</v>
      </c>
      <c r="G1027" s="25">
        <f t="shared" ref="G1027:G1090" si="16">A1027/D1027-1</f>
        <v>2.6436060578904907E-2</v>
      </c>
    </row>
    <row r="1028" spans="1:7">
      <c r="A1028" s="58">
        <v>103.46937687393418</v>
      </c>
      <c r="B1028" s="58">
        <v>104.23330172370072</v>
      </c>
      <c r="C1028" s="58">
        <v>101.67745438682751</v>
      </c>
      <c r="D1028" s="58">
        <v>103.17701057340626</v>
      </c>
      <c r="E1028" s="58">
        <v>7908912.9144659247</v>
      </c>
      <c r="F1028" s="58" t="s">
        <v>975</v>
      </c>
      <c r="G1028" s="25">
        <f t="shared" si="16"/>
        <v>2.8336380255939986E-3</v>
      </c>
    </row>
    <row r="1029" spans="1:7">
      <c r="A1029" s="58">
        <v>103.62970678067531</v>
      </c>
      <c r="B1029" s="58">
        <v>104.22387055271597</v>
      </c>
      <c r="C1029" s="58">
        <v>102.19616879098996</v>
      </c>
      <c r="D1029" s="58">
        <v>102.19616879098996</v>
      </c>
      <c r="E1029" s="58">
        <v>6530798.7841012171</v>
      </c>
      <c r="F1029" s="58" t="s">
        <v>976</v>
      </c>
      <c r="G1029" s="25">
        <f t="shared" si="16"/>
        <v>1.4027316352897667E-2</v>
      </c>
    </row>
    <row r="1030" spans="1:7">
      <c r="A1030" s="58">
        <v>101.82835312258385</v>
      </c>
      <c r="B1030" s="58">
        <v>101.87550897750771</v>
      </c>
      <c r="C1030" s="58">
        <v>98.678342013669976</v>
      </c>
      <c r="D1030" s="58">
        <v>99.498853889345156</v>
      </c>
      <c r="E1030" s="58">
        <v>9029699.5078875981</v>
      </c>
      <c r="F1030" s="58" t="s">
        <v>977</v>
      </c>
      <c r="G1030" s="25">
        <f t="shared" si="16"/>
        <v>2.3412322274881436E-2</v>
      </c>
    </row>
    <row r="1031" spans="1:7">
      <c r="A1031" s="58">
        <v>99.819513702827408</v>
      </c>
      <c r="B1031" s="58">
        <v>101.87550897750771</v>
      </c>
      <c r="C1031" s="58">
        <v>99.649752625101499</v>
      </c>
      <c r="D1031" s="58">
        <v>100.59286972357872</v>
      </c>
      <c r="E1031" s="58">
        <v>7036309.7124576103</v>
      </c>
      <c r="F1031" s="58" t="s">
        <v>978</v>
      </c>
      <c r="G1031" s="25">
        <f t="shared" si="16"/>
        <v>-7.6879804987811662E-3</v>
      </c>
    </row>
    <row r="1032" spans="1:7">
      <c r="A1032" s="58">
        <v>100.67775026244166</v>
      </c>
      <c r="B1032" s="58">
        <v>103.393927506056</v>
      </c>
      <c r="C1032" s="58">
        <v>100.16846702926397</v>
      </c>
      <c r="D1032" s="58">
        <v>102.71488319515242</v>
      </c>
      <c r="E1032" s="58">
        <v>6625121.1117778476</v>
      </c>
      <c r="F1032" s="58" t="s">
        <v>979</v>
      </c>
      <c r="G1032" s="25">
        <f t="shared" si="16"/>
        <v>-1.9832889541823495E-2</v>
      </c>
    </row>
    <row r="1033" spans="1:7">
      <c r="A1033" s="58">
        <v>101.28134520546708</v>
      </c>
      <c r="B1033" s="58">
        <v>104.87462135066522</v>
      </c>
      <c r="C1033" s="58">
        <v>100.85694251115233</v>
      </c>
      <c r="D1033" s="58">
        <v>104.39363163044185</v>
      </c>
      <c r="E1033" s="58">
        <v>6868909.5028177723</v>
      </c>
      <c r="F1033" s="58" t="s">
        <v>980</v>
      </c>
      <c r="G1033" s="25">
        <f t="shared" si="16"/>
        <v>-2.9812991236787378E-2</v>
      </c>
    </row>
    <row r="1034" spans="1:7">
      <c r="A1034" s="58">
        <v>105.88375664603583</v>
      </c>
      <c r="B1034" s="58">
        <v>107.20412058390393</v>
      </c>
      <c r="C1034" s="58">
        <v>104.65770441801547</v>
      </c>
      <c r="D1034" s="58">
        <v>106.14782943360945</v>
      </c>
      <c r="E1034" s="58">
        <v>5266499.7888595155</v>
      </c>
      <c r="F1034" s="58" t="s">
        <v>981</v>
      </c>
      <c r="G1034" s="25">
        <f t="shared" si="16"/>
        <v>-2.4877832074632344E-3</v>
      </c>
    </row>
    <row r="1035" spans="1:7">
      <c r="A1035" s="58">
        <v>106.58166329890898</v>
      </c>
      <c r="B1035" s="58">
        <v>108.4584663248786</v>
      </c>
      <c r="C1035" s="58">
        <v>105.32731755793429</v>
      </c>
      <c r="D1035" s="58">
        <v>108.32642993109179</v>
      </c>
      <c r="E1035" s="58">
        <v>6047259.6766708344</v>
      </c>
      <c r="F1035" s="58" t="s">
        <v>982</v>
      </c>
      <c r="G1035" s="25">
        <f t="shared" si="16"/>
        <v>-1.6106564513320487E-2</v>
      </c>
    </row>
    <row r="1036" spans="1:7">
      <c r="A1036" s="58">
        <v>109.11864829381265</v>
      </c>
      <c r="B1036" s="58">
        <v>109.71281206585329</v>
      </c>
      <c r="C1036" s="58">
        <v>104.80860315377181</v>
      </c>
      <c r="D1036" s="58">
        <v>106.10067357868559</v>
      </c>
      <c r="E1036" s="58">
        <v>5670177.1271399027</v>
      </c>
      <c r="F1036" s="58" t="s">
        <v>983</v>
      </c>
      <c r="G1036" s="25">
        <f t="shared" si="16"/>
        <v>2.8444444444444494E-2</v>
      </c>
    </row>
    <row r="1037" spans="1:7">
      <c r="A1037" s="58">
        <v>106.03465538179219</v>
      </c>
      <c r="B1037" s="58">
        <v>107.83912132630863</v>
      </c>
      <c r="C1037" s="58">
        <v>105.45935395172108</v>
      </c>
      <c r="D1037" s="58">
        <v>106.61938798284805</v>
      </c>
      <c r="E1037" s="58">
        <v>4762405.4396343427</v>
      </c>
      <c r="F1037" s="58" t="s">
        <v>984</v>
      </c>
      <c r="G1037" s="25">
        <f t="shared" si="16"/>
        <v>-5.4842989827509347E-3</v>
      </c>
    </row>
    <row r="1038" spans="1:7">
      <c r="A1038" s="58">
        <v>106.41190222118307</v>
      </c>
      <c r="B1038" s="58">
        <v>107.52949598287856</v>
      </c>
      <c r="C1038" s="58">
        <v>104.00289821654275</v>
      </c>
      <c r="D1038" s="58">
        <v>107.0437906771628</v>
      </c>
      <c r="E1038" s="58">
        <v>5200801.6903942823</v>
      </c>
      <c r="F1038" s="58" t="s">
        <v>985</v>
      </c>
      <c r="G1038" s="25">
        <f t="shared" si="16"/>
        <v>-5.9030837004405701E-3</v>
      </c>
    </row>
    <row r="1039" spans="1:7">
      <c r="A1039" s="58">
        <v>107.0437906771628</v>
      </c>
      <c r="B1039" s="58">
        <v>111.07090068766045</v>
      </c>
      <c r="C1039" s="58">
        <v>106.69483735072623</v>
      </c>
      <c r="D1039" s="58">
        <v>110.40128754774165</v>
      </c>
      <c r="E1039" s="58">
        <v>7226981.6876453729</v>
      </c>
      <c r="F1039" s="58" t="s">
        <v>986</v>
      </c>
      <c r="G1039" s="25">
        <f t="shared" si="16"/>
        <v>-3.0411754655731982E-2</v>
      </c>
    </row>
    <row r="1040" spans="1:7">
      <c r="A1040" s="58">
        <v>111.297248791295</v>
      </c>
      <c r="B1040" s="58">
        <v>111.98572427318335</v>
      </c>
      <c r="C1040" s="58">
        <v>110.18437061509189</v>
      </c>
      <c r="D1040" s="58">
        <v>110.86341492599547</v>
      </c>
      <c r="E1040" s="58">
        <v>5259252.5445766617</v>
      </c>
      <c r="F1040" s="58" t="s">
        <v>987</v>
      </c>
      <c r="G1040" s="25">
        <f t="shared" si="16"/>
        <v>3.9132284134413275E-3</v>
      </c>
    </row>
    <row r="1041" spans="1:7">
      <c r="A1041" s="58">
        <v>110.08062773425939</v>
      </c>
      <c r="B1041" s="58">
        <v>111.83482553742699</v>
      </c>
      <c r="C1041" s="58">
        <v>109.52418864615784</v>
      </c>
      <c r="D1041" s="58">
        <v>110.61820448039141</v>
      </c>
      <c r="E1041" s="58">
        <v>4430737.1870864211</v>
      </c>
      <c r="F1041" s="58" t="s">
        <v>988</v>
      </c>
      <c r="G1041" s="25">
        <f t="shared" si="16"/>
        <v>-4.8597493392447122E-3</v>
      </c>
    </row>
    <row r="1042" spans="1:7">
      <c r="A1042" s="58">
        <v>110.3164070088787</v>
      </c>
      <c r="B1042" s="58">
        <v>112.83452966181284</v>
      </c>
      <c r="C1042" s="58">
        <v>110.3164070088787</v>
      </c>
      <c r="D1042" s="58">
        <v>111.86311905038131</v>
      </c>
      <c r="E1042" s="58">
        <v>3569378.61208903</v>
      </c>
      <c r="F1042" s="58" t="s">
        <v>989</v>
      </c>
      <c r="G1042" s="25">
        <f t="shared" si="16"/>
        <v>-1.3826827417587007E-2</v>
      </c>
    </row>
    <row r="1043" spans="1:7">
      <c r="A1043" s="58">
        <v>113.18348298824941</v>
      </c>
      <c r="B1043" s="58">
        <v>113.46641811779257</v>
      </c>
      <c r="C1043" s="58">
        <v>111.13691888455386</v>
      </c>
      <c r="D1043" s="58">
        <v>112.38183345454378</v>
      </c>
      <c r="E1043" s="58">
        <v>4775115.4202076504</v>
      </c>
      <c r="F1043" s="58" t="s">
        <v>990</v>
      </c>
      <c r="G1043" s="25">
        <f t="shared" si="16"/>
        <v>7.1332661967102862E-3</v>
      </c>
    </row>
    <row r="1044" spans="1:7">
      <c r="A1044" s="58">
        <v>112.83452966181284</v>
      </c>
      <c r="B1044" s="58">
        <v>116.17316419042216</v>
      </c>
      <c r="C1044" s="58">
        <v>112.75908029393466</v>
      </c>
      <c r="D1044" s="58">
        <v>116.02226545466579</v>
      </c>
      <c r="E1044" s="58">
        <v>7114771.8674959205</v>
      </c>
      <c r="F1044" s="58" t="s">
        <v>991</v>
      </c>
      <c r="G1044" s="25">
        <f t="shared" si="16"/>
        <v>-2.7475207283368497E-2</v>
      </c>
    </row>
    <row r="1045" spans="1:7">
      <c r="A1045" s="58">
        <v>116.35235643913282</v>
      </c>
      <c r="B1045" s="58">
        <v>117.27661119564047</v>
      </c>
      <c r="C1045" s="58">
        <v>115.67331212822923</v>
      </c>
      <c r="D1045" s="58">
        <v>116.17316419042216</v>
      </c>
      <c r="E1045" s="58">
        <v>7762708.3761083446</v>
      </c>
      <c r="F1045" s="58" t="s">
        <v>992</v>
      </c>
      <c r="G1045" s="25">
        <f t="shared" si="16"/>
        <v>1.5424581912648616E-3</v>
      </c>
    </row>
    <row r="1046" spans="1:7">
      <c r="A1046" s="58">
        <v>115.66388095724446</v>
      </c>
      <c r="B1046" s="58">
        <v>116.99367606609731</v>
      </c>
      <c r="C1046" s="58">
        <v>110.81625907107161</v>
      </c>
      <c r="D1046" s="58">
        <v>112.68363092605649</v>
      </c>
      <c r="E1046" s="58">
        <v>8836842.2261209097</v>
      </c>
      <c r="F1046" s="58" t="s">
        <v>993</v>
      </c>
      <c r="G1046" s="25">
        <f t="shared" si="16"/>
        <v>2.6447941078004744E-2</v>
      </c>
    </row>
    <row r="1047" spans="1:7">
      <c r="A1047" s="58">
        <v>113.15518947529509</v>
      </c>
      <c r="B1047" s="58">
        <v>113.386253164422</v>
      </c>
      <c r="C1047" s="58">
        <v>110.00989395187361</v>
      </c>
      <c r="D1047" s="58">
        <v>110.04290305032032</v>
      </c>
      <c r="E1047" s="58">
        <v>5429729.7846347652</v>
      </c>
      <c r="F1047" s="58" t="s">
        <v>994</v>
      </c>
      <c r="G1047" s="25">
        <f t="shared" si="16"/>
        <v>2.8282482002056852E-2</v>
      </c>
    </row>
    <row r="1048" spans="1:7">
      <c r="A1048" s="58">
        <v>109.67508738191421</v>
      </c>
      <c r="B1048" s="58">
        <v>111.5990462628077</v>
      </c>
      <c r="C1048" s="58">
        <v>108.9677495580563</v>
      </c>
      <c r="D1048" s="58">
        <v>110.36356286380256</v>
      </c>
      <c r="E1048" s="58">
        <v>4364149.4854092924</v>
      </c>
      <c r="F1048" s="58" t="s">
        <v>995</v>
      </c>
      <c r="G1048" s="25">
        <f t="shared" si="16"/>
        <v>-6.2382498718166479E-3</v>
      </c>
    </row>
    <row r="1049" spans="1:7">
      <c r="A1049" s="58">
        <v>110.99545131978229</v>
      </c>
      <c r="B1049" s="58">
        <v>113.40888797478546</v>
      </c>
      <c r="C1049" s="58">
        <v>110.87284609698025</v>
      </c>
      <c r="D1049" s="58">
        <v>113.22120767218848</v>
      </c>
      <c r="E1049" s="58">
        <v>3329585.4831497334</v>
      </c>
      <c r="F1049" s="58" t="s">
        <v>996</v>
      </c>
      <c r="G1049" s="25">
        <f t="shared" si="16"/>
        <v>-1.9658475635151884E-2</v>
      </c>
    </row>
    <row r="1050" spans="1:7">
      <c r="A1050" s="58">
        <v>112.68363092605649</v>
      </c>
      <c r="B1050" s="58">
        <v>112.99485956855396</v>
      </c>
      <c r="C1050" s="58">
        <v>110.58047979645232</v>
      </c>
      <c r="D1050" s="58">
        <v>110.87284609698025</v>
      </c>
      <c r="E1050" s="58">
        <v>4673827.891697946</v>
      </c>
      <c r="F1050" s="58" t="s">
        <v>997</v>
      </c>
      <c r="G1050" s="25">
        <f t="shared" si="16"/>
        <v>1.6332085743450131E-2</v>
      </c>
    </row>
    <row r="1051" spans="1:7">
      <c r="A1051" s="58">
        <v>111.21236825243209</v>
      </c>
      <c r="B1051" s="58">
        <v>113.29777628960075</v>
      </c>
      <c r="C1051" s="58">
        <v>110.58298834932262</v>
      </c>
      <c r="D1051" s="58">
        <v>112.52749043803395</v>
      </c>
      <c r="E1051" s="58">
        <v>4718497.3897768268</v>
      </c>
      <c r="F1051" s="58" t="s">
        <v>998</v>
      </c>
      <c r="G1051" s="25">
        <f t="shared" si="16"/>
        <v>-1.1687119125135648E-2</v>
      </c>
    </row>
    <row r="1052" spans="1:7">
      <c r="A1052" s="58">
        <v>112.76233368546286</v>
      </c>
      <c r="B1052" s="58">
        <v>116.01256422987889</v>
      </c>
      <c r="C1052" s="58">
        <v>112.51339984318822</v>
      </c>
      <c r="D1052" s="58">
        <v>115.99377677008458</v>
      </c>
      <c r="E1052" s="58">
        <v>4333985.5888687037</v>
      </c>
      <c r="F1052" s="58" t="s">
        <v>999</v>
      </c>
      <c r="G1052" s="25">
        <f t="shared" si="16"/>
        <v>-2.7858762552639971E-2</v>
      </c>
    </row>
    <row r="1053" spans="1:7">
      <c r="A1053" s="58">
        <v>115.77772098244999</v>
      </c>
      <c r="B1053" s="58">
        <v>116.82042500103432</v>
      </c>
      <c r="C1053" s="58">
        <v>114.70683577417418</v>
      </c>
      <c r="D1053" s="58">
        <v>115.93741439070165</v>
      </c>
      <c r="E1053" s="58">
        <v>5422809.7419983801</v>
      </c>
      <c r="F1053" s="58" t="s">
        <v>1000</v>
      </c>
      <c r="G1053" s="25">
        <f t="shared" si="16"/>
        <v>-1.3774104683195176E-3</v>
      </c>
    </row>
    <row r="1054" spans="1:7">
      <c r="A1054" s="58">
        <v>115.89044574121587</v>
      </c>
      <c r="B1054" s="58">
        <v>116.67951905257698</v>
      </c>
      <c r="C1054" s="58">
        <v>112.05780394317614</v>
      </c>
      <c r="D1054" s="58">
        <v>112.34900956998797</v>
      </c>
      <c r="E1054" s="58">
        <v>6241890.1375640761</v>
      </c>
      <c r="F1054" s="58" t="s">
        <v>1001</v>
      </c>
      <c r="G1054" s="25">
        <f t="shared" si="16"/>
        <v>3.1521739130434989E-2</v>
      </c>
    </row>
    <row r="1055" spans="1:7">
      <c r="A1055" s="58">
        <v>112.66839638649128</v>
      </c>
      <c r="B1055" s="58">
        <v>112.90323963392019</v>
      </c>
      <c r="C1055" s="58">
        <v>110.62056326891124</v>
      </c>
      <c r="D1055" s="58">
        <v>111.78538577615861</v>
      </c>
      <c r="E1055" s="58">
        <v>5839148.0913886456</v>
      </c>
      <c r="F1055" s="58" t="s">
        <v>1002</v>
      </c>
      <c r="G1055" s="25">
        <f t="shared" si="16"/>
        <v>7.8991596638655626E-3</v>
      </c>
    </row>
    <row r="1056" spans="1:7">
      <c r="A1056" s="58">
        <v>112.23628481122211</v>
      </c>
      <c r="B1056" s="58">
        <v>113.84261262363582</v>
      </c>
      <c r="C1056" s="58">
        <v>110.97752500500317</v>
      </c>
      <c r="D1056" s="58">
        <v>111.09024976376905</v>
      </c>
      <c r="E1056" s="58">
        <v>6507920.7800628077</v>
      </c>
      <c r="F1056" s="58" t="s">
        <v>1003</v>
      </c>
      <c r="G1056" s="25">
        <f t="shared" si="16"/>
        <v>1.03162523253848E-2</v>
      </c>
    </row>
    <row r="1057" spans="1:7">
      <c r="A1057" s="58">
        <v>111.67266101739273</v>
      </c>
      <c r="B1057" s="58">
        <v>111.76659831636429</v>
      </c>
      <c r="C1057" s="58">
        <v>110.44208240086526</v>
      </c>
      <c r="D1057" s="58">
        <v>110.72389429777996</v>
      </c>
      <c r="E1057" s="58">
        <v>4301104.0813757638</v>
      </c>
      <c r="F1057" s="58" t="s">
        <v>1004</v>
      </c>
      <c r="G1057" s="25">
        <f t="shared" si="16"/>
        <v>8.5687621956391791E-3</v>
      </c>
    </row>
    <row r="1058" spans="1:7">
      <c r="A1058" s="58">
        <v>111.39084912047805</v>
      </c>
      <c r="B1058" s="58">
        <v>111.75720458646714</v>
      </c>
      <c r="C1058" s="58">
        <v>110.15087677405343</v>
      </c>
      <c r="D1058" s="58">
        <v>111.63508609780411</v>
      </c>
      <c r="E1058" s="58">
        <v>4592543.1614826759</v>
      </c>
      <c r="F1058" s="58" t="s">
        <v>1005</v>
      </c>
      <c r="G1058" s="25">
        <f t="shared" si="16"/>
        <v>-2.1878155503196606E-3</v>
      </c>
    </row>
    <row r="1059" spans="1:7">
      <c r="A1059" s="58">
        <v>111.18418706274061</v>
      </c>
      <c r="B1059" s="58">
        <v>113.18505153083487</v>
      </c>
      <c r="C1059" s="58">
        <v>110.93995008541455</v>
      </c>
      <c r="D1059" s="58">
        <v>112.9220270937145</v>
      </c>
      <c r="E1059" s="58">
        <v>5783437.5263916226</v>
      </c>
      <c r="F1059" s="58" t="s">
        <v>1006</v>
      </c>
      <c r="G1059" s="25">
        <f t="shared" si="16"/>
        <v>-1.5389734631062302E-2</v>
      </c>
    </row>
    <row r="1060" spans="1:7">
      <c r="A1060" s="58">
        <v>113.08172050196616</v>
      </c>
      <c r="B1060" s="58">
        <v>113.41989477826378</v>
      </c>
      <c r="C1060" s="58">
        <v>112.22726683052083</v>
      </c>
      <c r="D1060" s="58">
        <v>112.60264027721119</v>
      </c>
      <c r="E1060" s="58">
        <v>4327202.3408194613</v>
      </c>
      <c r="F1060" s="58" t="s">
        <v>1007</v>
      </c>
      <c r="G1060" s="25">
        <f t="shared" si="16"/>
        <v>4.2546091599231506E-3</v>
      </c>
    </row>
    <row r="1061" spans="1:7">
      <c r="A1061" s="58">
        <v>112.90323963392019</v>
      </c>
      <c r="B1061" s="58">
        <v>114.66456398963697</v>
      </c>
      <c r="C1061" s="58">
        <v>112.07649746567148</v>
      </c>
      <c r="D1061" s="58">
        <v>114.4438113370538</v>
      </c>
      <c r="E1061" s="58">
        <v>5456950.6001570849</v>
      </c>
      <c r="F1061" s="58" t="s">
        <v>1008</v>
      </c>
      <c r="G1061" s="25">
        <f t="shared" si="16"/>
        <v>-1.34613806123286E-2</v>
      </c>
    </row>
    <row r="1062" spans="1:7">
      <c r="A1062" s="58">
        <v>112.71536503597707</v>
      </c>
      <c r="B1062" s="58">
        <v>112.72475876587423</v>
      </c>
      <c r="C1062" s="58">
        <v>111.51296760914107</v>
      </c>
      <c r="D1062" s="58">
        <v>112.14234751225054</v>
      </c>
      <c r="E1062" s="58">
        <v>5696234.6784315174</v>
      </c>
      <c r="F1062" s="58" t="s">
        <v>1009</v>
      </c>
      <c r="G1062" s="25">
        <f t="shared" si="16"/>
        <v>5.1097336237226898E-3</v>
      </c>
    </row>
    <row r="1063" spans="1:7">
      <c r="A1063" s="58">
        <v>111.73841712667283</v>
      </c>
      <c r="B1063" s="58">
        <v>112.07659140297045</v>
      </c>
      <c r="C1063" s="58">
        <v>110.60168187181796</v>
      </c>
      <c r="D1063" s="58">
        <v>111.45660522975815</v>
      </c>
      <c r="E1063" s="58">
        <v>3083264.0832868987</v>
      </c>
      <c r="F1063" s="58" t="s">
        <v>1010</v>
      </c>
      <c r="G1063" s="25">
        <f t="shared" si="16"/>
        <v>2.5284450063209896E-3</v>
      </c>
    </row>
    <row r="1064" spans="1:7">
      <c r="A1064" s="58">
        <v>110.67692564829417</v>
      </c>
      <c r="B1064" s="58">
        <v>110.7332880276771</v>
      </c>
      <c r="C1064" s="58">
        <v>109.54028433073827</v>
      </c>
      <c r="D1064" s="58">
        <v>110.26360153281931</v>
      </c>
      <c r="E1064" s="58">
        <v>4796562.2274960801</v>
      </c>
      <c r="F1064" s="58" t="s">
        <v>1011</v>
      </c>
      <c r="G1064" s="25">
        <f t="shared" si="16"/>
        <v>3.7485091156925776E-3</v>
      </c>
    </row>
    <row r="1065" spans="1:7">
      <c r="A1065" s="58">
        <v>109.83148995755012</v>
      </c>
      <c r="B1065" s="58">
        <v>113.88958127312159</v>
      </c>
      <c r="C1065" s="58">
        <v>109.65770595445274</v>
      </c>
      <c r="D1065" s="58">
        <v>113.76746278445856</v>
      </c>
      <c r="E1065" s="58">
        <v>6021077.9551073564</v>
      </c>
      <c r="F1065" s="58" t="s">
        <v>1012</v>
      </c>
      <c r="G1065" s="25">
        <f t="shared" si="16"/>
        <v>-3.4596647675666725E-2</v>
      </c>
    </row>
    <row r="1066" spans="1:7">
      <c r="A1066" s="58">
        <v>114.50017371643675</v>
      </c>
      <c r="B1066" s="58">
        <v>115.10137242985475</v>
      </c>
      <c r="C1066" s="58">
        <v>113.90836873291592</v>
      </c>
      <c r="D1066" s="58">
        <v>114.50017371643675</v>
      </c>
      <c r="E1066" s="58">
        <v>4768708.5418073731</v>
      </c>
      <c r="F1066" s="58" t="s">
        <v>1013</v>
      </c>
      <c r="G1066" s="25">
        <f t="shared" si="16"/>
        <v>0</v>
      </c>
    </row>
    <row r="1067" spans="1:7">
      <c r="A1067" s="58">
        <v>114.37805522777371</v>
      </c>
      <c r="B1067" s="58">
        <v>115.63324541663172</v>
      </c>
      <c r="C1067" s="58">
        <v>113.81443143394434</v>
      </c>
      <c r="D1067" s="58">
        <v>114.53774863602538</v>
      </c>
      <c r="E1067" s="58">
        <v>4402167.2384383697</v>
      </c>
      <c r="F1067" s="58" t="s">
        <v>1014</v>
      </c>
      <c r="G1067" s="25">
        <f t="shared" si="16"/>
        <v>-1.394242598212192E-3</v>
      </c>
    </row>
    <row r="1068" spans="1:7">
      <c r="A1068" s="58">
        <v>115.02622259067749</v>
      </c>
      <c r="B1068" s="58">
        <v>115.23288464841492</v>
      </c>
      <c r="C1068" s="58">
        <v>113.36353239888085</v>
      </c>
      <c r="D1068" s="58">
        <v>114.3592677679794</v>
      </c>
      <c r="E1068" s="58">
        <v>8328732.1284046471</v>
      </c>
      <c r="F1068" s="58" t="s">
        <v>1015</v>
      </c>
      <c r="G1068" s="25">
        <f t="shared" si="16"/>
        <v>5.8321011992772398E-3</v>
      </c>
    </row>
    <row r="1069" spans="1:7">
      <c r="A1069" s="58">
        <v>113.85200635353297</v>
      </c>
      <c r="B1069" s="58">
        <v>113.88958127312159</v>
      </c>
      <c r="C1069" s="58">
        <v>111.5317550689354</v>
      </c>
      <c r="D1069" s="58">
        <v>111.78538577615861</v>
      </c>
      <c r="E1069" s="58">
        <v>4257019.356294902</v>
      </c>
      <c r="F1069" s="58" t="s">
        <v>1016</v>
      </c>
      <c r="G1069" s="25">
        <f t="shared" si="16"/>
        <v>1.8487394957983128E-2</v>
      </c>
    </row>
    <row r="1070" spans="1:7">
      <c r="A1070" s="58">
        <v>112.23628481122211</v>
      </c>
      <c r="B1070" s="58">
        <v>112.29264719060505</v>
      </c>
      <c r="C1070" s="58">
        <v>109.86906487713874</v>
      </c>
      <c r="D1070" s="58">
        <v>111.04328111428326</v>
      </c>
      <c r="E1070" s="58">
        <v>4728508.3227107693</v>
      </c>
      <c r="F1070" s="58" t="s">
        <v>1017</v>
      </c>
      <c r="G1070" s="25">
        <f t="shared" si="16"/>
        <v>1.0743591912697914E-2</v>
      </c>
    </row>
    <row r="1071" spans="1:7">
      <c r="A1071" s="58">
        <v>110.35753883179088</v>
      </c>
      <c r="B1071" s="58">
        <v>110.64874445860272</v>
      </c>
      <c r="C1071" s="58">
        <v>109.17392886474919</v>
      </c>
      <c r="D1071" s="58">
        <v>110.37632629158519</v>
      </c>
      <c r="E1071" s="58">
        <v>5366550.9389685001</v>
      </c>
      <c r="F1071" s="58" t="s">
        <v>1018</v>
      </c>
      <c r="G1071" s="25">
        <f t="shared" si="16"/>
        <v>-1.7021276595741153E-4</v>
      </c>
    </row>
    <row r="1072" spans="1:7">
      <c r="A1072" s="58">
        <v>108.51636777194825</v>
      </c>
      <c r="B1072" s="58">
        <v>110.10390812456764</v>
      </c>
      <c r="C1072" s="58">
        <v>107.63335716161558</v>
      </c>
      <c r="D1072" s="58">
        <v>107.93395651832458</v>
      </c>
      <c r="E1072" s="58">
        <v>5884262.2265234338</v>
      </c>
      <c r="F1072" s="58" t="s">
        <v>1019</v>
      </c>
      <c r="G1072" s="25">
        <f t="shared" si="16"/>
        <v>5.3959965187118097E-3</v>
      </c>
    </row>
    <row r="1073" spans="1:7">
      <c r="A1073" s="58">
        <v>107.10730828737482</v>
      </c>
      <c r="B1073" s="58">
        <v>110.90237516582593</v>
      </c>
      <c r="C1073" s="58">
        <v>106.97579606881463</v>
      </c>
      <c r="D1073" s="58">
        <v>110.31996391220224</v>
      </c>
      <c r="E1073" s="58">
        <v>8529701.2876915783</v>
      </c>
      <c r="F1073" s="58" t="s">
        <v>1020</v>
      </c>
      <c r="G1073" s="25">
        <f t="shared" si="16"/>
        <v>-2.9121253405994585E-2</v>
      </c>
    </row>
    <row r="1074" spans="1:7">
      <c r="A1074" s="58">
        <v>109.90663979672738</v>
      </c>
      <c r="B1074" s="58">
        <v>110.66753191839702</v>
      </c>
      <c r="C1074" s="58">
        <v>108.71363609978854</v>
      </c>
      <c r="D1074" s="58">
        <v>110.07572693487619</v>
      </c>
      <c r="E1074" s="58">
        <v>4660151.0240626149</v>
      </c>
      <c r="F1074" s="58" t="s">
        <v>1021</v>
      </c>
      <c r="G1074" s="25">
        <f t="shared" si="16"/>
        <v>-1.536098310291889E-3</v>
      </c>
    </row>
    <row r="1075" spans="1:7">
      <c r="A1075" s="58">
        <v>111.21236825243209</v>
      </c>
      <c r="B1075" s="58">
        <v>111.97326037410174</v>
      </c>
      <c r="C1075" s="58">
        <v>109.38059092248662</v>
      </c>
      <c r="D1075" s="58">
        <v>110.75207548747143</v>
      </c>
      <c r="E1075" s="58">
        <v>5327772.9451377131</v>
      </c>
      <c r="F1075" s="58" t="s">
        <v>1022</v>
      </c>
      <c r="G1075" s="25">
        <f t="shared" si="16"/>
        <v>4.1560644614080378E-3</v>
      </c>
    </row>
    <row r="1076" spans="1:7">
      <c r="A1076" s="58">
        <v>109.07059783588048</v>
      </c>
      <c r="B1076" s="58">
        <v>111.80417323595292</v>
      </c>
      <c r="C1076" s="58">
        <v>108.69484863999422</v>
      </c>
      <c r="D1076" s="58">
        <v>110.76146921736859</v>
      </c>
      <c r="E1076" s="58">
        <v>7126236.40799654</v>
      </c>
      <c r="F1076" s="58" t="s">
        <v>1023</v>
      </c>
      <c r="G1076" s="25">
        <f t="shared" si="16"/>
        <v>-1.5265880756509143E-2</v>
      </c>
    </row>
    <row r="1077" spans="1:7">
      <c r="A1077" s="58">
        <v>111.65387355759842</v>
      </c>
      <c r="B1077" s="58">
        <v>113.56080072672113</v>
      </c>
      <c r="C1077" s="58">
        <v>110.15087677405343</v>
      </c>
      <c r="D1077" s="58">
        <v>113.23202018032066</v>
      </c>
      <c r="E1077" s="58">
        <v>7060034.8025843734</v>
      </c>
      <c r="F1077" s="58" t="s">
        <v>1024</v>
      </c>
      <c r="G1077" s="25">
        <f t="shared" si="16"/>
        <v>-1.3937282229965153E-2</v>
      </c>
    </row>
    <row r="1078" spans="1:7">
      <c r="A1078" s="58">
        <v>114.04927468137325</v>
      </c>
      <c r="B1078" s="58">
        <v>114.37805522777371</v>
      </c>
      <c r="C1078" s="58">
        <v>111.79477950605578</v>
      </c>
      <c r="D1078" s="58">
        <v>112.65900265659414</v>
      </c>
      <c r="E1078" s="58">
        <v>6293021.0520419776</v>
      </c>
      <c r="F1078" s="58" t="s">
        <v>1025</v>
      </c>
      <c r="G1078" s="25">
        <f t="shared" si="16"/>
        <v>1.234053197698648E-2</v>
      </c>
    </row>
    <row r="1079" spans="1:7">
      <c r="A1079" s="58">
        <v>113.63595056589837</v>
      </c>
      <c r="B1079" s="58">
        <v>114.66926085458554</v>
      </c>
      <c r="C1079" s="58">
        <v>113.18505153083487</v>
      </c>
      <c r="D1079" s="58">
        <v>113.47625715764671</v>
      </c>
      <c r="E1079" s="58">
        <v>5560214.1611302039</v>
      </c>
      <c r="F1079" s="58" t="s">
        <v>1026</v>
      </c>
      <c r="G1079" s="25">
        <f t="shared" si="16"/>
        <v>1.4072847682118361E-3</v>
      </c>
    </row>
    <row r="1080" spans="1:7">
      <c r="A1080" s="58">
        <v>113.06293304217185</v>
      </c>
      <c r="B1080" s="58">
        <v>113.71110040507563</v>
      </c>
      <c r="C1080" s="58">
        <v>111.09024976376905</v>
      </c>
      <c r="D1080" s="58">
        <v>111.42842404006667</v>
      </c>
      <c r="E1080" s="58">
        <v>6834163.9266672013</v>
      </c>
      <c r="F1080" s="58" t="s">
        <v>1027</v>
      </c>
      <c r="G1080" s="25">
        <f t="shared" si="16"/>
        <v>1.4668689934243861E-2</v>
      </c>
    </row>
    <row r="1081" spans="1:7">
      <c r="A1081" s="58">
        <v>111.00570619469465</v>
      </c>
      <c r="B1081" s="58">
        <v>113.81443143394434</v>
      </c>
      <c r="C1081" s="58">
        <v>110.26360153281931</v>
      </c>
      <c r="D1081" s="58">
        <v>113.01596439268607</v>
      </c>
      <c r="E1081" s="58">
        <v>7130088.9777847081</v>
      </c>
      <c r="F1081" s="58" t="s">
        <v>1028</v>
      </c>
      <c r="G1081" s="25">
        <f t="shared" si="16"/>
        <v>-1.7787382594962931E-2</v>
      </c>
    </row>
    <row r="1082" spans="1:7">
      <c r="A1082" s="58">
        <v>113.30717001949792</v>
      </c>
      <c r="B1082" s="58">
        <v>113.7188032635913</v>
      </c>
      <c r="C1082" s="58">
        <v>111.92629172461595</v>
      </c>
      <c r="D1082" s="58">
        <v>113.71110040507563</v>
      </c>
      <c r="E1082" s="58">
        <v>7269054.0123654017</v>
      </c>
      <c r="F1082" s="58" t="s">
        <v>1029</v>
      </c>
      <c r="G1082" s="25">
        <f t="shared" si="16"/>
        <v>-3.5522511358941911E-3</v>
      </c>
    </row>
    <row r="1083" spans="1:7">
      <c r="A1083" s="58">
        <v>114.98864767108887</v>
      </c>
      <c r="B1083" s="58">
        <v>115.47712162574099</v>
      </c>
      <c r="C1083" s="58">
        <v>111.31569928130079</v>
      </c>
      <c r="D1083" s="58">
        <v>111.52236133903823</v>
      </c>
      <c r="E1083" s="58">
        <v>6214450.5578846531</v>
      </c>
      <c r="F1083" s="58" t="s">
        <v>1030</v>
      </c>
      <c r="G1083" s="25">
        <f t="shared" si="16"/>
        <v>3.1081536388140263E-2</v>
      </c>
    </row>
    <row r="1084" spans="1:7">
      <c r="A1084" s="58">
        <v>111.52236133903823</v>
      </c>
      <c r="B1084" s="58">
        <v>111.70553907203279</v>
      </c>
      <c r="C1084" s="58">
        <v>107.49010278068394</v>
      </c>
      <c r="D1084" s="58">
        <v>108.02789381729613</v>
      </c>
      <c r="E1084" s="58">
        <v>6656292.0889314963</v>
      </c>
      <c r="F1084" s="58" t="s">
        <v>1031</v>
      </c>
      <c r="G1084" s="25">
        <f t="shared" si="16"/>
        <v>3.2347826086956522E-2</v>
      </c>
    </row>
    <row r="1085" spans="1:7">
      <c r="A1085" s="58">
        <v>110.14148304415627</v>
      </c>
      <c r="B1085" s="58">
        <v>111.63499216050513</v>
      </c>
      <c r="C1085" s="58">
        <v>109.89724606683021</v>
      </c>
      <c r="D1085" s="58">
        <v>110.84601278644298</v>
      </c>
      <c r="E1085" s="58">
        <v>5518831.2382384483</v>
      </c>
      <c r="F1085" s="58" t="s">
        <v>1032</v>
      </c>
      <c r="G1085" s="25">
        <f t="shared" si="16"/>
        <v>-6.3559322033898136E-3</v>
      </c>
    </row>
    <row r="1086" spans="1:7">
      <c r="A1086" s="58">
        <v>110.38572002148234</v>
      </c>
      <c r="B1086" s="58">
        <v>112.09537886276476</v>
      </c>
      <c r="C1086" s="58">
        <v>109.06120410598331</v>
      </c>
      <c r="D1086" s="58">
        <v>109.47452822145819</v>
      </c>
      <c r="E1086" s="58">
        <v>8913140.0324111208</v>
      </c>
      <c r="F1086" s="58" t="s">
        <v>1033</v>
      </c>
      <c r="G1086" s="25">
        <f t="shared" si="16"/>
        <v>8.3233224643899373E-3</v>
      </c>
    </row>
    <row r="1087" spans="1:7">
      <c r="A1087" s="58">
        <v>109.7093714688871</v>
      </c>
      <c r="B1087" s="58">
        <v>113.01596439268607</v>
      </c>
      <c r="C1087" s="58">
        <v>107.87759413894163</v>
      </c>
      <c r="D1087" s="58">
        <v>112.72475876587423</v>
      </c>
      <c r="E1087" s="58">
        <v>13174889.139346762</v>
      </c>
      <c r="F1087" s="58" t="s">
        <v>1034</v>
      </c>
      <c r="G1087" s="25">
        <f t="shared" si="16"/>
        <v>-2.674999999999994E-2</v>
      </c>
    </row>
    <row r="1088" spans="1:7">
      <c r="A1088" s="58">
        <v>113.26959509990928</v>
      </c>
      <c r="B1088" s="58">
        <v>115.7119648731699</v>
      </c>
      <c r="C1088" s="58">
        <v>113.16626407104057</v>
      </c>
      <c r="D1088" s="58">
        <v>115.53348400512392</v>
      </c>
      <c r="E1088" s="58">
        <v>3926389.2408877886</v>
      </c>
      <c r="F1088" s="58" t="s">
        <v>1035</v>
      </c>
      <c r="G1088" s="25">
        <f t="shared" si="16"/>
        <v>-1.9595089031628654E-2</v>
      </c>
    </row>
    <row r="1089" spans="1:7">
      <c r="A1089" s="58">
        <v>116.18165136802772</v>
      </c>
      <c r="B1089" s="58">
        <v>116.58558175360542</v>
      </c>
      <c r="C1089" s="58">
        <v>114.19018062983059</v>
      </c>
      <c r="D1089" s="58">
        <v>115.96559558039311</v>
      </c>
      <c r="E1089" s="58">
        <v>5405917.6233471893</v>
      </c>
      <c r="F1089" s="58" t="s">
        <v>1036</v>
      </c>
      <c r="G1089" s="25">
        <f t="shared" si="16"/>
        <v>1.8631024706359245E-3</v>
      </c>
    </row>
    <row r="1090" spans="1:7">
      <c r="A1090" s="58">
        <v>116.46346326494239</v>
      </c>
      <c r="B1090" s="58">
        <v>117.81606643283391</v>
      </c>
      <c r="C1090" s="58">
        <v>115.93093271707261</v>
      </c>
      <c r="D1090" s="58">
        <v>116.65791347381352</v>
      </c>
      <c r="E1090" s="58">
        <v>5639898.163991156</v>
      </c>
      <c r="F1090" s="58" t="s">
        <v>1037</v>
      </c>
      <c r="G1090" s="25">
        <f t="shared" si="16"/>
        <v>-1.66684113474036E-3</v>
      </c>
    </row>
    <row r="1091" spans="1:7">
      <c r="A1091" s="58">
        <v>115.33621567728365</v>
      </c>
      <c r="B1091" s="58">
        <v>117.95706631859022</v>
      </c>
      <c r="C1091" s="58">
        <v>114.58471728551116</v>
      </c>
      <c r="D1091" s="58">
        <v>117.42162371445232</v>
      </c>
      <c r="E1091" s="58">
        <v>7913658.452379494</v>
      </c>
      <c r="F1091" s="58" t="s">
        <v>1038</v>
      </c>
      <c r="G1091" s="25">
        <f t="shared" ref="G1091:G1154" si="17">A1091/D1091-1</f>
        <v>-1.7759999999999998E-2</v>
      </c>
    </row>
    <row r="1092" spans="1:7">
      <c r="A1092" s="58">
        <v>117.88191647941296</v>
      </c>
      <c r="B1092" s="58">
        <v>121.10396583413753</v>
      </c>
      <c r="C1092" s="58">
        <v>117.56252966290967</v>
      </c>
      <c r="D1092" s="58">
        <v>120.03308062586174</v>
      </c>
      <c r="E1092" s="58">
        <v>5113244.7415313823</v>
      </c>
      <c r="F1092" s="58" t="s">
        <v>1039</v>
      </c>
      <c r="G1092" s="25">
        <f t="shared" si="17"/>
        <v>-1.7921427453435723E-2</v>
      </c>
    </row>
    <row r="1093" spans="1:7">
      <c r="A1093" s="58">
        <v>120.01429316606743</v>
      </c>
      <c r="B1093" s="58">
        <v>122.04333882385315</v>
      </c>
      <c r="C1093" s="58">
        <v>119.46006310213521</v>
      </c>
      <c r="D1093" s="58">
        <v>120.77518528773707</v>
      </c>
      <c r="E1093" s="58">
        <v>6299656.3290493432</v>
      </c>
      <c r="F1093" s="58" t="s">
        <v>1040</v>
      </c>
      <c r="G1093" s="25">
        <f t="shared" si="17"/>
        <v>-6.3000700007777022E-3</v>
      </c>
    </row>
    <row r="1094" spans="1:7">
      <c r="A1094" s="58">
        <v>122.57878142799107</v>
      </c>
      <c r="B1094" s="58">
        <v>122.86059332490575</v>
      </c>
      <c r="C1094" s="58">
        <v>121.57365232899534</v>
      </c>
      <c r="D1094" s="58">
        <v>121.66758962796692</v>
      </c>
      <c r="E1094" s="58">
        <v>3655841.7557222438</v>
      </c>
      <c r="F1094" s="58" t="s">
        <v>1041</v>
      </c>
      <c r="G1094" s="25">
        <f t="shared" si="17"/>
        <v>7.4891908585548173E-3</v>
      </c>
    </row>
    <row r="1095" spans="1:7">
      <c r="A1095" s="58">
        <v>120.85033512691433</v>
      </c>
      <c r="B1095" s="58">
        <v>121.12275329393185</v>
      </c>
      <c r="C1095" s="58">
        <v>119.45066937223805</v>
      </c>
      <c r="D1095" s="58">
        <v>119.79823737843283</v>
      </c>
      <c r="E1095" s="58">
        <v>4141969.2098853081</v>
      </c>
      <c r="F1095" s="58" t="s">
        <v>1042</v>
      </c>
      <c r="G1095" s="25">
        <f t="shared" si="17"/>
        <v>8.7822473143575053E-3</v>
      </c>
    </row>
    <row r="1096" spans="1:7">
      <c r="A1096" s="58">
        <v>120.28671133308497</v>
      </c>
      <c r="B1096" s="58">
        <v>122.07152001354461</v>
      </c>
      <c r="C1096" s="58">
        <v>119.93914332689019</v>
      </c>
      <c r="D1096" s="58">
        <v>121.99637017436739</v>
      </c>
      <c r="E1096" s="58">
        <v>4295673.8635008121</v>
      </c>
      <c r="F1096" s="58" t="s">
        <v>1043</v>
      </c>
      <c r="G1096" s="25">
        <f t="shared" si="17"/>
        <v>-1.401401401401392E-2</v>
      </c>
    </row>
    <row r="1097" spans="1:7">
      <c r="A1097" s="58">
        <v>121.84607049601289</v>
      </c>
      <c r="B1097" s="58">
        <v>122.60696261768254</v>
      </c>
      <c r="C1097" s="58">
        <v>120.80336647742854</v>
      </c>
      <c r="D1097" s="58">
        <v>121.70516454755554</v>
      </c>
      <c r="E1097" s="58">
        <v>4417502.9998001708</v>
      </c>
      <c r="F1097" s="58" t="s">
        <v>1044</v>
      </c>
      <c r="G1097" s="25">
        <f t="shared" si="17"/>
        <v>1.1577647422043036E-3</v>
      </c>
    </row>
    <row r="1098" spans="1:7">
      <c r="A1098" s="58">
        <v>122.22181969189914</v>
      </c>
      <c r="B1098" s="58">
        <v>122.99680240841452</v>
      </c>
      <c r="C1098" s="58">
        <v>120.481443353853</v>
      </c>
      <c r="D1098" s="58">
        <v>120.83154766712001</v>
      </c>
      <c r="E1098" s="58">
        <v>5975844.5915071703</v>
      </c>
      <c r="F1098" s="58" t="s">
        <v>1045</v>
      </c>
      <c r="G1098" s="25">
        <f t="shared" si="17"/>
        <v>1.1505869548317005E-2</v>
      </c>
    </row>
    <row r="1099" spans="1:7">
      <c r="A1099" s="58">
        <v>122.15606358261903</v>
      </c>
      <c r="B1099" s="58">
        <v>122.81362467541997</v>
      </c>
      <c r="C1099" s="58">
        <v>120.10823046503899</v>
      </c>
      <c r="D1099" s="58">
        <v>120.47458593102807</v>
      </c>
      <c r="E1099" s="58">
        <v>7931355.3631721204</v>
      </c>
      <c r="F1099" s="58" t="s">
        <v>1046</v>
      </c>
      <c r="G1099" s="25">
        <f t="shared" si="17"/>
        <v>1.3957115009746612E-2</v>
      </c>
    </row>
    <row r="1100" spans="1:7">
      <c r="A1100" s="58">
        <v>119.48824429182669</v>
      </c>
      <c r="B1100" s="58">
        <v>119.92035586709586</v>
      </c>
      <c r="C1100" s="58">
        <v>118.58644622169969</v>
      </c>
      <c r="D1100" s="58">
        <v>119.64793770007834</v>
      </c>
      <c r="E1100" s="58">
        <v>5963566.1886509294</v>
      </c>
      <c r="F1100" s="58" t="s">
        <v>1047</v>
      </c>
      <c r="G1100" s="25">
        <f t="shared" si="17"/>
        <v>-1.3346941980058036E-3</v>
      </c>
    </row>
    <row r="1101" spans="1:7">
      <c r="A1101" s="58">
        <v>119.73248126915273</v>
      </c>
      <c r="B1101" s="58">
        <v>120.20216776401054</v>
      </c>
      <c r="C1101" s="58">
        <v>117.54374220311534</v>
      </c>
      <c r="D1101" s="58">
        <v>117.91009766910443</v>
      </c>
      <c r="E1101" s="58">
        <v>7675481.4955694694</v>
      </c>
      <c r="F1101" s="58" t="s">
        <v>1048</v>
      </c>
      <c r="G1101" s="25">
        <f t="shared" si="17"/>
        <v>1.5455704270235904E-2</v>
      </c>
    </row>
    <row r="1102" spans="1:7">
      <c r="A1102" s="58">
        <v>117.75040426085278</v>
      </c>
      <c r="B1102" s="58">
        <v>117.9194913990016</v>
      </c>
      <c r="C1102" s="58">
        <v>112.35840329988514</v>
      </c>
      <c r="D1102" s="58">
        <v>113.44807596795525</v>
      </c>
      <c r="E1102" s="58">
        <v>8821274.4998220634</v>
      </c>
      <c r="F1102" s="58" t="s">
        <v>1049</v>
      </c>
      <c r="G1102" s="25">
        <f t="shared" si="17"/>
        <v>3.7923325329138002E-2</v>
      </c>
    </row>
    <row r="1103" spans="1:7">
      <c r="A1103" s="58">
        <v>113.13808288134909</v>
      </c>
      <c r="B1103" s="58">
        <v>115.70257114327273</v>
      </c>
      <c r="C1103" s="58">
        <v>112.48052178854816</v>
      </c>
      <c r="D1103" s="58">
        <v>113.64534429579554</v>
      </c>
      <c r="E1103" s="58">
        <v>9772618.6514891721</v>
      </c>
      <c r="F1103" s="58" t="s">
        <v>1050</v>
      </c>
      <c r="G1103" s="25">
        <f t="shared" si="17"/>
        <v>-4.4635476938338359E-3</v>
      </c>
    </row>
    <row r="1104" spans="1:7">
      <c r="A1104" s="58">
        <v>112.79051487515432</v>
      </c>
      <c r="B1104" s="58">
        <v>114.30290538859647</v>
      </c>
      <c r="C1104" s="58">
        <v>111.78538577615861</v>
      </c>
      <c r="D1104" s="58">
        <v>111.96386664420457</v>
      </c>
      <c r="E1104" s="58">
        <v>15705258.89238766</v>
      </c>
      <c r="F1104" s="58" t="s">
        <v>1051</v>
      </c>
      <c r="G1104" s="25">
        <f t="shared" si="17"/>
        <v>7.3831697290041021E-3</v>
      </c>
    </row>
    <row r="1105" spans="1:7">
      <c r="A1105" s="58">
        <v>115.7965084422443</v>
      </c>
      <c r="B1105" s="58">
        <v>117.0662589124429</v>
      </c>
      <c r="C1105" s="58">
        <v>114.21836181952206</v>
      </c>
      <c r="D1105" s="58">
        <v>115.61802757419834</v>
      </c>
      <c r="E1105" s="58">
        <v>9715650.8649061229</v>
      </c>
      <c r="F1105" s="58" t="s">
        <v>1052</v>
      </c>
      <c r="G1105" s="25">
        <f t="shared" si="17"/>
        <v>1.5437114072147651E-3</v>
      </c>
    </row>
    <row r="1106" spans="1:7">
      <c r="A1106" s="58">
        <v>116.31316358658788</v>
      </c>
      <c r="B1106" s="58">
        <v>116.95193721959451</v>
      </c>
      <c r="C1106" s="58">
        <v>113.36353239888085</v>
      </c>
      <c r="D1106" s="58">
        <v>116.49164445463386</v>
      </c>
      <c r="E1106" s="58">
        <v>11570179.384538557</v>
      </c>
      <c r="F1106" s="58" t="s">
        <v>1053</v>
      </c>
      <c r="G1106" s="25">
        <f t="shared" si="17"/>
        <v>-1.5321345052818902E-3</v>
      </c>
    </row>
    <row r="1107" spans="1:7">
      <c r="A1107" s="58">
        <v>118.20130329591628</v>
      </c>
      <c r="B1107" s="58">
        <v>119.38491326295797</v>
      </c>
      <c r="C1107" s="58">
        <v>117.29011149589213</v>
      </c>
      <c r="D1107" s="58">
        <v>119.12188882583759</v>
      </c>
      <c r="E1107" s="58">
        <v>10786643.9752196</v>
      </c>
      <c r="F1107" s="58" t="s">
        <v>1054</v>
      </c>
      <c r="G1107" s="25">
        <f t="shared" si="17"/>
        <v>-7.7280971532214249E-3</v>
      </c>
    </row>
    <row r="1108" spans="1:7">
      <c r="A1108" s="58">
        <v>117.14920554743479</v>
      </c>
      <c r="B1108" s="58">
        <v>120.15519911452476</v>
      </c>
      <c r="C1108" s="58">
        <v>117.05526824846322</v>
      </c>
      <c r="D1108" s="58">
        <v>118.58644622169969</v>
      </c>
      <c r="E1108" s="58">
        <v>9211004.6751710828</v>
      </c>
      <c r="F1108" s="58" t="s">
        <v>1055</v>
      </c>
      <c r="G1108" s="25">
        <f t="shared" si="17"/>
        <v>-1.2119771863117856E-2</v>
      </c>
    </row>
    <row r="1109" spans="1:7">
      <c r="A1109" s="58">
        <v>118.40796535365372</v>
      </c>
      <c r="B1109" s="58">
        <v>119.84520602791861</v>
      </c>
      <c r="C1109" s="58">
        <v>118.20130329591628</v>
      </c>
      <c r="D1109" s="58">
        <v>119.06552644645465</v>
      </c>
      <c r="E1109" s="58">
        <v>4254322.8768051444</v>
      </c>
      <c r="F1109" s="58" t="s">
        <v>1056</v>
      </c>
      <c r="G1109" s="25">
        <f t="shared" si="17"/>
        <v>-5.5226824457593748E-3</v>
      </c>
    </row>
    <row r="1110" spans="1:7">
      <c r="A1110" s="58">
        <v>118.89643930830583</v>
      </c>
      <c r="B1110" s="58">
        <v>120.17398657431909</v>
      </c>
      <c r="C1110" s="58">
        <v>117.93827885879591</v>
      </c>
      <c r="D1110" s="58">
        <v>119.67611888976981</v>
      </c>
      <c r="E1110" s="58">
        <v>6228454.5798695544</v>
      </c>
      <c r="F1110" s="58" t="s">
        <v>1057</v>
      </c>
      <c r="G1110" s="25">
        <f t="shared" si="17"/>
        <v>-6.5149136577709044E-3</v>
      </c>
    </row>
    <row r="1111" spans="1:7">
      <c r="A1111" s="58">
        <v>120.39004236195368</v>
      </c>
      <c r="B1111" s="58">
        <v>122.67271872696263</v>
      </c>
      <c r="C1111" s="58">
        <v>119.31915715367786</v>
      </c>
      <c r="D1111" s="58">
        <v>122.57878142799107</v>
      </c>
      <c r="E1111" s="58">
        <v>9854310.3765442334</v>
      </c>
      <c r="F1111" s="58" t="s">
        <v>1058</v>
      </c>
      <c r="G1111" s="25">
        <f t="shared" si="17"/>
        <v>-1.7855774388842116E-2</v>
      </c>
    </row>
    <row r="1112" spans="1:7">
      <c r="A1112" s="58">
        <v>121.78970811662995</v>
      </c>
      <c r="B1112" s="58">
        <v>124.77691422392563</v>
      </c>
      <c r="C1112" s="58">
        <v>121.58304605889252</v>
      </c>
      <c r="D1112" s="58">
        <v>124.36359010845072</v>
      </c>
      <c r="E1112" s="58">
        <v>7637581.7471311223</v>
      </c>
      <c r="F1112" s="58" t="s">
        <v>1059</v>
      </c>
      <c r="G1112" s="25">
        <f t="shared" si="17"/>
        <v>-2.0696427222599678E-2</v>
      </c>
    </row>
    <row r="1113" spans="1:7">
      <c r="A1113" s="58">
        <v>125.17145087960621</v>
      </c>
      <c r="B1113" s="58">
        <v>127.02487200390789</v>
      </c>
      <c r="C1113" s="58">
        <v>124.05752606247542</v>
      </c>
      <c r="D1113" s="58">
        <v>126.26665427123902</v>
      </c>
      <c r="E1113" s="58">
        <v>8990779.0417995062</v>
      </c>
      <c r="F1113" s="58" t="s">
        <v>1060</v>
      </c>
      <c r="G1113" s="25">
        <f t="shared" si="17"/>
        <v>-8.6737341537549417E-3</v>
      </c>
    </row>
    <row r="1114" spans="1:7">
      <c r="A1114" s="58">
        <v>127.02487200390789</v>
      </c>
      <c r="B1114" s="58">
        <v>127.27761124813085</v>
      </c>
      <c r="C1114" s="58">
        <v>125.47099368757416</v>
      </c>
      <c r="D1114" s="58">
        <v>126.58491850470496</v>
      </c>
      <c r="E1114" s="58">
        <v>6099337.8956222404</v>
      </c>
      <c r="F1114" s="58" t="s">
        <v>1061</v>
      </c>
      <c r="G1114" s="25">
        <f t="shared" si="17"/>
        <v>3.4755601567699745E-3</v>
      </c>
    </row>
    <row r="1115" spans="1:7">
      <c r="A1115" s="58">
        <v>126.61300064295196</v>
      </c>
      <c r="B1115" s="58">
        <v>126.83765774892792</v>
      </c>
      <c r="C1115" s="58">
        <v>125.35866513458618</v>
      </c>
      <c r="D1115" s="58">
        <v>126.17304714374903</v>
      </c>
      <c r="E1115" s="58">
        <v>6383737.1792435506</v>
      </c>
      <c r="F1115" s="58" t="s">
        <v>1062</v>
      </c>
      <c r="G1115" s="25">
        <f t="shared" si="17"/>
        <v>3.486905556792097E-3</v>
      </c>
    </row>
    <row r="1116" spans="1:7">
      <c r="A1116" s="58">
        <v>126.89382202542193</v>
      </c>
      <c r="B1116" s="58">
        <v>127.47418621585982</v>
      </c>
      <c r="C1116" s="58">
        <v>125.7892579210401</v>
      </c>
      <c r="D1116" s="58">
        <v>126.25729355849002</v>
      </c>
      <c r="E1116" s="58">
        <v>4665759.0261674635</v>
      </c>
      <c r="F1116" s="58" t="s">
        <v>1063</v>
      </c>
      <c r="G1116" s="25">
        <f t="shared" si="17"/>
        <v>5.0415183867142943E-3</v>
      </c>
    </row>
    <row r="1117" spans="1:7">
      <c r="A1117" s="58">
        <v>126.50067208996397</v>
      </c>
      <c r="B1117" s="58">
        <v>127.50226835410682</v>
      </c>
      <c r="C1117" s="58">
        <v>125.32122228359019</v>
      </c>
      <c r="D1117" s="58">
        <v>126.36962211147801</v>
      </c>
      <c r="E1117" s="58">
        <v>6100205.35093443</v>
      </c>
      <c r="F1117" s="58" t="s">
        <v>1064</v>
      </c>
      <c r="G1117" s="25">
        <f t="shared" si="17"/>
        <v>1.0370370370369475E-3</v>
      </c>
    </row>
    <row r="1118" spans="1:7">
      <c r="A1118" s="58">
        <v>126.51939351546199</v>
      </c>
      <c r="B1118" s="58">
        <v>128.26984679952469</v>
      </c>
      <c r="C1118" s="58">
        <v>126.435147100721</v>
      </c>
      <c r="D1118" s="58">
        <v>126.51003280271298</v>
      </c>
      <c r="E1118" s="58">
        <v>6354614.3968967497</v>
      </c>
      <c r="F1118" s="58" t="s">
        <v>1065</v>
      </c>
      <c r="G1118" s="25">
        <f t="shared" si="17"/>
        <v>7.3991860895405992E-5</v>
      </c>
    </row>
    <row r="1119" spans="1:7">
      <c r="A1119" s="58">
        <v>127.09039699315089</v>
      </c>
      <c r="B1119" s="58">
        <v>130.72235353976225</v>
      </c>
      <c r="C1119" s="58">
        <v>126.14496500550204</v>
      </c>
      <c r="D1119" s="58">
        <v>130.58194284852726</v>
      </c>
      <c r="E1119" s="58">
        <v>8804053.9443770871</v>
      </c>
      <c r="F1119" s="58" t="s">
        <v>1066</v>
      </c>
      <c r="G1119" s="25">
        <f t="shared" si="17"/>
        <v>-2.6738351254480097E-2</v>
      </c>
    </row>
    <row r="1120" spans="1:7">
      <c r="A1120" s="58">
        <v>130.15135006207333</v>
      </c>
      <c r="B1120" s="58">
        <v>130.8909399763717</v>
      </c>
      <c r="C1120" s="58">
        <v>128.43833962900666</v>
      </c>
      <c r="D1120" s="58">
        <v>130.5164178592843</v>
      </c>
      <c r="E1120" s="58">
        <v>7149490.8341419986</v>
      </c>
      <c r="F1120" s="58" t="s">
        <v>1067</v>
      </c>
      <c r="G1120" s="25">
        <f t="shared" si="17"/>
        <v>-2.7971024887042395E-3</v>
      </c>
    </row>
    <row r="1121" spans="1:7">
      <c r="A1121" s="58">
        <v>131.74267122940307</v>
      </c>
      <c r="B1121" s="58">
        <v>132.70682464254992</v>
      </c>
      <c r="C1121" s="58">
        <v>131.72394980390507</v>
      </c>
      <c r="D1121" s="58">
        <v>131.98604976087702</v>
      </c>
      <c r="E1121" s="58">
        <v>3495199.6581137362</v>
      </c>
      <c r="F1121" s="58" t="s">
        <v>1068</v>
      </c>
      <c r="G1121" s="25">
        <f t="shared" si="17"/>
        <v>-1.8439716312056431E-3</v>
      </c>
    </row>
    <row r="1122" spans="1:7">
      <c r="A1122" s="58">
        <v>131.98604976087702</v>
      </c>
      <c r="B1122" s="58">
        <v>132.68342286067741</v>
      </c>
      <c r="C1122" s="58">
        <v>131.60226053816811</v>
      </c>
      <c r="D1122" s="58">
        <v>132.36983898358596</v>
      </c>
      <c r="E1122" s="58">
        <v>3000968.062288404</v>
      </c>
      <c r="F1122" s="58" t="s">
        <v>1069</v>
      </c>
      <c r="G1122" s="25">
        <f t="shared" si="17"/>
        <v>-2.899370624425468E-3</v>
      </c>
    </row>
    <row r="1123" spans="1:7">
      <c r="A1123" s="58">
        <v>132.16390330310799</v>
      </c>
      <c r="B1123" s="58">
        <v>132.60385680231093</v>
      </c>
      <c r="C1123" s="58">
        <v>130.42281073179433</v>
      </c>
      <c r="D1123" s="58">
        <v>131.48993198518011</v>
      </c>
      <c r="E1123" s="58">
        <v>3043563.1093421299</v>
      </c>
      <c r="F1123" s="58" t="s">
        <v>1070</v>
      </c>
      <c r="G1123" s="25">
        <f t="shared" si="17"/>
        <v>5.1256496048979194E-3</v>
      </c>
    </row>
    <row r="1124" spans="1:7">
      <c r="A1124" s="58">
        <v>131.48993198518011</v>
      </c>
      <c r="B1124" s="58">
        <v>132.65066036605592</v>
      </c>
      <c r="C1124" s="58">
        <v>131.17166775171418</v>
      </c>
      <c r="D1124" s="58">
        <v>132.52897110031896</v>
      </c>
      <c r="E1124" s="58">
        <v>3524029.7277074088</v>
      </c>
      <c r="F1124" s="58" t="s">
        <v>1071</v>
      </c>
      <c r="G1124" s="25">
        <f t="shared" si="17"/>
        <v>-7.8400904082499556E-3</v>
      </c>
    </row>
    <row r="1125" spans="1:7">
      <c r="A1125" s="58">
        <v>132.41664254733095</v>
      </c>
      <c r="B1125" s="58">
        <v>133.48376380071676</v>
      </c>
      <c r="C1125" s="58">
        <v>130.5164178592843</v>
      </c>
      <c r="D1125" s="58">
        <v>130.88148565649522</v>
      </c>
      <c r="E1125" s="58">
        <v>4062288.9538052436</v>
      </c>
      <c r="F1125" s="58" t="s">
        <v>1072</v>
      </c>
      <c r="G1125" s="25">
        <f t="shared" si="17"/>
        <v>1.1729366328136148E-2</v>
      </c>
    </row>
    <row r="1126" spans="1:7">
      <c r="A1126" s="58">
        <v>130.26367861506134</v>
      </c>
      <c r="B1126" s="58">
        <v>131.26527487920416</v>
      </c>
      <c r="C1126" s="58">
        <v>129.85180725410541</v>
      </c>
      <c r="D1126" s="58">
        <v>130.72235353976225</v>
      </c>
      <c r="E1126" s="58">
        <v>3730540.7116286755</v>
      </c>
      <c r="F1126" s="58" t="s">
        <v>1073</v>
      </c>
      <c r="G1126" s="25">
        <f t="shared" si="17"/>
        <v>-3.5087719298245723E-3</v>
      </c>
    </row>
    <row r="1127" spans="1:7">
      <c r="A1127" s="58">
        <v>130.10454649832838</v>
      </c>
      <c r="B1127" s="58">
        <v>130.13262863657536</v>
      </c>
      <c r="C1127" s="58">
        <v>127.10911841864888</v>
      </c>
      <c r="D1127" s="58">
        <v>127.19336483338986</v>
      </c>
      <c r="E1127" s="58">
        <v>7231145.9410228059</v>
      </c>
      <c r="F1127" s="58" t="s">
        <v>1074</v>
      </c>
      <c r="G1127" s="25">
        <f t="shared" si="17"/>
        <v>2.2887842213718201E-2</v>
      </c>
    </row>
    <row r="1128" spans="1:7">
      <c r="A1128" s="58">
        <v>126.62236135570097</v>
      </c>
      <c r="B1128" s="58">
        <v>128.40716845555249</v>
      </c>
      <c r="C1128" s="58">
        <v>124.87190807163827</v>
      </c>
      <c r="D1128" s="58">
        <v>127.32441481187585</v>
      </c>
      <c r="E1128" s="58">
        <v>7642395.6079257792</v>
      </c>
      <c r="F1128" s="58" t="s">
        <v>1075</v>
      </c>
      <c r="G1128" s="25">
        <f t="shared" si="17"/>
        <v>-5.5138950154389743E-3</v>
      </c>
    </row>
    <row r="1129" spans="1:7">
      <c r="A1129" s="58">
        <v>126.35090068598001</v>
      </c>
      <c r="B1129" s="58">
        <v>128.99998239394657</v>
      </c>
      <c r="C1129" s="58">
        <v>125.63948651705614</v>
      </c>
      <c r="D1129" s="58">
        <v>127.4929076413578</v>
      </c>
      <c r="E1129" s="58">
        <v>6945446.5427279305</v>
      </c>
      <c r="F1129" s="58" t="s">
        <v>1076</v>
      </c>
      <c r="G1129" s="25">
        <f t="shared" si="17"/>
        <v>-8.9574155653450171E-3</v>
      </c>
    </row>
    <row r="1130" spans="1:7">
      <c r="A1130" s="58">
        <v>128.34473250151669</v>
      </c>
      <c r="B1130" s="58">
        <v>130.36664645530033</v>
      </c>
      <c r="C1130" s="58">
        <v>128.13879682103868</v>
      </c>
      <c r="D1130" s="58">
        <v>128.7472431497236</v>
      </c>
      <c r="E1130" s="58">
        <v>12986427.771005748</v>
      </c>
      <c r="F1130" s="58" t="s">
        <v>1077</v>
      </c>
      <c r="G1130" s="25">
        <f t="shared" si="17"/>
        <v>-3.1263632397846575E-3</v>
      </c>
    </row>
    <row r="1131" spans="1:7">
      <c r="A1131" s="58">
        <v>127.38993980111883</v>
      </c>
      <c r="B1131" s="58">
        <v>127.87669686406676</v>
      </c>
      <c r="C1131" s="58">
        <v>125.99519360151807</v>
      </c>
      <c r="D1131" s="58">
        <v>126.78149347243394</v>
      </c>
      <c r="E1131" s="58">
        <v>7461023.7353425017</v>
      </c>
      <c r="F1131" s="58" t="s">
        <v>1078</v>
      </c>
      <c r="G1131" s="25">
        <f t="shared" si="17"/>
        <v>4.7991730655640996E-3</v>
      </c>
    </row>
    <row r="1132" spans="1:7">
      <c r="A1132" s="58">
        <v>126.89382202542193</v>
      </c>
      <c r="B1132" s="58">
        <v>126.99678986566089</v>
      </c>
      <c r="C1132" s="58">
        <v>124.40387243418836</v>
      </c>
      <c r="D1132" s="58">
        <v>125.00295805012424</v>
      </c>
      <c r="E1132" s="58">
        <v>6861077.9672597321</v>
      </c>
      <c r="F1132" s="58" t="s">
        <v>1079</v>
      </c>
      <c r="G1132" s="25">
        <f t="shared" si="17"/>
        <v>1.5126553841545709E-2</v>
      </c>
    </row>
    <row r="1133" spans="1:7">
      <c r="A1133" s="58">
        <v>124.44131528518434</v>
      </c>
      <c r="B1133" s="58">
        <v>127.30569338637784</v>
      </c>
      <c r="C1133" s="58">
        <v>123.5614082867785</v>
      </c>
      <c r="D1133" s="58">
        <v>127.24016839713487</v>
      </c>
      <c r="E1133" s="58">
        <v>8752881.5590209346</v>
      </c>
      <c r="F1133" s="58" t="s">
        <v>1080</v>
      </c>
      <c r="G1133" s="25">
        <f t="shared" si="17"/>
        <v>-2.1996615905245376E-2</v>
      </c>
    </row>
    <row r="1134" spans="1:7">
      <c r="A1134" s="58">
        <v>127.26825053538187</v>
      </c>
      <c r="B1134" s="58">
        <v>128.24176466127767</v>
      </c>
      <c r="C1134" s="58">
        <v>125.90158647402809</v>
      </c>
      <c r="D1134" s="58">
        <v>125.90158647402809</v>
      </c>
      <c r="E1134" s="58">
        <v>5442783.1903560599</v>
      </c>
      <c r="F1134" s="58" t="s">
        <v>1081</v>
      </c>
      <c r="G1134" s="25">
        <f t="shared" si="17"/>
        <v>1.0855018587360599E-2</v>
      </c>
    </row>
    <row r="1135" spans="1:7">
      <c r="A1135" s="58">
        <v>125.77989720829112</v>
      </c>
      <c r="B1135" s="58">
        <v>125.90158647402809</v>
      </c>
      <c r="C1135" s="58">
        <v>124.37579029594136</v>
      </c>
      <c r="D1135" s="58">
        <v>124.89062949713626</v>
      </c>
      <c r="E1135" s="58">
        <v>4670367.6495871507</v>
      </c>
      <c r="F1135" s="58" t="s">
        <v>1082</v>
      </c>
      <c r="G1135" s="25">
        <f t="shared" si="17"/>
        <v>7.1203717583572246E-3</v>
      </c>
    </row>
    <row r="1136" spans="1:7">
      <c r="A1136" s="58">
        <v>124.05752606247542</v>
      </c>
      <c r="B1136" s="58">
        <v>124.60044740191734</v>
      </c>
      <c r="C1136" s="58">
        <v>123.07465122383057</v>
      </c>
      <c r="D1136" s="58">
        <v>124.02944392422842</v>
      </c>
      <c r="E1136" s="58">
        <v>2845307.9070127374</v>
      </c>
      <c r="F1136" s="58" t="s">
        <v>1083</v>
      </c>
      <c r="G1136" s="25">
        <f t="shared" si="17"/>
        <v>2.2641509433962703E-4</v>
      </c>
    </row>
    <row r="1137" spans="1:7">
      <c r="A1137" s="58">
        <v>123.90775465849144</v>
      </c>
      <c r="B1137" s="58">
        <v>124.91871163538325</v>
      </c>
      <c r="C1137" s="58">
        <v>122.73766556486665</v>
      </c>
      <c r="D1137" s="58">
        <v>124.31026530669838</v>
      </c>
      <c r="E1137" s="58">
        <v>5757478.2439261219</v>
      </c>
      <c r="F1137" s="58" t="s">
        <v>1084</v>
      </c>
      <c r="G1137" s="25">
        <f t="shared" si="17"/>
        <v>-3.237951807228967E-3</v>
      </c>
    </row>
    <row r="1138" spans="1:7">
      <c r="A1138" s="58">
        <v>123.95455822223641</v>
      </c>
      <c r="B1138" s="58">
        <v>125.50843653857017</v>
      </c>
      <c r="C1138" s="58">
        <v>123.37419403179854</v>
      </c>
      <c r="D1138" s="58">
        <v>125.43355083657818</v>
      </c>
      <c r="E1138" s="58">
        <v>5494877.5140550947</v>
      </c>
      <c r="F1138" s="58" t="s">
        <v>1085</v>
      </c>
      <c r="G1138" s="25">
        <f t="shared" si="17"/>
        <v>-1.1791044776119586E-2</v>
      </c>
    </row>
    <row r="1139" spans="1:7">
      <c r="A1139" s="58">
        <v>124.00136178598142</v>
      </c>
      <c r="B1139" s="58">
        <v>124.75957951865028</v>
      </c>
      <c r="C1139" s="58">
        <v>122.26026921466773</v>
      </c>
      <c r="D1139" s="58">
        <v>122.40067990590269</v>
      </c>
      <c r="E1139" s="58">
        <v>7052710.8106232826</v>
      </c>
      <c r="F1139" s="58" t="s">
        <v>1086</v>
      </c>
      <c r="G1139" s="25">
        <f t="shared" si="17"/>
        <v>1.3077393698378792E-2</v>
      </c>
    </row>
    <row r="1140" spans="1:7">
      <c r="A1140" s="58">
        <v>121.94200498120179</v>
      </c>
      <c r="B1140" s="58">
        <v>122.11517816705826</v>
      </c>
      <c r="C1140" s="58">
        <v>119.84520532542615</v>
      </c>
      <c r="D1140" s="58">
        <v>120.63618555271651</v>
      </c>
      <c r="E1140" s="58">
        <v>5613472.1157448841</v>
      </c>
      <c r="F1140" s="58" t="s">
        <v>1087</v>
      </c>
      <c r="G1140" s="25">
        <f t="shared" si="17"/>
        <v>1.0824442289039782E-2</v>
      </c>
    </row>
    <row r="1141" spans="1:7">
      <c r="A1141" s="58">
        <v>120.17283027164109</v>
      </c>
      <c r="B1141" s="58">
        <v>121.54885504574385</v>
      </c>
      <c r="C1141" s="58">
        <v>118.21644130710044</v>
      </c>
      <c r="D1141" s="58">
        <v>118.21644130710044</v>
      </c>
      <c r="E1141" s="58">
        <v>5438669.1873914758</v>
      </c>
      <c r="F1141" s="58" t="s">
        <v>1088</v>
      </c>
      <c r="G1141" s="25">
        <f t="shared" si="17"/>
        <v>1.6549212130809954E-2</v>
      </c>
    </row>
    <row r="1142" spans="1:7">
      <c r="A1142" s="58">
        <v>118.63767338080535</v>
      </c>
      <c r="B1142" s="58">
        <v>120.26643739913106</v>
      </c>
      <c r="C1142" s="58">
        <v>117.12123791546762</v>
      </c>
      <c r="D1142" s="58">
        <v>118.3942948493314</v>
      </c>
      <c r="E1142" s="58">
        <v>5145841.0584337423</v>
      </c>
      <c r="F1142" s="58" t="s">
        <v>1089</v>
      </c>
      <c r="G1142" s="25">
        <f t="shared" si="17"/>
        <v>2.0556609740669529E-3</v>
      </c>
    </row>
    <row r="1143" spans="1:7">
      <c r="A1143" s="58">
        <v>117.72968424415251</v>
      </c>
      <c r="B1143" s="58">
        <v>120.55661949435002</v>
      </c>
      <c r="C1143" s="58">
        <v>117.32717359594558</v>
      </c>
      <c r="D1143" s="58">
        <v>120.00433744215911</v>
      </c>
      <c r="E1143" s="58">
        <v>7766686.357059652</v>
      </c>
      <c r="F1143" s="58" t="s">
        <v>1090</v>
      </c>
      <c r="G1143" s="25">
        <f t="shared" si="17"/>
        <v>-1.8954758190327659E-2</v>
      </c>
    </row>
    <row r="1144" spans="1:7">
      <c r="A1144" s="58">
        <v>119.84520532542615</v>
      </c>
      <c r="B1144" s="58">
        <v>120.69703018558499</v>
      </c>
      <c r="C1144" s="58">
        <v>117.34589502144358</v>
      </c>
      <c r="D1144" s="58">
        <v>118.27260558359441</v>
      </c>
      <c r="E1144" s="58">
        <v>6034075.7712113224</v>
      </c>
      <c r="F1144" s="58" t="s">
        <v>1091</v>
      </c>
      <c r="G1144" s="25">
        <f t="shared" si="17"/>
        <v>1.3296398891966765E-2</v>
      </c>
    </row>
    <row r="1145" spans="1:7">
      <c r="A1145" s="58">
        <v>117.83265208439148</v>
      </c>
      <c r="B1145" s="58">
        <v>121.45524791825386</v>
      </c>
      <c r="C1145" s="58">
        <v>117.42078072343557</v>
      </c>
      <c r="D1145" s="58">
        <v>119.63926964494819</v>
      </c>
      <c r="E1145" s="58">
        <v>4990378.5376811726</v>
      </c>
      <c r="F1145" s="58" t="s">
        <v>1092</v>
      </c>
      <c r="G1145" s="25">
        <f t="shared" si="17"/>
        <v>-1.5100539863860507E-2</v>
      </c>
    </row>
    <row r="1146" spans="1:7">
      <c r="A1146" s="58">
        <v>117.07443435172262</v>
      </c>
      <c r="B1146" s="58">
        <v>117.27269424774641</v>
      </c>
      <c r="C1146" s="58">
        <v>116.0728380875798</v>
      </c>
      <c r="D1146" s="58">
        <v>116.13368272044829</v>
      </c>
      <c r="E1146" s="58">
        <v>3984291.6880438169</v>
      </c>
      <c r="F1146" s="58" t="s">
        <v>1093</v>
      </c>
      <c r="G1146" s="25">
        <f t="shared" si="17"/>
        <v>8.1005924313866107E-3</v>
      </c>
    </row>
    <row r="1147" spans="1:7">
      <c r="A1147" s="58">
        <v>116.52215229953173</v>
      </c>
      <c r="B1147" s="58">
        <v>116.90594152224065</v>
      </c>
      <c r="C1147" s="58">
        <v>115.34270249315793</v>
      </c>
      <c r="D1147" s="58">
        <v>116.55023443777873</v>
      </c>
      <c r="E1147" s="58">
        <v>5206580.0230025286</v>
      </c>
      <c r="F1147" s="58" t="s">
        <v>1094</v>
      </c>
      <c r="G1147" s="25">
        <f t="shared" si="17"/>
        <v>-2.4094450244960264E-4</v>
      </c>
    </row>
    <row r="1148" spans="1:7">
      <c r="A1148" s="58">
        <v>117.25228789395361</v>
      </c>
      <c r="B1148" s="58">
        <v>118.69383765729934</v>
      </c>
      <c r="C1148" s="58">
        <v>116.7093665545117</v>
      </c>
      <c r="D1148" s="58">
        <v>118.67511623180135</v>
      </c>
      <c r="E1148" s="58">
        <v>4492879.0283090565</v>
      </c>
      <c r="F1148" s="58" t="s">
        <v>1095</v>
      </c>
      <c r="G1148" s="25">
        <f t="shared" si="17"/>
        <v>-1.1989272755955183E-2</v>
      </c>
    </row>
    <row r="1149" spans="1:7">
      <c r="A1149" s="58">
        <v>118.73128050829534</v>
      </c>
      <c r="B1149" s="58">
        <v>120.31324096287607</v>
      </c>
      <c r="C1149" s="58">
        <v>118.37557342383339</v>
      </c>
      <c r="D1149" s="58">
        <v>120.20091240988808</v>
      </c>
      <c r="E1149" s="58">
        <v>7336707.3471353622</v>
      </c>
      <c r="F1149" s="58" t="s">
        <v>1096</v>
      </c>
      <c r="G1149" s="25">
        <f t="shared" si="17"/>
        <v>-1.2226462113542502E-2</v>
      </c>
    </row>
    <row r="1150" spans="1:7">
      <c r="A1150" s="58">
        <v>119.48013752821521</v>
      </c>
      <c r="B1150" s="58">
        <v>121.15570511028592</v>
      </c>
      <c r="C1150" s="58">
        <v>119.32100541148223</v>
      </c>
      <c r="D1150" s="58">
        <v>121.04337655729793</v>
      </c>
      <c r="E1150" s="58">
        <v>4772073.5800572289</v>
      </c>
      <c r="F1150" s="58" t="s">
        <v>1097</v>
      </c>
      <c r="G1150" s="25">
        <f t="shared" si="17"/>
        <v>-1.2914701105869564E-2</v>
      </c>
    </row>
    <row r="1151" spans="1:7">
      <c r="A1151" s="58">
        <v>120.39748737761705</v>
      </c>
      <c r="B1151" s="58">
        <v>122.3445156294087</v>
      </c>
      <c r="C1151" s="58">
        <v>120.32260167562505</v>
      </c>
      <c r="D1151" s="58">
        <v>122.26026921466773</v>
      </c>
      <c r="E1151" s="58">
        <v>5084965.3521408662</v>
      </c>
      <c r="F1151" s="58" t="s">
        <v>1098</v>
      </c>
      <c r="G1151" s="25">
        <f t="shared" si="17"/>
        <v>-1.5236199372176684E-2</v>
      </c>
    </row>
    <row r="1152" spans="1:7">
      <c r="A1152" s="58">
        <v>122.52236917163967</v>
      </c>
      <c r="B1152" s="58">
        <v>123.19166013319305</v>
      </c>
      <c r="C1152" s="58">
        <v>121.35228007801487</v>
      </c>
      <c r="D1152" s="58">
        <v>121.35228007801487</v>
      </c>
      <c r="E1152" s="58">
        <v>4424152.4241229771</v>
      </c>
      <c r="F1152" s="58" t="s">
        <v>1099</v>
      </c>
      <c r="G1152" s="25">
        <f t="shared" si="17"/>
        <v>9.642085775995124E-3</v>
      </c>
    </row>
    <row r="1153" spans="1:7">
      <c r="A1153" s="58">
        <v>121.16506582303491</v>
      </c>
      <c r="B1153" s="58">
        <v>121.87179963558428</v>
      </c>
      <c r="C1153" s="58">
        <v>120.0605017186531</v>
      </c>
      <c r="D1153" s="58">
        <v>120.53789806885203</v>
      </c>
      <c r="E1153" s="58">
        <v>4877770.6595991543</v>
      </c>
      <c r="F1153" s="58" t="s">
        <v>1100</v>
      </c>
      <c r="G1153" s="25">
        <f t="shared" si="17"/>
        <v>5.2030752504463873E-3</v>
      </c>
    </row>
    <row r="1154" spans="1:7">
      <c r="A1154" s="58">
        <v>120.23835526088406</v>
      </c>
      <c r="B1154" s="58">
        <v>120.612783770844</v>
      </c>
      <c r="C1154" s="58">
        <v>118.99338046526729</v>
      </c>
      <c r="D1154" s="58">
        <v>119.76095891068516</v>
      </c>
      <c r="E1154" s="58">
        <v>6903551.2287154412</v>
      </c>
      <c r="F1154" s="58" t="s">
        <v>1101</v>
      </c>
      <c r="G1154" s="25">
        <f t="shared" si="17"/>
        <v>3.9862435516646588E-3</v>
      </c>
    </row>
    <row r="1155" spans="1:7">
      <c r="A1155" s="58">
        <v>119.11506973100427</v>
      </c>
      <c r="B1155" s="58">
        <v>120.71575161108299</v>
      </c>
      <c r="C1155" s="58">
        <v>119.10570901825527</v>
      </c>
      <c r="D1155" s="58">
        <v>119.78904104893215</v>
      </c>
      <c r="E1155" s="58">
        <v>5400038.5820416119</v>
      </c>
      <c r="F1155" s="58" t="s">
        <v>1102</v>
      </c>
      <c r="G1155" s="25">
        <f t="shared" ref="G1155:G1218" si="18">A1155/D1155-1</f>
        <v>-5.6263186684378796E-3</v>
      </c>
    </row>
    <row r="1156" spans="1:7">
      <c r="A1156" s="58">
        <v>119.64863035769717</v>
      </c>
      <c r="B1156" s="58">
        <v>119.92009102741814</v>
      </c>
      <c r="C1156" s="58">
        <v>117.99178420112446</v>
      </c>
      <c r="D1156" s="58">
        <v>118.12283417961044</v>
      </c>
      <c r="E1156" s="58">
        <v>5724917.6891721459</v>
      </c>
      <c r="F1156" s="58" t="s">
        <v>1103</v>
      </c>
      <c r="G1156" s="25">
        <f t="shared" si="18"/>
        <v>1.2917029875584518E-2</v>
      </c>
    </row>
    <row r="1157" spans="1:7">
      <c r="A1157" s="58">
        <v>118.34749128558641</v>
      </c>
      <c r="B1157" s="58">
        <v>119.34908754972923</v>
      </c>
      <c r="C1157" s="58">
        <v>118.17899845610444</v>
      </c>
      <c r="D1157" s="58">
        <v>118.60023052980937</v>
      </c>
      <c r="E1157" s="58">
        <v>5480812.3457788769</v>
      </c>
      <c r="F1157" s="58" t="s">
        <v>1104</v>
      </c>
      <c r="G1157" s="25">
        <f t="shared" si="18"/>
        <v>-2.1310181531175587E-3</v>
      </c>
    </row>
    <row r="1158" spans="1:7">
      <c r="A1158" s="58">
        <v>118.69383765729934</v>
      </c>
      <c r="B1158" s="58">
        <v>119.09634830550628</v>
      </c>
      <c r="C1158" s="58">
        <v>115.89498454534883</v>
      </c>
      <c r="D1158" s="58">
        <v>116.0728380875798</v>
      </c>
      <c r="E1158" s="58">
        <v>5266667.3277924536</v>
      </c>
      <c r="F1158" s="58" t="s">
        <v>1105</v>
      </c>
      <c r="G1158" s="25">
        <f t="shared" si="18"/>
        <v>2.2580645161290214E-2</v>
      </c>
    </row>
    <row r="1159" spans="1:7">
      <c r="A1159" s="58">
        <v>116.41918445929275</v>
      </c>
      <c r="B1159" s="58">
        <v>119.18059472024726</v>
      </c>
      <c r="C1159" s="58">
        <v>116.00731309833682</v>
      </c>
      <c r="D1159" s="58">
        <v>118.95593761427129</v>
      </c>
      <c r="E1159" s="58">
        <v>8535598.9594435003</v>
      </c>
      <c r="F1159" s="58" t="s">
        <v>1106</v>
      </c>
      <c r="G1159" s="25">
        <f t="shared" si="18"/>
        <v>-2.1325149512118169E-2</v>
      </c>
    </row>
    <row r="1160" spans="1:7">
      <c r="A1160" s="58">
        <v>120.83744087681997</v>
      </c>
      <c r="B1160" s="58">
        <v>121.21186938677991</v>
      </c>
      <c r="C1160" s="58">
        <v>119.99497672941011</v>
      </c>
      <c r="D1160" s="58">
        <v>120.70639089833398</v>
      </c>
      <c r="E1160" s="58">
        <v>4995232.868886332</v>
      </c>
      <c r="F1160" s="58" t="s">
        <v>1107</v>
      </c>
      <c r="G1160" s="25">
        <f t="shared" si="18"/>
        <v>1.0856921287321075E-3</v>
      </c>
    </row>
    <row r="1161" spans="1:7">
      <c r="A1161" s="58">
        <v>120.47237307960903</v>
      </c>
      <c r="B1161" s="58">
        <v>120.50981593060504</v>
      </c>
      <c r="C1161" s="58">
        <v>118.85296977403232</v>
      </c>
      <c r="D1161" s="58">
        <v>119.23675899674124</v>
      </c>
      <c r="E1161" s="58">
        <v>5459671.8615757721</v>
      </c>
      <c r="F1161" s="58" t="s">
        <v>1108</v>
      </c>
      <c r="G1161" s="25">
        <f t="shared" si="18"/>
        <v>1.0362694300518172E-2</v>
      </c>
    </row>
    <row r="1162" spans="1:7">
      <c r="A1162" s="58">
        <v>119.5456625174582</v>
      </c>
      <c r="B1162" s="58">
        <v>121.2493122377759</v>
      </c>
      <c r="C1162" s="58">
        <v>119.15251258200027</v>
      </c>
      <c r="D1162" s="58">
        <v>121.06209798279595</v>
      </c>
      <c r="E1162" s="58">
        <v>8621082.8345988002</v>
      </c>
      <c r="F1162" s="58" t="s">
        <v>1109</v>
      </c>
      <c r="G1162" s="25">
        <f t="shared" si="18"/>
        <v>-1.2526096033403045E-2</v>
      </c>
    </row>
    <row r="1163" spans="1:7">
      <c r="A1163" s="58">
        <v>120.69703018558499</v>
      </c>
      <c r="B1163" s="58">
        <v>121.2493122377759</v>
      </c>
      <c r="C1163" s="58">
        <v>120.0885838569001</v>
      </c>
      <c r="D1163" s="58">
        <v>120.41152844674053</v>
      </c>
      <c r="E1163" s="58">
        <v>3733499.8880015393</v>
      </c>
      <c r="F1163" s="58" t="s">
        <v>1110</v>
      </c>
      <c r="G1163" s="25">
        <f t="shared" si="18"/>
        <v>2.3710498697866456E-3</v>
      </c>
    </row>
    <row r="1164" spans="1:7">
      <c r="A1164" s="58">
        <v>120.65022662183999</v>
      </c>
      <c r="B1164" s="58">
        <v>120.75787481845349</v>
      </c>
      <c r="C1164" s="58">
        <v>118.72191979554634</v>
      </c>
      <c r="D1164" s="58">
        <v>119.12443044375327</v>
      </c>
      <c r="E1164" s="58">
        <v>5012782.8145373808</v>
      </c>
      <c r="F1164" s="58" t="s">
        <v>1111</v>
      </c>
      <c r="G1164" s="25">
        <f t="shared" si="18"/>
        <v>1.2808423699512739E-2</v>
      </c>
    </row>
    <row r="1165" spans="1:7">
      <c r="A1165" s="58">
        <v>119.5456625174582</v>
      </c>
      <c r="B1165" s="58">
        <v>120.69703018558499</v>
      </c>
      <c r="C1165" s="58">
        <v>118.91849476327531</v>
      </c>
      <c r="D1165" s="58">
        <v>119.84520532542615</v>
      </c>
      <c r="E1165" s="58">
        <v>3894485.4924536413</v>
      </c>
      <c r="F1165" s="58" t="s">
        <v>1112</v>
      </c>
      <c r="G1165" s="25">
        <f t="shared" si="18"/>
        <v>-2.4994141997969344E-3</v>
      </c>
    </row>
    <row r="1166" spans="1:7">
      <c r="A1166" s="58">
        <v>119.5456625174582</v>
      </c>
      <c r="B1166" s="58">
        <v>121.13005675735367</v>
      </c>
      <c r="C1166" s="58">
        <v>119.22271792761775</v>
      </c>
      <c r="D1166" s="58">
        <v>120.75319446207898</v>
      </c>
      <c r="E1166" s="58">
        <v>4410815.8328454206</v>
      </c>
      <c r="F1166" s="58" t="s">
        <v>1113</v>
      </c>
      <c r="G1166" s="25">
        <f t="shared" si="18"/>
        <v>-9.9999999999998979E-3</v>
      </c>
    </row>
    <row r="1167" spans="1:7">
      <c r="A1167" s="58">
        <v>119.93881245291612</v>
      </c>
      <c r="B1167" s="58">
        <v>120.54257842522652</v>
      </c>
      <c r="C1167" s="58">
        <v>118.67979658817585</v>
      </c>
      <c r="D1167" s="58">
        <v>118.88105191227932</v>
      </c>
      <c r="E1167" s="58">
        <v>4266773.3826437229</v>
      </c>
      <c r="F1167" s="58" t="s">
        <v>1114</v>
      </c>
      <c r="G1167" s="25">
        <f t="shared" si="18"/>
        <v>8.8976377952754149E-3</v>
      </c>
    </row>
    <row r="1168" spans="1:7">
      <c r="A1168" s="58">
        <v>118.48790197682138</v>
      </c>
      <c r="B1168" s="58">
        <v>118.74064122104433</v>
      </c>
      <c r="C1168" s="58">
        <v>117.37865751606508</v>
      </c>
      <c r="D1168" s="58">
        <v>118.40365556208039</v>
      </c>
      <c r="E1168" s="58">
        <v>4729377.0450051557</v>
      </c>
      <c r="F1168" s="58" t="s">
        <v>1115</v>
      </c>
      <c r="G1168" s="25">
        <f t="shared" si="18"/>
        <v>7.115186971302645E-4</v>
      </c>
    </row>
    <row r="1169" spans="1:7">
      <c r="A1169" s="58">
        <v>118.61895195530735</v>
      </c>
      <c r="B1169" s="58">
        <v>118.73128050829534</v>
      </c>
      <c r="C1169" s="58">
        <v>116.89658080949165</v>
      </c>
      <c r="D1169" s="58">
        <v>117.48630571267856</v>
      </c>
      <c r="E1169" s="58">
        <v>6134528.5919754906</v>
      </c>
      <c r="F1169" s="58" t="s">
        <v>1116</v>
      </c>
      <c r="G1169" s="25">
        <f t="shared" si="18"/>
        <v>9.6406660823837864E-3</v>
      </c>
    </row>
    <row r="1170" spans="1:7">
      <c r="A1170" s="58">
        <v>117.05571292622463</v>
      </c>
      <c r="B1170" s="58">
        <v>117.57055212741953</v>
      </c>
      <c r="C1170" s="58">
        <v>115.22101322742095</v>
      </c>
      <c r="D1170" s="58">
        <v>115.61416316287888</v>
      </c>
      <c r="E1170" s="58">
        <v>5324694.9603632875</v>
      </c>
      <c r="F1170" s="58" t="s">
        <v>1117</v>
      </c>
      <c r="G1170" s="25">
        <f t="shared" si="18"/>
        <v>1.2468626022184459E-2</v>
      </c>
    </row>
    <row r="1171" spans="1:7">
      <c r="A1171" s="58">
        <v>115.42694890789892</v>
      </c>
      <c r="B1171" s="58">
        <v>116.82169510749966</v>
      </c>
      <c r="C1171" s="58">
        <v>114.3785490800111</v>
      </c>
      <c r="D1171" s="58">
        <v>115.63288458837688</v>
      </c>
      <c r="E1171" s="58">
        <v>8975665.8764035124</v>
      </c>
      <c r="F1171" s="58" t="s">
        <v>1118</v>
      </c>
      <c r="G1171" s="25">
        <f t="shared" si="18"/>
        <v>-1.7809439002671734E-3</v>
      </c>
    </row>
    <row r="1172" spans="1:7">
      <c r="A1172" s="58">
        <v>111.71074594654657</v>
      </c>
      <c r="B1172" s="58">
        <v>112.49704581746244</v>
      </c>
      <c r="C1172" s="58">
        <v>109.57650343977494</v>
      </c>
      <c r="D1172" s="58">
        <v>109.57650343977494</v>
      </c>
      <c r="E1172" s="58">
        <v>6281528.0819606138</v>
      </c>
      <c r="F1172" s="58" t="s">
        <v>1119</v>
      </c>
      <c r="G1172" s="25">
        <f t="shared" si="18"/>
        <v>1.9477191184008147E-2</v>
      </c>
    </row>
    <row r="1173" spans="1:7">
      <c r="A1173" s="58">
        <v>109.35184633379896</v>
      </c>
      <c r="B1173" s="58">
        <v>109.97901408798185</v>
      </c>
      <c r="C1173" s="58">
        <v>108.8683655203132</v>
      </c>
      <c r="D1173" s="58">
        <v>109.7917998330019</v>
      </c>
      <c r="E1173" s="58">
        <v>5636135.9882179182</v>
      </c>
      <c r="F1173" s="58" t="s">
        <v>1120</v>
      </c>
      <c r="G1173" s="25">
        <f t="shared" si="18"/>
        <v>-4.0071617358685696E-3</v>
      </c>
    </row>
    <row r="1174" spans="1:7">
      <c r="A1174" s="58">
        <v>109.97901408798185</v>
      </c>
      <c r="B1174" s="58">
        <v>110.76531395889772</v>
      </c>
      <c r="C1174" s="58">
        <v>109.64202842901791</v>
      </c>
      <c r="D1174" s="58">
        <v>110.53129614017277</v>
      </c>
      <c r="E1174" s="58">
        <v>6423270.4936313462</v>
      </c>
      <c r="F1174" s="58" t="s">
        <v>1121</v>
      </c>
      <c r="G1174" s="25">
        <f t="shared" si="18"/>
        <v>-4.9966124661248168E-3</v>
      </c>
    </row>
    <row r="1175" spans="1:7">
      <c r="A1175" s="58">
        <v>110.05389978997384</v>
      </c>
      <c r="B1175" s="58">
        <v>110.15686763021283</v>
      </c>
      <c r="C1175" s="58">
        <v>109.183353504317</v>
      </c>
      <c r="D1175" s="58">
        <v>109.202074929815</v>
      </c>
      <c r="E1175" s="58">
        <v>5317862.1473377151</v>
      </c>
      <c r="F1175" s="58" t="s">
        <v>1122</v>
      </c>
      <c r="G1175" s="25">
        <f t="shared" si="18"/>
        <v>7.8004457397564675E-3</v>
      </c>
    </row>
    <row r="1176" spans="1:7">
      <c r="A1176" s="58">
        <v>109.09910708957599</v>
      </c>
      <c r="B1176" s="58">
        <v>110.24604642051769</v>
      </c>
      <c r="C1176" s="58">
        <v>108.57692332914725</v>
      </c>
      <c r="D1176" s="58">
        <v>109.56534258995879</v>
      </c>
      <c r="E1176" s="58">
        <v>4220418.6476242365</v>
      </c>
      <c r="F1176" s="58" t="s">
        <v>1123</v>
      </c>
      <c r="G1176" s="25">
        <f t="shared" si="18"/>
        <v>-4.2553191489360653E-3</v>
      </c>
    </row>
    <row r="1177" spans="1:7">
      <c r="A1177" s="58">
        <v>109.39749780982098</v>
      </c>
      <c r="B1177" s="58">
        <v>110.32064410057893</v>
      </c>
      <c r="C1177" s="58">
        <v>108.54894919912428</v>
      </c>
      <c r="D1177" s="58">
        <v>109.93833099026504</v>
      </c>
      <c r="E1177" s="58">
        <v>4932614.52229995</v>
      </c>
      <c r="F1177" s="58" t="s">
        <v>1124</v>
      </c>
      <c r="G1177" s="25">
        <f t="shared" si="18"/>
        <v>-4.9194232400340265E-3</v>
      </c>
    </row>
    <row r="1178" spans="1:7">
      <c r="A1178" s="58">
        <v>108.98721056948411</v>
      </c>
      <c r="B1178" s="58">
        <v>110.90810083106126</v>
      </c>
      <c r="C1178" s="58">
        <v>108.95457408445732</v>
      </c>
      <c r="D1178" s="58">
        <v>110.17144874045644</v>
      </c>
      <c r="E1178" s="58">
        <v>4153744.1880979305</v>
      </c>
      <c r="F1178" s="58" t="s">
        <v>1125</v>
      </c>
      <c r="G1178" s="25">
        <f t="shared" si="18"/>
        <v>-1.0749047820567181E-2</v>
      </c>
    </row>
    <row r="1179" spans="1:7">
      <c r="A1179" s="58">
        <v>110.39524178064018</v>
      </c>
      <c r="B1179" s="58">
        <v>111.27176452135986</v>
      </c>
      <c r="C1179" s="58">
        <v>109.86373331020378</v>
      </c>
      <c r="D1179" s="58">
        <v>110.1155004804105</v>
      </c>
      <c r="E1179" s="58">
        <v>7714243.1175810546</v>
      </c>
      <c r="F1179" s="58" t="s">
        <v>1126</v>
      </c>
      <c r="G1179" s="25">
        <f t="shared" si="18"/>
        <v>2.5404352612412584E-3</v>
      </c>
    </row>
    <row r="1180" spans="1:7">
      <c r="A1180" s="58">
        <v>109.94765570027269</v>
      </c>
      <c r="B1180" s="58">
        <v>110.69363250088517</v>
      </c>
      <c r="C1180" s="58">
        <v>109.51871903992051</v>
      </c>
      <c r="D1180" s="58">
        <v>109.61196613999707</v>
      </c>
      <c r="E1180" s="58">
        <v>4832125.6063732728</v>
      </c>
      <c r="F1180" s="58" t="s">
        <v>1127</v>
      </c>
      <c r="G1180" s="25">
        <f t="shared" si="18"/>
        <v>3.0625265844321792E-3</v>
      </c>
    </row>
    <row r="1181" spans="1:7">
      <c r="A1181" s="58">
        <v>108.62354687918553</v>
      </c>
      <c r="B1181" s="58">
        <v>108.69348220424295</v>
      </c>
      <c r="C1181" s="58">
        <v>106.67468248758541</v>
      </c>
      <c r="D1181" s="58">
        <v>107.93351833861898</v>
      </c>
      <c r="E1181" s="58">
        <v>5897083.1216039462</v>
      </c>
      <c r="F1181" s="58" t="s">
        <v>1128</v>
      </c>
      <c r="G1181" s="25">
        <f t="shared" si="18"/>
        <v>6.3930885529157599E-3</v>
      </c>
    </row>
    <row r="1182" spans="1:7">
      <c r="A1182" s="58">
        <v>108.0547395687185</v>
      </c>
      <c r="B1182" s="58">
        <v>109.0524835395377</v>
      </c>
      <c r="C1182" s="58">
        <v>107.72837471845055</v>
      </c>
      <c r="D1182" s="58">
        <v>108.26920789889459</v>
      </c>
      <c r="E1182" s="58">
        <v>4545309.1801461717</v>
      </c>
      <c r="F1182" s="58" t="s">
        <v>1129</v>
      </c>
      <c r="G1182" s="25">
        <f t="shared" si="18"/>
        <v>-1.9808801998105752E-3</v>
      </c>
    </row>
    <row r="1183" spans="1:7">
      <c r="A1183" s="58">
        <v>107.72837471845055</v>
      </c>
      <c r="B1183" s="58">
        <v>109.63061556001237</v>
      </c>
      <c r="C1183" s="58">
        <v>107.10361914793759</v>
      </c>
      <c r="D1183" s="58">
        <v>108.7354433992774</v>
      </c>
      <c r="E1183" s="58">
        <v>6331091.25662125</v>
      </c>
      <c r="F1183" s="58" t="s">
        <v>1130</v>
      </c>
      <c r="G1183" s="25">
        <f t="shared" si="18"/>
        <v>-9.261641368664697E-3</v>
      </c>
    </row>
    <row r="1184" spans="1:7">
      <c r="A1184" s="58">
        <v>109.29492599973676</v>
      </c>
      <c r="B1184" s="58">
        <v>110.43254062067081</v>
      </c>
      <c r="C1184" s="58">
        <v>107.32741218812133</v>
      </c>
      <c r="D1184" s="58">
        <v>110.21807229049472</v>
      </c>
      <c r="E1184" s="58">
        <v>8765102.6072546802</v>
      </c>
      <c r="F1184" s="58" t="s">
        <v>1131</v>
      </c>
      <c r="G1184" s="25">
        <f t="shared" si="18"/>
        <v>-8.3756345177665725E-3</v>
      </c>
    </row>
    <row r="1185" spans="1:7">
      <c r="A1185" s="58">
        <v>110.15279932044112</v>
      </c>
      <c r="B1185" s="58">
        <v>112.520343191385</v>
      </c>
      <c r="C1185" s="58">
        <v>110.12482519041815</v>
      </c>
      <c r="D1185" s="58">
        <v>111.76597415176562</v>
      </c>
      <c r="E1185" s="58">
        <v>5132834.1536308024</v>
      </c>
      <c r="F1185" s="58" t="s">
        <v>1132</v>
      </c>
      <c r="G1185" s="25">
        <f t="shared" si="18"/>
        <v>-1.4433505756716203E-2</v>
      </c>
    </row>
    <row r="1186" spans="1:7">
      <c r="A1186" s="58">
        <v>111.39298575145938</v>
      </c>
      <c r="B1186" s="58">
        <v>111.95246835191875</v>
      </c>
      <c r="C1186" s="58">
        <v>110.74958076093111</v>
      </c>
      <c r="D1186" s="58">
        <v>110.88945141104595</v>
      </c>
      <c r="E1186" s="58">
        <v>4838098.9824840864</v>
      </c>
      <c r="F1186" s="58" t="s">
        <v>1133</v>
      </c>
      <c r="G1186" s="25">
        <f t="shared" si="18"/>
        <v>4.5408678102925037E-3</v>
      </c>
    </row>
    <row r="1187" spans="1:7">
      <c r="A1187" s="58">
        <v>110.72160663090814</v>
      </c>
      <c r="B1187" s="58">
        <v>111.67272705168907</v>
      </c>
      <c r="C1187" s="58">
        <v>110.00360396031863</v>
      </c>
      <c r="D1187" s="58">
        <v>111.52353169156656</v>
      </c>
      <c r="E1187" s="58">
        <v>6279229.0539787076</v>
      </c>
      <c r="F1187" s="58" t="s">
        <v>1134</v>
      </c>
      <c r="G1187" s="25">
        <f t="shared" si="18"/>
        <v>-7.1906354515050008E-3</v>
      </c>
    </row>
    <row r="1188" spans="1:7">
      <c r="A1188" s="58">
        <v>112.43735327231686</v>
      </c>
      <c r="B1188" s="58">
        <v>115.16016859455243</v>
      </c>
      <c r="C1188" s="58">
        <v>112.31613204221733</v>
      </c>
      <c r="D1188" s="58">
        <v>115.00164852442228</v>
      </c>
      <c r="E1188" s="58">
        <v>6950512.1281826897</v>
      </c>
      <c r="F1188" s="58" t="s">
        <v>1135</v>
      </c>
      <c r="G1188" s="25">
        <f t="shared" si="18"/>
        <v>-2.2297899943241717E-2</v>
      </c>
    </row>
    <row r="1189" spans="1:7">
      <c r="A1189" s="58">
        <v>115.97141836521851</v>
      </c>
      <c r="B1189" s="58">
        <v>117.00646117606834</v>
      </c>
      <c r="C1189" s="58">
        <v>115.87817126514194</v>
      </c>
      <c r="D1189" s="58">
        <v>116.38170560555538</v>
      </c>
      <c r="E1189" s="58">
        <v>3266543.4072471019</v>
      </c>
      <c r="F1189" s="58" t="s">
        <v>1136</v>
      </c>
      <c r="G1189" s="25">
        <f t="shared" si="18"/>
        <v>-3.5253585449883662E-3</v>
      </c>
    </row>
    <row r="1190" spans="1:7">
      <c r="A1190" s="58">
        <v>116.83861639593052</v>
      </c>
      <c r="B1190" s="58">
        <v>117.39343664138606</v>
      </c>
      <c r="C1190" s="58">
        <v>116.38170560555538</v>
      </c>
      <c r="D1190" s="58">
        <v>116.9505129160224</v>
      </c>
      <c r="E1190" s="58">
        <v>4462878.7346557584</v>
      </c>
      <c r="F1190" s="58" t="s">
        <v>1137</v>
      </c>
      <c r="G1190" s="25">
        <f t="shared" si="18"/>
        <v>-9.5678520172237658E-4</v>
      </c>
    </row>
    <row r="1191" spans="1:7">
      <c r="A1191" s="58">
        <v>116.23251024543289</v>
      </c>
      <c r="B1191" s="58">
        <v>117.24890363626739</v>
      </c>
      <c r="C1191" s="58">
        <v>115.79424887507305</v>
      </c>
      <c r="D1191" s="58">
        <v>117.02511059608365</v>
      </c>
      <c r="E1191" s="58">
        <v>7027989.0684207063</v>
      </c>
      <c r="F1191" s="58" t="s">
        <v>1138</v>
      </c>
      <c r="G1191" s="25">
        <f t="shared" si="18"/>
        <v>-6.7729083665337697E-3</v>
      </c>
    </row>
    <row r="1192" spans="1:7">
      <c r="A1192" s="58">
        <v>116.68009632580036</v>
      </c>
      <c r="B1192" s="58">
        <v>118.21867347706362</v>
      </c>
      <c r="C1192" s="58">
        <v>116.65212219577739</v>
      </c>
      <c r="D1192" s="58">
        <v>117.09038356613723</v>
      </c>
      <c r="E1192" s="58">
        <v>5275003.7223264007</v>
      </c>
      <c r="F1192" s="58" t="s">
        <v>1139</v>
      </c>
      <c r="G1192" s="25">
        <f t="shared" si="18"/>
        <v>-3.5040216612248765E-3</v>
      </c>
    </row>
    <row r="1193" spans="1:7">
      <c r="A1193" s="58">
        <v>116.43765386560132</v>
      </c>
      <c r="B1193" s="58">
        <v>118.02285456690284</v>
      </c>
      <c r="C1193" s="58">
        <v>115.44923460478977</v>
      </c>
      <c r="D1193" s="58">
        <v>117.1183576961602</v>
      </c>
      <c r="E1193" s="58">
        <v>5643261.8233483732</v>
      </c>
      <c r="F1193" s="58" t="s">
        <v>1140</v>
      </c>
      <c r="G1193" s="25">
        <f t="shared" si="18"/>
        <v>-5.812101910827927E-3</v>
      </c>
    </row>
    <row r="1194" spans="1:7">
      <c r="A1194" s="58">
        <v>118.22799818707128</v>
      </c>
      <c r="B1194" s="58">
        <v>119.16979389784454</v>
      </c>
      <c r="C1194" s="58">
        <v>117.92028275681862</v>
      </c>
      <c r="D1194" s="58">
        <v>118.21867347706362</v>
      </c>
      <c r="E1194" s="58">
        <v>10773744.161214182</v>
      </c>
      <c r="F1194" s="58" t="s">
        <v>1141</v>
      </c>
      <c r="G1194" s="25">
        <f t="shared" si="18"/>
        <v>7.8876794447069187E-5</v>
      </c>
    </row>
    <row r="1195" spans="1:7">
      <c r="A1195" s="58">
        <v>118.83410433756892</v>
      </c>
      <c r="B1195" s="58">
        <v>119.32831396797469</v>
      </c>
      <c r="C1195" s="58">
        <v>117.77108739669613</v>
      </c>
      <c r="D1195" s="58">
        <v>119.23506686789814</v>
      </c>
      <c r="E1195" s="58">
        <v>3557580.876269924</v>
      </c>
      <c r="F1195" s="58" t="s">
        <v>1142</v>
      </c>
      <c r="G1195" s="25">
        <f t="shared" si="18"/>
        <v>-3.3627903339330523E-3</v>
      </c>
    </row>
    <row r="1196" spans="1:7">
      <c r="A1196" s="58">
        <v>118.88072788760719</v>
      </c>
      <c r="B1196" s="58">
        <v>119.52413287813548</v>
      </c>
      <c r="C1196" s="58">
        <v>117.75243797668082</v>
      </c>
      <c r="D1196" s="58">
        <v>118.31192057714019</v>
      </c>
      <c r="E1196" s="58">
        <v>5151005.2281050626</v>
      </c>
      <c r="F1196" s="58" t="s">
        <v>1143</v>
      </c>
      <c r="G1196" s="25">
        <f t="shared" si="18"/>
        <v>4.8076923076922906E-3</v>
      </c>
    </row>
    <row r="1197" spans="1:7">
      <c r="A1197" s="58">
        <v>118.47044064727034</v>
      </c>
      <c r="B1197" s="58">
        <v>119.34696338799</v>
      </c>
      <c r="C1197" s="58">
        <v>118.15340050701002</v>
      </c>
      <c r="D1197" s="58">
        <v>118.75018194750001</v>
      </c>
      <c r="E1197" s="58">
        <v>4501366.794842653</v>
      </c>
      <c r="F1197" s="58" t="s">
        <v>1144</v>
      </c>
      <c r="G1197" s="25">
        <f t="shared" si="18"/>
        <v>-2.3557126030623321E-3</v>
      </c>
    </row>
    <row r="1198" spans="1:7">
      <c r="A1198" s="58">
        <v>118.06947811694113</v>
      </c>
      <c r="B1198" s="58">
        <v>120.94074282249858</v>
      </c>
      <c r="C1198" s="58">
        <v>116.38170560555538</v>
      </c>
      <c r="D1198" s="58">
        <v>120.91351466927621</v>
      </c>
      <c r="E1198" s="58">
        <v>6231810.9573690584</v>
      </c>
      <c r="F1198" s="58" t="s">
        <v>1145</v>
      </c>
      <c r="G1198" s="25">
        <f t="shared" si="18"/>
        <v>-2.3521246240456373E-2</v>
      </c>
    </row>
    <row r="1199" spans="1:7">
      <c r="A1199" s="58">
        <v>120.10226489861016</v>
      </c>
      <c r="B1199" s="58">
        <v>120.69904633910014</v>
      </c>
      <c r="C1199" s="58">
        <v>119.35628809799766</v>
      </c>
      <c r="D1199" s="58">
        <v>119.35628809799766</v>
      </c>
      <c r="E1199" s="58">
        <v>4426295.2913401043</v>
      </c>
      <c r="F1199" s="58" t="s">
        <v>1146</v>
      </c>
      <c r="G1199" s="25">
        <f t="shared" si="18"/>
        <v>6.2500000000000888E-3</v>
      </c>
    </row>
    <row r="1200" spans="1:7">
      <c r="A1200" s="58">
        <v>119.33763867798235</v>
      </c>
      <c r="B1200" s="58">
        <v>120.42862974887811</v>
      </c>
      <c r="C1200" s="58">
        <v>118.73060005648394</v>
      </c>
      <c r="D1200" s="58">
        <v>120.42862974887811</v>
      </c>
      <c r="E1200" s="58">
        <v>4876199.8992641577</v>
      </c>
      <c r="F1200" s="58" t="s">
        <v>1147</v>
      </c>
      <c r="G1200" s="25">
        <f t="shared" si="18"/>
        <v>-9.0592334494773441E-3</v>
      </c>
    </row>
    <row r="1201" spans="1:7">
      <c r="A1201" s="58">
        <v>120.3447073588092</v>
      </c>
      <c r="B1201" s="58">
        <v>120.7736440191614</v>
      </c>
      <c r="C1201" s="58">
        <v>119.35162574299383</v>
      </c>
      <c r="D1201" s="58">
        <v>119.87847185842641</v>
      </c>
      <c r="E1201" s="58">
        <v>3347386.6720114816</v>
      </c>
      <c r="F1201" s="58" t="s">
        <v>1148</v>
      </c>
      <c r="G1201" s="25">
        <f t="shared" si="18"/>
        <v>3.8892345986309973E-3</v>
      </c>
    </row>
    <row r="1202" spans="1:7">
      <c r="A1202" s="58">
        <v>119.71995178829624</v>
      </c>
      <c r="B1202" s="58">
        <v>119.80853653336899</v>
      </c>
      <c r="C1202" s="58">
        <v>118.47044064727034</v>
      </c>
      <c r="D1202" s="58">
        <v>119.46818461808954</v>
      </c>
      <c r="E1202" s="58">
        <v>2965948.5364469779</v>
      </c>
      <c r="F1202" s="58" t="s">
        <v>1149</v>
      </c>
      <c r="G1202" s="25">
        <f t="shared" si="18"/>
        <v>2.107399313143743E-3</v>
      </c>
    </row>
    <row r="1203" spans="1:7">
      <c r="A1203" s="58">
        <v>120.23281083871733</v>
      </c>
      <c r="B1203" s="58">
        <v>120.66062853386859</v>
      </c>
      <c r="C1203" s="58">
        <v>119.49615874811251</v>
      </c>
      <c r="D1203" s="58">
        <v>120.28875909876326</v>
      </c>
      <c r="E1203" s="58">
        <v>2641787.2491234899</v>
      </c>
      <c r="F1203" s="58" t="s">
        <v>1150</v>
      </c>
      <c r="G1203" s="25">
        <f t="shared" si="18"/>
        <v>-4.6511627906975495E-4</v>
      </c>
    </row>
    <row r="1204" spans="1:7">
      <c r="A1204" s="58">
        <v>119.81319888837282</v>
      </c>
      <c r="B1204" s="58">
        <v>120.14888844864842</v>
      </c>
      <c r="C1204" s="58">
        <v>118.74085723749236</v>
      </c>
      <c r="D1204" s="58">
        <v>118.89005259761485</v>
      </c>
      <c r="E1204" s="58">
        <v>3650032.0087225349</v>
      </c>
      <c r="F1204" s="58" t="s">
        <v>1151</v>
      </c>
      <c r="G1204" s="25">
        <f t="shared" si="18"/>
        <v>7.7647058823531179E-3</v>
      </c>
    </row>
    <row r="1205" spans="1:7">
      <c r="A1205" s="58">
        <v>118.7968054975383</v>
      </c>
      <c r="B1205" s="58">
        <v>118.85275375758422</v>
      </c>
      <c r="C1205" s="58">
        <v>116.98781175605302</v>
      </c>
      <c r="D1205" s="58">
        <v>117.23025421625208</v>
      </c>
      <c r="E1205" s="58">
        <v>3736803.6079825303</v>
      </c>
      <c r="F1205" s="58" t="s">
        <v>1152</v>
      </c>
      <c r="G1205" s="25">
        <f t="shared" si="18"/>
        <v>1.3363028953229383E-2</v>
      </c>
    </row>
    <row r="1206" spans="1:7">
      <c r="A1206" s="58">
        <v>117.83636036674973</v>
      </c>
      <c r="B1206" s="58">
        <v>118.61963600739283</v>
      </c>
      <c r="C1206" s="58">
        <v>117.40742370639754</v>
      </c>
      <c r="D1206" s="58">
        <v>117.8643344967727</v>
      </c>
      <c r="E1206" s="58">
        <v>6638701.8951982046</v>
      </c>
      <c r="F1206" s="58" t="s">
        <v>1153</v>
      </c>
      <c r="G1206" s="25">
        <f t="shared" si="18"/>
        <v>-2.3734177215195551E-4</v>
      </c>
    </row>
    <row r="1207" spans="1:7">
      <c r="A1207" s="58">
        <v>117.43539783642051</v>
      </c>
      <c r="B1207" s="58">
        <v>117.66851558661192</v>
      </c>
      <c r="C1207" s="58">
        <v>115.96209365521085</v>
      </c>
      <c r="D1207" s="58">
        <v>116.120613725341</v>
      </c>
      <c r="E1207" s="58">
        <v>3380096.5364200873</v>
      </c>
      <c r="F1207" s="58" t="s">
        <v>1154</v>
      </c>
      <c r="G1207" s="25">
        <f t="shared" si="18"/>
        <v>1.1322572874006287E-2</v>
      </c>
    </row>
    <row r="1208" spans="1:7">
      <c r="A1208" s="58">
        <v>116.17656198538695</v>
      </c>
      <c r="B1208" s="58">
        <v>117.73378855666552</v>
      </c>
      <c r="C1208" s="58">
        <v>115.90614539516491</v>
      </c>
      <c r="D1208" s="58">
        <v>117.19295537622146</v>
      </c>
      <c r="E1208" s="58">
        <v>4390994.4616381908</v>
      </c>
      <c r="F1208" s="58" t="s">
        <v>1155</v>
      </c>
      <c r="G1208" s="25">
        <f t="shared" si="18"/>
        <v>-8.6728198599618223E-3</v>
      </c>
    </row>
    <row r="1209" spans="1:7">
      <c r="A1209" s="58">
        <v>116.99713646606068</v>
      </c>
      <c r="B1209" s="58">
        <v>117.74544444417508</v>
      </c>
      <c r="C1209" s="58">
        <v>116.23251024543289</v>
      </c>
      <c r="D1209" s="58">
        <v>116.26980908546351</v>
      </c>
      <c r="E1209" s="58">
        <v>4280961.0129671246</v>
      </c>
      <c r="F1209" s="58" t="s">
        <v>1156</v>
      </c>
      <c r="G1209" s="25">
        <f t="shared" si="18"/>
        <v>6.255513673911306E-3</v>
      </c>
    </row>
    <row r="1210" spans="1:7">
      <c r="A1210" s="58">
        <v>116.31643263550178</v>
      </c>
      <c r="B1210" s="58">
        <v>117.40742370639754</v>
      </c>
      <c r="C1210" s="58">
        <v>115.78492416506539</v>
      </c>
      <c r="D1210" s="58">
        <v>117.34215073634395</v>
      </c>
      <c r="E1210" s="58">
        <v>4696165.3460585736</v>
      </c>
      <c r="F1210" s="58" t="s">
        <v>1157</v>
      </c>
      <c r="G1210" s="25">
        <f t="shared" si="18"/>
        <v>-8.7412587412587506E-3</v>
      </c>
    </row>
    <row r="1211" spans="1:7">
      <c r="A1211" s="58">
        <v>117.02511059608365</v>
      </c>
      <c r="B1211" s="58">
        <v>117.40742370639754</v>
      </c>
      <c r="C1211" s="58">
        <v>116.40967973557835</v>
      </c>
      <c r="D1211" s="58">
        <v>117.1183576961602</v>
      </c>
      <c r="E1211" s="58">
        <v>4231734.8172330884</v>
      </c>
      <c r="F1211" s="58" t="s">
        <v>1158</v>
      </c>
      <c r="G1211" s="25">
        <f t="shared" si="18"/>
        <v>-7.9617834394896114E-4</v>
      </c>
    </row>
    <row r="1212" spans="1:7">
      <c r="A1212" s="58">
        <v>117.34215073634395</v>
      </c>
      <c r="B1212" s="58">
        <v>118.70355839746173</v>
      </c>
      <c r="C1212" s="58">
        <v>117.29552718630568</v>
      </c>
      <c r="D1212" s="58">
        <v>118.1161016669794</v>
      </c>
      <c r="E1212" s="58">
        <v>4189866.4910675078</v>
      </c>
      <c r="F1212" s="58" t="s">
        <v>1159</v>
      </c>
      <c r="G1212" s="25">
        <f t="shared" si="18"/>
        <v>-6.5524591458119286E-3</v>
      </c>
    </row>
    <row r="1213" spans="1:7">
      <c r="A1213" s="58">
        <v>117.78973681671144</v>
      </c>
      <c r="B1213" s="58">
        <v>118.40516767721675</v>
      </c>
      <c r="C1213" s="58">
        <v>116.67077161579272</v>
      </c>
      <c r="D1213" s="58">
        <v>117.40742370639754</v>
      </c>
      <c r="E1213" s="58">
        <v>5883054.8033085139</v>
      </c>
      <c r="F1213" s="58" t="s">
        <v>1160</v>
      </c>
      <c r="G1213" s="25">
        <f t="shared" si="18"/>
        <v>3.2562941783813582E-3</v>
      </c>
    </row>
    <row r="1214" spans="1:7">
      <c r="A1214" s="58">
        <v>117.23025421625208</v>
      </c>
      <c r="B1214" s="58">
        <v>117.85500978676504</v>
      </c>
      <c r="C1214" s="58">
        <v>115.23010391960986</v>
      </c>
      <c r="D1214" s="58">
        <v>115.36531221472086</v>
      </c>
      <c r="E1214" s="58">
        <v>4594058.1492429879</v>
      </c>
      <c r="F1214" s="58" t="s">
        <v>1161</v>
      </c>
      <c r="G1214" s="25">
        <f t="shared" si="18"/>
        <v>1.6165535079211146E-2</v>
      </c>
    </row>
    <row r="1215" spans="1:7">
      <c r="A1215" s="58">
        <v>115.56113112488165</v>
      </c>
      <c r="B1215" s="58">
        <v>117.56594377652769</v>
      </c>
      <c r="C1215" s="58">
        <v>115.49585815482806</v>
      </c>
      <c r="D1215" s="58">
        <v>117.31417660632098</v>
      </c>
      <c r="E1215" s="58">
        <v>3844788.735581486</v>
      </c>
      <c r="F1215" s="58" t="s">
        <v>1162</v>
      </c>
      <c r="G1215" s="25">
        <f t="shared" si="18"/>
        <v>-1.4943168269612839E-2</v>
      </c>
    </row>
    <row r="1216" spans="1:7">
      <c r="A1216" s="58">
        <v>117.20228008622911</v>
      </c>
      <c r="B1216" s="58">
        <v>117.84568507675738</v>
      </c>
      <c r="C1216" s="58">
        <v>115.97141836521851</v>
      </c>
      <c r="D1216" s="58">
        <v>116.22318553542523</v>
      </c>
      <c r="E1216" s="58">
        <v>4943559.6347931223</v>
      </c>
      <c r="F1216" s="58" t="s">
        <v>1163</v>
      </c>
      <c r="G1216" s="25">
        <f t="shared" si="18"/>
        <v>8.4242618741976472E-3</v>
      </c>
    </row>
    <row r="1217" spans="1:7">
      <c r="A1217" s="58">
        <v>116.24183495544054</v>
      </c>
      <c r="B1217" s="58">
        <v>116.27913379547117</v>
      </c>
      <c r="C1217" s="58">
        <v>115.00164852442228</v>
      </c>
      <c r="D1217" s="58">
        <v>115.33733808469789</v>
      </c>
      <c r="E1217" s="58">
        <v>4935951.8915022584</v>
      </c>
      <c r="F1217" s="58" t="s">
        <v>1164</v>
      </c>
      <c r="G1217" s="25">
        <f t="shared" si="18"/>
        <v>7.8421861104374102E-3</v>
      </c>
    </row>
    <row r="1218" spans="1:7">
      <c r="A1218" s="58">
        <v>114.74988135421557</v>
      </c>
      <c r="B1218" s="58">
        <v>114.90467154034266</v>
      </c>
      <c r="C1218" s="58">
        <v>114.07850223366434</v>
      </c>
      <c r="D1218" s="58">
        <v>114.43284121395526</v>
      </c>
      <c r="E1218" s="58">
        <v>3728365.8120687269</v>
      </c>
      <c r="F1218" s="58" t="s">
        <v>1165</v>
      </c>
      <c r="G1218" s="25">
        <f t="shared" si="18"/>
        <v>2.7705345501956025E-3</v>
      </c>
    </row>
    <row r="1219" spans="1:7">
      <c r="A1219" s="58">
        <v>114.51676360402416</v>
      </c>
      <c r="B1219" s="58">
        <v>114.92705084436103</v>
      </c>
      <c r="C1219" s="58">
        <v>112.82899109263842</v>
      </c>
      <c r="D1219" s="58">
        <v>112.99683587277623</v>
      </c>
      <c r="E1219" s="58">
        <v>3242633.8165127039</v>
      </c>
      <c r="F1219" s="58" t="s">
        <v>1166</v>
      </c>
      <c r="G1219" s="25">
        <f t="shared" ref="G1219:G1282" si="19">A1219/D1219-1</f>
        <v>1.3451064532100876E-2</v>
      </c>
    </row>
    <row r="1220" spans="1:7">
      <c r="A1220" s="58">
        <v>113.25792775299058</v>
      </c>
      <c r="B1220" s="58">
        <v>115.06692149447588</v>
      </c>
      <c r="C1220" s="58">
        <v>113.15535594290637</v>
      </c>
      <c r="D1220" s="58">
        <v>114.54473773404713</v>
      </c>
      <c r="E1220" s="58">
        <v>3949853.6651284229</v>
      </c>
      <c r="F1220" s="58" t="s">
        <v>1167</v>
      </c>
      <c r="G1220" s="25">
        <f t="shared" si="19"/>
        <v>-1.1234125691957142E-2</v>
      </c>
    </row>
    <row r="1221" spans="1:7">
      <c r="A1221" s="58">
        <v>114.41419179393995</v>
      </c>
      <c r="B1221" s="58">
        <v>115.21611685459837</v>
      </c>
      <c r="C1221" s="58">
        <v>113.85470919348057</v>
      </c>
      <c r="D1221" s="58">
        <v>115.02029794443759</v>
      </c>
      <c r="E1221" s="58">
        <v>4672587.132921706</v>
      </c>
      <c r="F1221" s="58" t="s">
        <v>1168</v>
      </c>
      <c r="G1221" s="25">
        <f t="shared" si="19"/>
        <v>-5.2695581678151582E-3</v>
      </c>
    </row>
    <row r="1222" spans="1:7">
      <c r="A1222" s="58">
        <v>114.84312845429213</v>
      </c>
      <c r="B1222" s="58">
        <v>114.93637555436869</v>
      </c>
      <c r="C1222" s="58">
        <v>113.78943622342699</v>
      </c>
      <c r="D1222" s="58">
        <v>114.12512578370261</v>
      </c>
      <c r="E1222" s="58">
        <v>4580619.6616227711</v>
      </c>
      <c r="F1222" s="58" t="s">
        <v>1169</v>
      </c>
      <c r="G1222" s="25">
        <f t="shared" si="19"/>
        <v>6.2913636735026923E-3</v>
      </c>
    </row>
    <row r="1223" spans="1:7">
      <c r="A1223" s="58">
        <v>113.91998216353417</v>
      </c>
      <c r="B1223" s="58">
        <v>113.95728100356479</v>
      </c>
      <c r="C1223" s="58">
        <v>113.03413471280685</v>
      </c>
      <c r="D1223" s="58">
        <v>113.76146209340402</v>
      </c>
      <c r="E1223" s="58">
        <v>3807407.412225177</v>
      </c>
      <c r="F1223" s="58" t="s">
        <v>1170</v>
      </c>
      <c r="G1223" s="25">
        <f t="shared" si="19"/>
        <v>1.3934426229507135E-3</v>
      </c>
    </row>
    <row r="1224" spans="1:7">
      <c r="A1224" s="58">
        <v>113.95728100356479</v>
      </c>
      <c r="B1224" s="58">
        <v>114.09715165367965</v>
      </c>
      <c r="C1224" s="58">
        <v>112.67047102250827</v>
      </c>
      <c r="D1224" s="58">
        <v>114.09715165367965</v>
      </c>
      <c r="E1224" s="58">
        <v>3494021.795128163</v>
      </c>
      <c r="F1224" s="58" t="s">
        <v>1171</v>
      </c>
      <c r="G1224" s="25">
        <f t="shared" si="19"/>
        <v>-1.2258908139916036E-3</v>
      </c>
    </row>
    <row r="1225" spans="1:7">
      <c r="A1225" s="58">
        <v>113.36049956307481</v>
      </c>
      <c r="B1225" s="58">
        <v>114.36756824390167</v>
      </c>
      <c r="C1225" s="58">
        <v>112.83831580264608</v>
      </c>
      <c r="D1225" s="58">
        <v>113.18333007292934</v>
      </c>
      <c r="E1225" s="58">
        <v>3767880.1776304953</v>
      </c>
      <c r="F1225" s="58" t="s">
        <v>1172</v>
      </c>
      <c r="G1225" s="25">
        <f t="shared" si="19"/>
        <v>1.5653320151591821E-3</v>
      </c>
    </row>
    <row r="1226" spans="1:7">
      <c r="A1226" s="58">
        <v>113.8733586134959</v>
      </c>
      <c r="B1226" s="58">
        <v>114.27432114382511</v>
      </c>
      <c r="C1226" s="58">
        <v>112.894264062692</v>
      </c>
      <c r="D1226" s="58">
        <v>113.18333007292934</v>
      </c>
      <c r="E1226" s="58">
        <v>3964110.4087580745</v>
      </c>
      <c r="F1226" s="58" t="s">
        <v>1173</v>
      </c>
      <c r="G1226" s="25">
        <f t="shared" si="19"/>
        <v>6.096556269566733E-3</v>
      </c>
    </row>
    <row r="1227" spans="1:7">
      <c r="A1227" s="58">
        <v>112.75439341257717</v>
      </c>
      <c r="B1227" s="58">
        <v>113.55631847323559</v>
      </c>
      <c r="C1227" s="58">
        <v>112.05970251700678</v>
      </c>
      <c r="D1227" s="58">
        <v>113.29522659302121</v>
      </c>
      <c r="E1227" s="58">
        <v>3910135.5398788531</v>
      </c>
      <c r="F1227" s="58" t="s">
        <v>1174</v>
      </c>
      <c r="G1227" s="25">
        <f t="shared" si="19"/>
        <v>-4.7736625514401831E-3</v>
      </c>
    </row>
    <row r="1228" spans="1:7">
      <c r="A1228" s="58">
        <v>112.81034167262311</v>
      </c>
      <c r="B1228" s="58">
        <v>113.22062891295997</v>
      </c>
      <c r="C1228" s="58">
        <v>112.26950849217906</v>
      </c>
      <c r="D1228" s="58">
        <v>112.82899109263842</v>
      </c>
      <c r="E1228" s="58">
        <v>5028408.3860519165</v>
      </c>
      <c r="F1228" s="58" t="s">
        <v>1175</v>
      </c>
      <c r="G1228" s="25">
        <f t="shared" si="19"/>
        <v>-1.6528925619829771E-4</v>
      </c>
    </row>
    <row r="1229" spans="1:7">
      <c r="A1229" s="58">
        <v>112.91291348270732</v>
      </c>
      <c r="B1229" s="58">
        <v>113.20197949294466</v>
      </c>
      <c r="C1229" s="58">
        <v>112.28349555719055</v>
      </c>
      <c r="D1229" s="58">
        <v>112.90358877269966</v>
      </c>
      <c r="E1229" s="58">
        <v>4209842.4474079264</v>
      </c>
      <c r="F1229" s="58" t="s">
        <v>1176</v>
      </c>
      <c r="G1229" s="25">
        <f t="shared" si="19"/>
        <v>8.2590023125161949E-5</v>
      </c>
    </row>
    <row r="1230" spans="1:7">
      <c r="A1230" s="58">
        <v>112.38140501227092</v>
      </c>
      <c r="B1230" s="58">
        <v>112.894264062692</v>
      </c>
      <c r="C1230" s="58">
        <v>111.22514097132158</v>
      </c>
      <c r="D1230" s="58">
        <v>111.71935060172734</v>
      </c>
      <c r="E1230" s="58">
        <v>4071050.9998521949</v>
      </c>
      <c r="F1230" s="58" t="s">
        <v>1177</v>
      </c>
      <c r="G1230" s="25">
        <f t="shared" si="19"/>
        <v>5.9260495784991818E-3</v>
      </c>
    </row>
    <row r="1231" spans="1:7">
      <c r="A1231" s="58">
        <v>111.71935060172734</v>
      </c>
      <c r="B1231" s="58">
        <v>113.04345942281451</v>
      </c>
      <c r="C1231" s="58">
        <v>111.52353169156656</v>
      </c>
      <c r="D1231" s="58">
        <v>111.52353169156656</v>
      </c>
      <c r="E1231" s="58">
        <v>6038795.8396311058</v>
      </c>
      <c r="F1231" s="58" t="s">
        <v>1178</v>
      </c>
      <c r="G1231" s="25">
        <f t="shared" si="19"/>
        <v>1.7558528428094355E-3</v>
      </c>
    </row>
    <row r="1232" spans="1:7">
      <c r="A1232" s="58">
        <v>111.44893401150532</v>
      </c>
      <c r="B1232" s="58">
        <v>112.34876852724413</v>
      </c>
      <c r="C1232" s="58">
        <v>110.38591707063252</v>
      </c>
      <c r="D1232" s="58">
        <v>112.12031313205655</v>
      </c>
      <c r="E1232" s="58">
        <v>5313896.08463067</v>
      </c>
      <c r="F1232" s="58" t="s">
        <v>1179</v>
      </c>
      <c r="G1232" s="25">
        <f t="shared" si="19"/>
        <v>-5.9880239520958556E-3</v>
      </c>
    </row>
    <row r="1233" spans="1:7">
      <c r="A1233" s="58">
        <v>112.6424968924853</v>
      </c>
      <c r="B1233" s="58">
        <v>112.92223819271497</v>
      </c>
      <c r="C1233" s="58">
        <v>111.21581626131392</v>
      </c>
      <c r="D1233" s="58">
        <v>111.55150582158953</v>
      </c>
      <c r="E1233" s="58">
        <v>5079351.5252605332</v>
      </c>
      <c r="F1233" s="58" t="s">
        <v>1180</v>
      </c>
      <c r="G1233" s="25">
        <f t="shared" si="19"/>
        <v>9.7801554793948142E-3</v>
      </c>
    </row>
    <row r="1234" spans="1:7">
      <c r="A1234" s="58">
        <v>110.26469584053299</v>
      </c>
      <c r="B1234" s="58">
        <v>110.7309313409158</v>
      </c>
      <c r="C1234" s="58">
        <v>108.0360901487032</v>
      </c>
      <c r="D1234" s="58">
        <v>110.0315780903416</v>
      </c>
      <c r="E1234" s="58">
        <v>7462040.1002143892</v>
      </c>
      <c r="F1234" s="58" t="s">
        <v>1181</v>
      </c>
      <c r="G1234" s="25">
        <f t="shared" si="19"/>
        <v>2.1186440677964935E-3</v>
      </c>
    </row>
    <row r="1235" spans="1:7">
      <c r="A1235" s="58">
        <v>110.94539967109189</v>
      </c>
      <c r="B1235" s="58">
        <v>111.23446568132924</v>
      </c>
      <c r="C1235" s="58">
        <v>109.31357541975208</v>
      </c>
      <c r="D1235" s="58">
        <v>111.16919271127563</v>
      </c>
      <c r="E1235" s="58">
        <v>4595660.3438407537</v>
      </c>
      <c r="F1235" s="58" t="s">
        <v>1182</v>
      </c>
      <c r="G1235" s="25">
        <f t="shared" si="19"/>
        <v>-2.0130850528433664E-3</v>
      </c>
    </row>
    <row r="1236" spans="1:7">
      <c r="A1236" s="58">
        <v>110.71228192090049</v>
      </c>
      <c r="B1236" s="58">
        <v>111.89652009187282</v>
      </c>
      <c r="C1236" s="58">
        <v>110.12482519041815</v>
      </c>
      <c r="D1236" s="58">
        <v>110.53511243075504</v>
      </c>
      <c r="E1236" s="58">
        <v>5017335.6556490166</v>
      </c>
      <c r="F1236" s="58" t="s">
        <v>1183</v>
      </c>
      <c r="G1236" s="25">
        <f t="shared" si="19"/>
        <v>1.602834486249316E-3</v>
      </c>
    </row>
    <row r="1237" spans="1:7">
      <c r="A1237" s="58">
        <v>110.76823018094643</v>
      </c>
      <c r="B1237" s="58">
        <v>111.27176452135986</v>
      </c>
      <c r="C1237" s="58">
        <v>109.02917176451857</v>
      </c>
      <c r="D1237" s="58">
        <v>109.08045766956069</v>
      </c>
      <c r="E1237" s="58">
        <v>7227760.4284383943</v>
      </c>
      <c r="F1237" s="58" t="s">
        <v>1184</v>
      </c>
      <c r="G1237" s="25">
        <f t="shared" si="19"/>
        <v>1.5472730381261623E-2</v>
      </c>
    </row>
    <row r="1238" spans="1:7">
      <c r="A1238" s="58">
        <v>109.57466729996645</v>
      </c>
      <c r="B1238" s="58">
        <v>109.85440860019614</v>
      </c>
      <c r="C1238" s="58">
        <v>108.5675986191396</v>
      </c>
      <c r="D1238" s="58">
        <v>109.13640592960662</v>
      </c>
      <c r="E1238" s="58">
        <v>4265744.4539659861</v>
      </c>
      <c r="F1238" s="58" t="s">
        <v>1185</v>
      </c>
      <c r="G1238" s="25">
        <f t="shared" si="19"/>
        <v>4.0157211209841392E-3</v>
      </c>
    </row>
    <row r="1239" spans="1:7">
      <c r="A1239" s="58">
        <v>108.78206694931568</v>
      </c>
      <c r="B1239" s="58">
        <v>109.24830244969849</v>
      </c>
      <c r="C1239" s="58">
        <v>108.4184032590171</v>
      </c>
      <c r="D1239" s="58">
        <v>108.81936578934631</v>
      </c>
      <c r="E1239" s="58">
        <v>6178789.4693448665</v>
      </c>
      <c r="F1239" s="58" t="s">
        <v>1186</v>
      </c>
      <c r="G1239" s="25">
        <f t="shared" si="19"/>
        <v>-3.4275921165383139E-4</v>
      </c>
    </row>
    <row r="1240" spans="1:7">
      <c r="A1240" s="58">
        <v>109.25762715970615</v>
      </c>
      <c r="B1240" s="58">
        <v>110.31131939057127</v>
      </c>
      <c r="C1240" s="58">
        <v>108.9685611494688</v>
      </c>
      <c r="D1240" s="58">
        <v>110.14347461043347</v>
      </c>
      <c r="E1240" s="58">
        <v>4998138.2757998817</v>
      </c>
      <c r="F1240" s="58" t="s">
        <v>1187</v>
      </c>
      <c r="G1240" s="25">
        <f t="shared" si="19"/>
        <v>-8.0426684727396003E-3</v>
      </c>
    </row>
    <row r="1241" spans="1:7">
      <c r="A1241" s="58">
        <v>110.21807229049469</v>
      </c>
      <c r="B1241" s="58">
        <v>110.78472230395614</v>
      </c>
      <c r="C1241" s="58">
        <v>109.71644768841405</v>
      </c>
      <c r="D1241" s="58">
        <v>110.14375753463088</v>
      </c>
      <c r="E1241" s="58">
        <v>4173701.3920690063</v>
      </c>
      <c r="F1241" s="58" t="s">
        <v>1188</v>
      </c>
      <c r="G1241" s="25">
        <f t="shared" si="19"/>
        <v>6.7470692417992417E-4</v>
      </c>
    </row>
    <row r="1242" spans="1:7">
      <c r="A1242" s="58">
        <v>110.36670180222228</v>
      </c>
      <c r="B1242" s="58">
        <v>111.18416411672405</v>
      </c>
      <c r="C1242" s="58">
        <v>110.02299605635221</v>
      </c>
      <c r="D1242" s="58">
        <v>110.36670180222228</v>
      </c>
      <c r="E1242" s="58">
        <v>4204031.842244084</v>
      </c>
      <c r="F1242" s="58" t="s">
        <v>1189</v>
      </c>
      <c r="G1242" s="25">
        <f t="shared" si="19"/>
        <v>0</v>
      </c>
    </row>
    <row r="1243" spans="1:7">
      <c r="A1243" s="58">
        <v>111.23061083913892</v>
      </c>
      <c r="B1243" s="58">
        <v>111.69507806328765</v>
      </c>
      <c r="C1243" s="58">
        <v>110.76614361499018</v>
      </c>
      <c r="D1243" s="58">
        <v>111.14700673879216</v>
      </c>
      <c r="E1243" s="58">
        <v>4686651.4725330407</v>
      </c>
      <c r="F1243" s="58" t="s">
        <v>1190</v>
      </c>
      <c r="G1243" s="25">
        <f t="shared" si="19"/>
        <v>7.521938988717114E-4</v>
      </c>
    </row>
    <row r="1244" spans="1:7">
      <c r="A1244" s="58">
        <v>110.78472230395614</v>
      </c>
      <c r="B1244" s="58">
        <v>110.94264116016672</v>
      </c>
      <c r="C1244" s="58">
        <v>109.5813806196316</v>
      </c>
      <c r="D1244" s="58">
        <v>110.41314852463715</v>
      </c>
      <c r="E1244" s="58">
        <v>4208038.583523646</v>
      </c>
      <c r="F1244" s="58" t="s">
        <v>1191</v>
      </c>
      <c r="G1244" s="25">
        <f t="shared" si="19"/>
        <v>3.3653037186607282E-3</v>
      </c>
    </row>
    <row r="1245" spans="1:7">
      <c r="A1245" s="58">
        <v>111.3513723174176</v>
      </c>
      <c r="B1245" s="58">
        <v>111.45355510673032</v>
      </c>
      <c r="C1245" s="58">
        <v>110.31096573532443</v>
      </c>
      <c r="D1245" s="58">
        <v>110.61751410326259</v>
      </c>
      <c r="E1245" s="58">
        <v>4379938.7647395162</v>
      </c>
      <c r="F1245" s="58" t="s">
        <v>1192</v>
      </c>
      <c r="G1245" s="25">
        <f t="shared" si="19"/>
        <v>6.6341954988242691E-3</v>
      </c>
    </row>
    <row r="1246" spans="1:7">
      <c r="A1246" s="58">
        <v>110.37599114670525</v>
      </c>
      <c r="B1246" s="58">
        <v>110.60358008653813</v>
      </c>
      <c r="C1246" s="58">
        <v>109.39132063150994</v>
      </c>
      <c r="D1246" s="58">
        <v>109.61426489910133</v>
      </c>
      <c r="E1246" s="58">
        <v>5426084.703003617</v>
      </c>
      <c r="F1246" s="58" t="s">
        <v>1193</v>
      </c>
      <c r="G1246" s="25">
        <f t="shared" si="19"/>
        <v>6.9491525423728273E-3</v>
      </c>
    </row>
    <row r="1247" spans="1:7">
      <c r="A1247" s="58">
        <v>109.65142227703323</v>
      </c>
      <c r="B1247" s="58">
        <v>109.8464985111757</v>
      </c>
      <c r="C1247" s="58">
        <v>108.36020339389975</v>
      </c>
      <c r="D1247" s="58">
        <v>108.61101569494006</v>
      </c>
      <c r="E1247" s="58">
        <v>5153530.4872954665</v>
      </c>
      <c r="F1247" s="58" t="s">
        <v>1194</v>
      </c>
      <c r="G1247" s="25">
        <f t="shared" si="19"/>
        <v>9.5791994526173152E-3</v>
      </c>
    </row>
    <row r="1248" spans="1:7">
      <c r="A1248" s="58">
        <v>108.83395996253145</v>
      </c>
      <c r="B1248" s="58">
        <v>108.95472144081013</v>
      </c>
      <c r="C1248" s="58">
        <v>107.27335008939171</v>
      </c>
      <c r="D1248" s="58">
        <v>107.39411156767038</v>
      </c>
      <c r="E1248" s="58">
        <v>5102233.0032939464</v>
      </c>
      <c r="F1248" s="58" t="s">
        <v>1195</v>
      </c>
      <c r="G1248" s="25">
        <f t="shared" si="19"/>
        <v>1.3407144710665175E-2</v>
      </c>
    </row>
    <row r="1249" spans="1:7">
      <c r="A1249" s="58">
        <v>107.69137059112558</v>
      </c>
      <c r="B1249" s="58">
        <v>108.85253865149741</v>
      </c>
      <c r="C1249" s="58">
        <v>107.05969516628329</v>
      </c>
      <c r="D1249" s="58">
        <v>108.68533045080386</v>
      </c>
      <c r="E1249" s="58">
        <v>6292023.0923854373</v>
      </c>
      <c r="F1249" s="58" t="s">
        <v>1196</v>
      </c>
      <c r="G1249" s="25">
        <f t="shared" si="19"/>
        <v>-9.1452991452990462E-3</v>
      </c>
    </row>
    <row r="1250" spans="1:7">
      <c r="A1250" s="58">
        <v>108.88040668494632</v>
      </c>
      <c r="B1250" s="58">
        <v>110.39456983567121</v>
      </c>
      <c r="C1250" s="58">
        <v>107.25477140042575</v>
      </c>
      <c r="D1250" s="58">
        <v>107.51487304594905</v>
      </c>
      <c r="E1250" s="58">
        <v>8773797.7797439471</v>
      </c>
      <c r="F1250" s="58" t="s">
        <v>1197</v>
      </c>
      <c r="G1250" s="25">
        <f t="shared" si="19"/>
        <v>1.2700881285640175E-2</v>
      </c>
    </row>
    <row r="1251" spans="1:7">
      <c r="A1251" s="58">
        <v>107.47771566801715</v>
      </c>
      <c r="B1251" s="58">
        <v>108.09081240389348</v>
      </c>
      <c r="C1251" s="58">
        <v>104.72806970105664</v>
      </c>
      <c r="D1251" s="58">
        <v>104.96030331313101</v>
      </c>
      <c r="E1251" s="58">
        <v>10299206.814361036</v>
      </c>
      <c r="F1251" s="58" t="s">
        <v>1198</v>
      </c>
      <c r="G1251" s="25">
        <f t="shared" si="19"/>
        <v>2.3984423400301047E-2</v>
      </c>
    </row>
    <row r="1252" spans="1:7">
      <c r="A1252" s="58">
        <v>104.70949101209069</v>
      </c>
      <c r="B1252" s="58">
        <v>105.21111561417133</v>
      </c>
      <c r="C1252" s="58">
        <v>103.58548032965075</v>
      </c>
      <c r="D1252" s="58">
        <v>103.92918607552082</v>
      </c>
      <c r="E1252" s="58">
        <v>9419867.0487865079</v>
      </c>
      <c r="F1252" s="58" t="s">
        <v>1199</v>
      </c>
      <c r="G1252" s="25">
        <f t="shared" si="19"/>
        <v>7.508044333214281E-3</v>
      </c>
    </row>
    <row r="1253" spans="1:7">
      <c r="A1253" s="58">
        <v>103.76197787482727</v>
      </c>
      <c r="B1253" s="58">
        <v>105.42012586503826</v>
      </c>
      <c r="C1253" s="58">
        <v>103.49258688482099</v>
      </c>
      <c r="D1253" s="58">
        <v>103.57619098516777</v>
      </c>
      <c r="E1253" s="58">
        <v>10462068.682900067</v>
      </c>
      <c r="F1253" s="58" t="s">
        <v>1200</v>
      </c>
      <c r="G1253" s="25">
        <f t="shared" si="19"/>
        <v>1.7937219730941312E-3</v>
      </c>
    </row>
    <row r="1254" spans="1:7">
      <c r="A1254" s="58">
        <v>102.96309424929144</v>
      </c>
      <c r="B1254" s="58">
        <v>103.35324671757638</v>
      </c>
      <c r="C1254" s="58">
        <v>102.74014998170004</v>
      </c>
      <c r="D1254" s="58">
        <v>102.74014998170004</v>
      </c>
      <c r="E1254" s="58">
        <v>4689395.4767032722</v>
      </c>
      <c r="F1254" s="58" t="s">
        <v>1201</v>
      </c>
      <c r="G1254" s="25">
        <f t="shared" si="19"/>
        <v>2.1699819168174983E-3</v>
      </c>
    </row>
    <row r="1255" spans="1:7">
      <c r="A1255" s="58">
        <v>103.07456638308713</v>
      </c>
      <c r="B1255" s="58">
        <v>103.96634345345271</v>
      </c>
      <c r="C1255" s="58">
        <v>102.6472565368703</v>
      </c>
      <c r="D1255" s="58">
        <v>103.72482049689538</v>
      </c>
      <c r="E1255" s="58">
        <v>7018149.6788590606</v>
      </c>
      <c r="F1255" s="58" t="s">
        <v>1202</v>
      </c>
      <c r="G1255" s="25">
        <f t="shared" si="19"/>
        <v>-6.2690309869247729E-3</v>
      </c>
    </row>
    <row r="1256" spans="1:7">
      <c r="A1256" s="58">
        <v>103.52045491826992</v>
      </c>
      <c r="B1256" s="58">
        <v>104.19857706552708</v>
      </c>
      <c r="C1256" s="58">
        <v>101.93234858546057</v>
      </c>
      <c r="D1256" s="58">
        <v>102.41502292479593</v>
      </c>
      <c r="E1256" s="58">
        <v>5106511.0231340798</v>
      </c>
      <c r="F1256" s="58" t="s">
        <v>1203</v>
      </c>
      <c r="G1256" s="25">
        <f t="shared" si="19"/>
        <v>1.07936507936508E-2</v>
      </c>
    </row>
    <row r="1257" spans="1:7">
      <c r="A1257" s="58">
        <v>102.48933768065973</v>
      </c>
      <c r="B1257" s="58">
        <v>103.43685081792316</v>
      </c>
      <c r="C1257" s="58">
        <v>102.18278931272157</v>
      </c>
      <c r="D1257" s="58">
        <v>102.18278931272157</v>
      </c>
      <c r="E1257" s="58">
        <v>9507800.056491958</v>
      </c>
      <c r="F1257" s="58" t="s">
        <v>1204</v>
      </c>
      <c r="G1257" s="25">
        <f t="shared" si="19"/>
        <v>2.9999999999998916E-3</v>
      </c>
    </row>
    <row r="1258" spans="1:7">
      <c r="A1258" s="58">
        <v>103.69695246344645</v>
      </c>
      <c r="B1258" s="58">
        <v>104.03136886483354</v>
      </c>
      <c r="C1258" s="58">
        <v>101.93197701168125</v>
      </c>
      <c r="D1258" s="58">
        <v>101.9505557006472</v>
      </c>
      <c r="E1258" s="58">
        <v>6424114.2213395732</v>
      </c>
      <c r="F1258" s="58" t="s">
        <v>1205</v>
      </c>
      <c r="G1258" s="25">
        <f t="shared" si="19"/>
        <v>1.7129840546697084E-2</v>
      </c>
    </row>
    <row r="1259" spans="1:7">
      <c r="A1259" s="58">
        <v>102.23852537961942</v>
      </c>
      <c r="B1259" s="58">
        <v>103.21390655033176</v>
      </c>
      <c r="C1259" s="58">
        <v>101.99932475918281</v>
      </c>
      <c r="D1259" s="58">
        <v>102.35928685789808</v>
      </c>
      <c r="E1259" s="58">
        <v>7590981.2720627189</v>
      </c>
      <c r="F1259" s="58" t="s">
        <v>1206</v>
      </c>
      <c r="G1259" s="25">
        <f t="shared" si="19"/>
        <v>-1.1797803793447414E-3</v>
      </c>
    </row>
    <row r="1260" spans="1:7">
      <c r="A1260" s="58">
        <v>102.56365243652353</v>
      </c>
      <c r="B1260" s="58">
        <v>103.48329754033803</v>
      </c>
      <c r="C1260" s="58">
        <v>102.27958428223417</v>
      </c>
      <c r="D1260" s="58">
        <v>103.05598769412119</v>
      </c>
      <c r="E1260" s="58">
        <v>5811805.1385593237</v>
      </c>
      <c r="F1260" s="58" t="s">
        <v>1207</v>
      </c>
      <c r="G1260" s="25">
        <f t="shared" si="19"/>
        <v>-4.7773571299801754E-3</v>
      </c>
    </row>
    <row r="1261" spans="1:7">
      <c r="A1261" s="58">
        <v>102.62867784790436</v>
      </c>
      <c r="B1261" s="58">
        <v>102.70299260376815</v>
      </c>
      <c r="C1261" s="58">
        <v>101.8390835668515</v>
      </c>
      <c r="D1261" s="58">
        <v>102.25710406858536</v>
      </c>
      <c r="E1261" s="58">
        <v>5262688.8893612372</v>
      </c>
      <c r="F1261" s="58" t="s">
        <v>1208</v>
      </c>
      <c r="G1261" s="25">
        <f t="shared" si="19"/>
        <v>3.6337209302326201E-3</v>
      </c>
    </row>
    <row r="1262" spans="1:7">
      <c r="A1262" s="58">
        <v>102.09918521237479</v>
      </c>
      <c r="B1262" s="58">
        <v>102.48933768065973</v>
      </c>
      <c r="C1262" s="58">
        <v>101.72761143305581</v>
      </c>
      <c r="D1262" s="58">
        <v>102.48933768065973</v>
      </c>
      <c r="E1262" s="58">
        <v>7016092.4831080558</v>
      </c>
      <c r="F1262" s="58" t="s">
        <v>1209</v>
      </c>
      <c r="G1262" s="25">
        <f t="shared" si="19"/>
        <v>-3.8067615335810601E-3</v>
      </c>
    </row>
    <row r="1263" spans="1:7">
      <c r="A1263" s="58">
        <v>102.32212947996619</v>
      </c>
      <c r="B1263" s="58">
        <v>102.41502292479593</v>
      </c>
      <c r="C1263" s="58">
        <v>101.24456551994112</v>
      </c>
      <c r="D1263" s="58">
        <v>101.30030158683897</v>
      </c>
      <c r="E1263" s="58">
        <v>8625713.0572405253</v>
      </c>
      <c r="F1263" s="58" t="s">
        <v>1210</v>
      </c>
      <c r="G1263" s="25">
        <f t="shared" si="19"/>
        <v>1.0087116001834096E-2</v>
      </c>
    </row>
    <row r="1264" spans="1:7">
      <c r="A1264" s="58">
        <v>101.30030158683897</v>
      </c>
      <c r="B1264" s="58">
        <v>101.74619012202176</v>
      </c>
      <c r="C1264" s="58">
        <v>99.953346636807638</v>
      </c>
      <c r="D1264" s="58">
        <v>100.14842287095011</v>
      </c>
      <c r="E1264" s="58">
        <v>14834602.188837299</v>
      </c>
      <c r="F1264" s="58" t="s">
        <v>1211</v>
      </c>
      <c r="G1264" s="25">
        <f t="shared" si="19"/>
        <v>1.1501715981819816E-2</v>
      </c>
    </row>
    <row r="1265" spans="1:7">
      <c r="A1265" s="58">
        <v>100.23202697129689</v>
      </c>
      <c r="B1265" s="58">
        <v>102.6472565368703</v>
      </c>
      <c r="C1265" s="58">
        <v>100.16235688767458</v>
      </c>
      <c r="D1265" s="58">
        <v>102.6472565368703</v>
      </c>
      <c r="E1265" s="58">
        <v>8799273.2048865631</v>
      </c>
      <c r="F1265" s="58" t="s">
        <v>1212</v>
      </c>
      <c r="G1265" s="25">
        <f t="shared" si="19"/>
        <v>-2.3529411764705799E-2</v>
      </c>
    </row>
    <row r="1266" spans="1:7">
      <c r="A1266" s="58">
        <v>102.18278931272157</v>
      </c>
      <c r="B1266" s="58">
        <v>103.00025162722334</v>
      </c>
      <c r="C1266" s="58">
        <v>101.92268766719828</v>
      </c>
      <c r="D1266" s="58">
        <v>102.16421062375562</v>
      </c>
      <c r="E1266" s="58">
        <v>8540507.9061719384</v>
      </c>
      <c r="F1266" s="58" t="s">
        <v>1213</v>
      </c>
      <c r="G1266" s="25">
        <f t="shared" si="19"/>
        <v>1.8185124568104172E-4</v>
      </c>
    </row>
    <row r="1267" spans="1:7">
      <c r="A1267" s="58">
        <v>101.52324585443037</v>
      </c>
      <c r="B1267" s="58">
        <v>102.09937099926447</v>
      </c>
      <c r="C1267" s="58">
        <v>100.70578353992859</v>
      </c>
      <c r="D1267" s="58">
        <v>101.53253519891334</v>
      </c>
      <c r="E1267" s="58">
        <v>7747837.3346913066</v>
      </c>
      <c r="F1267" s="58" t="s">
        <v>1214</v>
      </c>
      <c r="G1267" s="25">
        <f t="shared" si="19"/>
        <v>-9.1491308325641896E-5</v>
      </c>
    </row>
    <row r="1268" spans="1:7">
      <c r="A1268" s="58">
        <v>101.4396417540836</v>
      </c>
      <c r="B1268" s="58">
        <v>101.8762409447834</v>
      </c>
      <c r="C1268" s="58">
        <v>98.977965466095299</v>
      </c>
      <c r="D1268" s="58">
        <v>99.395985967829162</v>
      </c>
      <c r="E1268" s="58">
        <v>13045000.131289693</v>
      </c>
      <c r="F1268" s="58" t="s">
        <v>1215</v>
      </c>
      <c r="G1268" s="25">
        <f t="shared" si="19"/>
        <v>2.0560747663551426E-2</v>
      </c>
    </row>
    <row r="1269" spans="1:7">
      <c r="A1269" s="58">
        <v>99.303092522999421</v>
      </c>
      <c r="B1269" s="58">
        <v>100.25989500474581</v>
      </c>
      <c r="C1269" s="58">
        <v>97.872533472621313</v>
      </c>
      <c r="D1269" s="58">
        <v>98.271975285389232</v>
      </c>
      <c r="E1269" s="58">
        <v>20685076.363802619</v>
      </c>
      <c r="F1269" s="58" t="s">
        <v>1216</v>
      </c>
      <c r="G1269" s="25">
        <f t="shared" si="19"/>
        <v>1.0492485112014283E-2</v>
      </c>
    </row>
    <row r="1270" spans="1:7">
      <c r="A1270" s="58">
        <v>98.271975285389232</v>
      </c>
      <c r="B1270" s="58">
        <v>103.39040409550827</v>
      </c>
      <c r="C1270" s="58">
        <v>98.180289455342262</v>
      </c>
      <c r="D1270" s="58">
        <v>102.32212947996619</v>
      </c>
      <c r="E1270" s="58">
        <v>27046101.095773581</v>
      </c>
      <c r="F1270" s="58" t="s">
        <v>1217</v>
      </c>
      <c r="G1270" s="25">
        <f t="shared" si="19"/>
        <v>-3.9582387653200213E-2</v>
      </c>
    </row>
    <row r="1271" spans="1:7">
      <c r="A1271" s="58">
        <v>108.36020339389975</v>
      </c>
      <c r="B1271" s="58">
        <v>109.44705669840778</v>
      </c>
      <c r="C1271" s="58">
        <v>108.02578699251266</v>
      </c>
      <c r="D1271" s="58">
        <v>108.1929951932062</v>
      </c>
      <c r="E1271" s="58">
        <v>5181319.3157185176</v>
      </c>
      <c r="F1271" s="58" t="s">
        <v>1218</v>
      </c>
      <c r="G1271" s="25">
        <f t="shared" si="19"/>
        <v>1.5454623508199816E-3</v>
      </c>
    </row>
    <row r="1272" spans="1:7">
      <c r="A1272" s="58">
        <v>107.46842632353417</v>
      </c>
      <c r="B1272" s="58">
        <v>109.21482308633341</v>
      </c>
      <c r="C1272" s="58">
        <v>107.39411156767038</v>
      </c>
      <c r="D1272" s="58">
        <v>108.68533045080386</v>
      </c>
      <c r="E1272" s="58">
        <v>11151414.417869452</v>
      </c>
      <c r="F1272" s="58" t="s">
        <v>1219</v>
      </c>
      <c r="G1272" s="25">
        <f t="shared" si="19"/>
        <v>-1.1196581196581179E-2</v>
      </c>
    </row>
    <row r="1273" spans="1:7">
      <c r="A1273" s="58">
        <v>108.45309683872949</v>
      </c>
      <c r="B1273" s="58">
        <v>109.86972187238314</v>
      </c>
      <c r="C1273" s="58">
        <v>107.80284272492126</v>
      </c>
      <c r="D1273" s="58">
        <v>109.16837636391854</v>
      </c>
      <c r="E1273" s="58">
        <v>7205154.262786787</v>
      </c>
      <c r="F1273" s="58" t="s">
        <v>1220</v>
      </c>
      <c r="G1273" s="25">
        <f t="shared" si="19"/>
        <v>-6.5520762423416645E-3</v>
      </c>
    </row>
    <row r="1274" spans="1:7">
      <c r="A1274" s="58">
        <v>109.98583867842032</v>
      </c>
      <c r="B1274" s="58">
        <v>110.76614361499018</v>
      </c>
      <c r="C1274" s="58">
        <v>109.20553374185045</v>
      </c>
      <c r="D1274" s="58">
        <v>109.61426489910133</v>
      </c>
      <c r="E1274" s="58">
        <v>5064448.8517164821</v>
      </c>
      <c r="F1274" s="58" t="s">
        <v>1221</v>
      </c>
      <c r="G1274" s="25">
        <f t="shared" si="19"/>
        <v>3.3898305084745228E-3</v>
      </c>
    </row>
    <row r="1275" spans="1:7">
      <c r="A1275" s="58">
        <v>108.95472144081013</v>
      </c>
      <c r="B1275" s="58">
        <v>109.85578785565868</v>
      </c>
      <c r="C1275" s="58">
        <v>108.90827471839525</v>
      </c>
      <c r="D1275" s="58">
        <v>109.65142227703323</v>
      </c>
      <c r="E1275" s="58">
        <v>3332841.1985089649</v>
      </c>
      <c r="F1275" s="58" t="s">
        <v>1222</v>
      </c>
      <c r="G1275" s="25">
        <f t="shared" si="19"/>
        <v>-6.3537783802101178E-3</v>
      </c>
    </row>
    <row r="1276" spans="1:7">
      <c r="A1276" s="58">
        <v>108.80609192908253</v>
      </c>
      <c r="B1276" s="58">
        <v>110.49675262498393</v>
      </c>
      <c r="C1276" s="58">
        <v>108.66675176183792</v>
      </c>
      <c r="D1276" s="58">
        <v>109.82791982220975</v>
      </c>
      <c r="E1276" s="58">
        <v>4983503.4199502124</v>
      </c>
      <c r="F1276" s="58" t="s">
        <v>1223</v>
      </c>
      <c r="G1276" s="25">
        <f t="shared" si="19"/>
        <v>-9.3038991795653114E-3</v>
      </c>
    </row>
    <row r="1277" spans="1:7">
      <c r="A1277" s="58">
        <v>109.42847800944183</v>
      </c>
      <c r="B1277" s="58">
        <v>109.5863968656524</v>
      </c>
      <c r="C1277" s="58">
        <v>108.13725912630835</v>
      </c>
      <c r="D1277" s="58">
        <v>108.26730994907</v>
      </c>
      <c r="E1277" s="58">
        <v>3076962.0022582044</v>
      </c>
      <c r="F1277" s="58" t="s">
        <v>1224</v>
      </c>
      <c r="G1277" s="25">
        <f t="shared" si="19"/>
        <v>1.0725010725010753E-2</v>
      </c>
    </row>
    <row r="1278" spans="1:7">
      <c r="A1278" s="58">
        <v>108.10939109285943</v>
      </c>
      <c r="B1278" s="58">
        <v>108.15583781527431</v>
      </c>
      <c r="C1278" s="58">
        <v>106.97144639369503</v>
      </c>
      <c r="D1278" s="58">
        <v>107.90502551423398</v>
      </c>
      <c r="E1278" s="58">
        <v>3693241.2252423819</v>
      </c>
      <c r="F1278" s="58" t="s">
        <v>1225</v>
      </c>
      <c r="G1278" s="25">
        <f t="shared" si="19"/>
        <v>1.8939393939394478E-3</v>
      </c>
    </row>
    <row r="1279" spans="1:7">
      <c r="A1279" s="58">
        <v>108.66675176183792</v>
      </c>
      <c r="B1279" s="58">
        <v>109.61426489910133</v>
      </c>
      <c r="C1279" s="58">
        <v>108.42522880528057</v>
      </c>
      <c r="D1279" s="58">
        <v>108.42522880528057</v>
      </c>
      <c r="E1279" s="58">
        <v>3658426.0668000681</v>
      </c>
      <c r="F1279" s="58" t="s">
        <v>1226</v>
      </c>
      <c r="G1279" s="25">
        <f t="shared" si="19"/>
        <v>2.2275531185744768E-3</v>
      </c>
    </row>
    <row r="1280" spans="1:7">
      <c r="A1280" s="58">
        <v>108.44380749424651</v>
      </c>
      <c r="B1280" s="58">
        <v>109.93939195600544</v>
      </c>
      <c r="C1280" s="58">
        <v>108.3787820828657</v>
      </c>
      <c r="D1280" s="58">
        <v>109.61426489910133</v>
      </c>
      <c r="E1280" s="58">
        <v>4018116.6785675446</v>
      </c>
      <c r="F1280" s="58" t="s">
        <v>1227</v>
      </c>
      <c r="G1280" s="25">
        <f t="shared" si="19"/>
        <v>-1.0677966101694913E-2</v>
      </c>
    </row>
    <row r="1281" spans="1:7">
      <c r="A1281" s="58">
        <v>109.90223457807355</v>
      </c>
      <c r="B1281" s="58">
        <v>110.37599114670525</v>
      </c>
      <c r="C1281" s="58">
        <v>108.99187881874202</v>
      </c>
      <c r="D1281" s="58">
        <v>109.60497555461835</v>
      </c>
      <c r="E1281" s="58">
        <v>4091219.7916283859</v>
      </c>
      <c r="F1281" s="58" t="s">
        <v>1228</v>
      </c>
      <c r="G1281" s="25">
        <f t="shared" si="19"/>
        <v>2.7120942452751873E-3</v>
      </c>
    </row>
    <row r="1282" spans="1:7">
      <c r="A1282" s="58">
        <v>109.10335095253772</v>
      </c>
      <c r="B1282" s="58">
        <v>109.64213293255025</v>
      </c>
      <c r="C1282" s="58">
        <v>108.3787820828657</v>
      </c>
      <c r="D1282" s="58">
        <v>108.68533045080386</v>
      </c>
      <c r="E1282" s="58">
        <v>4865415.4319322761</v>
      </c>
      <c r="F1282" s="58" t="s">
        <v>1229</v>
      </c>
      <c r="G1282" s="25">
        <f t="shared" si="19"/>
        <v>3.8461538461538325E-3</v>
      </c>
    </row>
    <row r="1283" spans="1:7">
      <c r="A1283" s="58">
        <v>108.0815230594105</v>
      </c>
      <c r="B1283" s="58">
        <v>109.23804644754085</v>
      </c>
      <c r="C1283" s="58">
        <v>107.98862961458076</v>
      </c>
      <c r="D1283" s="58">
        <v>108.84324930701443</v>
      </c>
      <c r="E1283" s="58">
        <v>5108693.0931431269</v>
      </c>
      <c r="F1283" s="58" t="s">
        <v>1230</v>
      </c>
      <c r="G1283" s="25">
        <f t="shared" ref="G1283:G1346" si="20">A1283/D1283-1</f>
        <v>-6.9983784245114533E-3</v>
      </c>
    </row>
    <row r="1284" spans="1:7">
      <c r="A1284" s="58">
        <v>109.97654933393734</v>
      </c>
      <c r="B1284" s="58">
        <v>110.78472230395614</v>
      </c>
      <c r="C1284" s="58">
        <v>109.57710752116942</v>
      </c>
      <c r="D1284" s="58">
        <v>110.41314852463715</v>
      </c>
      <c r="E1284" s="58">
        <v>5943111.4973918051</v>
      </c>
      <c r="F1284" s="58" t="s">
        <v>1231</v>
      </c>
      <c r="G1284" s="25">
        <f t="shared" si="20"/>
        <v>-3.954231869426228E-3</v>
      </c>
    </row>
    <row r="1285" spans="1:7">
      <c r="A1285" s="58">
        <v>110.48746328050095</v>
      </c>
      <c r="B1285" s="58">
        <v>111.4210424010399</v>
      </c>
      <c r="C1285" s="58">
        <v>110.31096573532443</v>
      </c>
      <c r="D1285" s="58">
        <v>110.72898623705829</v>
      </c>
      <c r="E1285" s="58">
        <v>4223345.3686537053</v>
      </c>
      <c r="F1285" s="58" t="s">
        <v>1232</v>
      </c>
      <c r="G1285" s="25">
        <f t="shared" si="20"/>
        <v>-2.1812080536913747E-3</v>
      </c>
    </row>
    <row r="1286" spans="1:7">
      <c r="A1286" s="58">
        <v>110.49675262498393</v>
      </c>
      <c r="B1286" s="58">
        <v>111.8622862639812</v>
      </c>
      <c r="C1286" s="58">
        <v>110.32025507980741</v>
      </c>
      <c r="D1286" s="58">
        <v>111.25847887258784</v>
      </c>
      <c r="E1286" s="58">
        <v>4388547.5530287838</v>
      </c>
      <c r="F1286" s="58" t="s">
        <v>1233</v>
      </c>
      <c r="G1286" s="25">
        <f t="shared" si="20"/>
        <v>-6.8464557067712262E-3</v>
      </c>
    </row>
    <row r="1287" spans="1:7">
      <c r="A1287" s="58">
        <v>110.34812311325634</v>
      </c>
      <c r="B1287" s="58">
        <v>110.4317272136031</v>
      </c>
      <c r="C1287" s="58">
        <v>108.40665011631462</v>
      </c>
      <c r="D1287" s="58">
        <v>109.6607116215162</v>
      </c>
      <c r="E1287" s="58">
        <v>4635038.5733797448</v>
      </c>
      <c r="F1287" s="58" t="s">
        <v>1234</v>
      </c>
      <c r="G1287" s="25">
        <f t="shared" si="20"/>
        <v>6.268530283778162E-3</v>
      </c>
    </row>
    <row r="1288" spans="1:7">
      <c r="A1288" s="58">
        <v>110.08802146773304</v>
      </c>
      <c r="B1288" s="58">
        <v>110.42243786912013</v>
      </c>
      <c r="C1288" s="58">
        <v>108.85253865149741</v>
      </c>
      <c r="D1288" s="58">
        <v>109.42847800944183</v>
      </c>
      <c r="E1288" s="58">
        <v>6063208.238560644</v>
      </c>
      <c r="F1288" s="58" t="s">
        <v>1235</v>
      </c>
      <c r="G1288" s="25">
        <f t="shared" si="20"/>
        <v>6.0271646859084704E-3</v>
      </c>
    </row>
    <row r="1289" spans="1:7">
      <c r="A1289" s="58">
        <v>109.1869550528845</v>
      </c>
      <c r="B1289" s="58">
        <v>110.81259033740507</v>
      </c>
      <c r="C1289" s="58">
        <v>108.15583781527431</v>
      </c>
      <c r="D1289" s="58">
        <v>110.72898623705829</v>
      </c>
      <c r="E1289" s="58">
        <v>9927310.8203722611</v>
      </c>
      <c r="F1289" s="58" t="s">
        <v>1236</v>
      </c>
      <c r="G1289" s="25">
        <f t="shared" si="20"/>
        <v>-1.3926174496644239E-2</v>
      </c>
    </row>
    <row r="1290" spans="1:7">
      <c r="A1290" s="58">
        <v>111.03553460499646</v>
      </c>
      <c r="B1290" s="58">
        <v>112.08523053157259</v>
      </c>
      <c r="C1290" s="58">
        <v>110.70789942508193</v>
      </c>
      <c r="D1290" s="58">
        <v>111.98304774225987</v>
      </c>
      <c r="E1290" s="58">
        <v>5293781.5031112563</v>
      </c>
      <c r="F1290" s="58" t="s">
        <v>1237</v>
      </c>
      <c r="G1290" s="25">
        <f t="shared" si="20"/>
        <v>-8.4612194110327277E-3</v>
      </c>
    </row>
    <row r="1291" spans="1:7">
      <c r="A1291" s="58">
        <v>111.54644855156006</v>
      </c>
      <c r="B1291" s="58">
        <v>112.54040841123836</v>
      </c>
      <c r="C1291" s="58">
        <v>110.86368173206142</v>
      </c>
      <c r="D1291" s="58">
        <v>111.936601019845</v>
      </c>
      <c r="E1291" s="58">
        <v>5138659.6855663266</v>
      </c>
      <c r="F1291" s="58" t="s">
        <v>1238</v>
      </c>
      <c r="G1291" s="25">
        <f t="shared" si="20"/>
        <v>-3.4854771784232907E-3</v>
      </c>
    </row>
    <row r="1292" spans="1:7">
      <c r="A1292" s="58">
        <v>112.41035758847671</v>
      </c>
      <c r="B1292" s="58">
        <v>112.87482481262545</v>
      </c>
      <c r="C1292" s="58">
        <v>111.48142314017925</v>
      </c>
      <c r="D1292" s="58">
        <v>112.86553546814247</v>
      </c>
      <c r="E1292" s="58">
        <v>4186706.6154431007</v>
      </c>
      <c r="F1292" s="58" t="s">
        <v>1239</v>
      </c>
      <c r="G1292" s="25">
        <f t="shared" si="20"/>
        <v>-4.0329218106995857E-3</v>
      </c>
    </row>
    <row r="1293" spans="1:7">
      <c r="A1293" s="58">
        <v>112.8190887457276</v>
      </c>
      <c r="B1293" s="58">
        <v>113.25568793642741</v>
      </c>
      <c r="C1293" s="58">
        <v>111.9737583977769</v>
      </c>
      <c r="D1293" s="58">
        <v>112.88411415710841</v>
      </c>
      <c r="E1293" s="58">
        <v>4043206.7159137926</v>
      </c>
      <c r="F1293" s="58" t="s">
        <v>1240</v>
      </c>
      <c r="G1293" s="25">
        <f t="shared" si="20"/>
        <v>-5.7603686635943063E-4</v>
      </c>
    </row>
    <row r="1294" spans="1:7">
      <c r="A1294" s="58">
        <v>113.05132235780196</v>
      </c>
      <c r="B1294" s="58">
        <v>113.84091663885481</v>
      </c>
      <c r="C1294" s="58">
        <v>112.40106824399373</v>
      </c>
      <c r="D1294" s="58">
        <v>113.3300026922912</v>
      </c>
      <c r="E1294" s="58">
        <v>3643933.1173517243</v>
      </c>
      <c r="F1294" s="58" t="s">
        <v>1241</v>
      </c>
      <c r="G1294" s="25">
        <f t="shared" si="20"/>
        <v>-2.4590163934425924E-3</v>
      </c>
    </row>
    <row r="1295" spans="1:7">
      <c r="A1295" s="58">
        <v>113.86878467230373</v>
      </c>
      <c r="B1295" s="58">
        <v>114.63051091990766</v>
      </c>
      <c r="C1295" s="58">
        <v>113.28355596987633</v>
      </c>
      <c r="D1295" s="58">
        <v>114.62122157542468</v>
      </c>
      <c r="E1295" s="58">
        <v>4712338.9686138825</v>
      </c>
      <c r="F1295" s="58" t="s">
        <v>1242</v>
      </c>
      <c r="G1295" s="25">
        <f t="shared" si="20"/>
        <v>-6.5645514223194867E-3</v>
      </c>
    </row>
    <row r="1296" spans="1:7">
      <c r="A1296" s="58">
        <v>114.54690681956089</v>
      </c>
      <c r="B1296" s="58">
        <v>115.29005437819886</v>
      </c>
      <c r="C1296" s="58">
        <v>113.92916541144307</v>
      </c>
      <c r="D1296" s="58">
        <v>114.83487649853311</v>
      </c>
      <c r="E1296" s="58">
        <v>5626893.2749560112</v>
      </c>
      <c r="F1296" s="58" t="s">
        <v>1243</v>
      </c>
      <c r="G1296" s="25">
        <f t="shared" si="20"/>
        <v>-2.5076848406406782E-3</v>
      </c>
    </row>
    <row r="1297" spans="1:7">
      <c r="A1297" s="58">
        <v>114.72340436473741</v>
      </c>
      <c r="B1297" s="58">
        <v>115.94959783649006</v>
      </c>
      <c r="C1297" s="58">
        <v>113.80375926092292</v>
      </c>
      <c r="D1297" s="58">
        <v>114.08243959541215</v>
      </c>
      <c r="E1297" s="58">
        <v>6854010.0021795565</v>
      </c>
      <c r="F1297" s="58" t="s">
        <v>1244</v>
      </c>
      <c r="G1297" s="25">
        <f t="shared" si="20"/>
        <v>5.6184349808647838E-3</v>
      </c>
    </row>
    <row r="1298" spans="1:7">
      <c r="A1298" s="58">
        <v>113.88736336126968</v>
      </c>
      <c r="B1298" s="58">
        <v>114.11495230110256</v>
      </c>
      <c r="C1298" s="58">
        <v>111.3401322105932</v>
      </c>
      <c r="D1298" s="58">
        <v>111.87157560846418</v>
      </c>
      <c r="E1298" s="58">
        <v>7579060.0864286879</v>
      </c>
      <c r="F1298" s="58" t="s">
        <v>1245</v>
      </c>
      <c r="G1298" s="25">
        <f t="shared" si="20"/>
        <v>1.8018766088183868E-2</v>
      </c>
    </row>
    <row r="1299" spans="1:7">
      <c r="A1299" s="58">
        <v>111.47213379569627</v>
      </c>
      <c r="B1299" s="58">
        <v>113.3300026922912</v>
      </c>
      <c r="C1299" s="58">
        <v>110.55248869188178</v>
      </c>
      <c r="D1299" s="58">
        <v>111.936601019845</v>
      </c>
      <c r="E1299" s="58">
        <v>10666213.335246164</v>
      </c>
      <c r="F1299" s="58" t="s">
        <v>1246</v>
      </c>
      <c r="G1299" s="25">
        <f t="shared" si="20"/>
        <v>-4.1493775933609811E-3</v>
      </c>
    </row>
    <row r="1300" spans="1:7">
      <c r="A1300" s="58">
        <v>115.6802068464838</v>
      </c>
      <c r="B1300" s="58">
        <v>116.50695850546855</v>
      </c>
      <c r="C1300" s="58">
        <v>114.80700846508418</v>
      </c>
      <c r="D1300" s="58">
        <v>114.81629780956715</v>
      </c>
      <c r="E1300" s="58">
        <v>7377358.0176299652</v>
      </c>
      <c r="F1300" s="58" t="s">
        <v>1247</v>
      </c>
      <c r="G1300" s="25">
        <f t="shared" si="20"/>
        <v>7.5242718446602019E-3</v>
      </c>
    </row>
    <row r="1301" spans="1:7">
      <c r="A1301" s="58">
        <v>115.51299864579025</v>
      </c>
      <c r="B1301" s="58">
        <v>115.75210637278202</v>
      </c>
      <c r="C1301" s="58">
        <v>114.2124904181738</v>
      </c>
      <c r="D1301" s="58">
        <v>115.55015602372215</v>
      </c>
      <c r="E1301" s="58">
        <v>6720676.5896583563</v>
      </c>
      <c r="F1301" s="58" t="s">
        <v>1248</v>
      </c>
      <c r="G1301" s="25">
        <f t="shared" si="20"/>
        <v>-3.2156925797899305E-4</v>
      </c>
    </row>
    <row r="1302" spans="1:7">
      <c r="A1302" s="58">
        <v>115.13213552198829</v>
      </c>
      <c r="B1302" s="58">
        <v>115.81954701372842</v>
      </c>
      <c r="C1302" s="58">
        <v>113.23710924746146</v>
      </c>
      <c r="D1302" s="58">
        <v>113.7015764716102</v>
      </c>
      <c r="E1302" s="58">
        <v>4855987.4254501704</v>
      </c>
      <c r="F1302" s="58" t="s">
        <v>1249</v>
      </c>
      <c r="G1302" s="25">
        <f t="shared" si="20"/>
        <v>1.2581699346405184E-2</v>
      </c>
    </row>
    <row r="1303" spans="1:7">
      <c r="A1303" s="58">
        <v>112.86553546814247</v>
      </c>
      <c r="B1303" s="58">
        <v>114.1010182843781</v>
      </c>
      <c r="C1303" s="58">
        <v>112.66581456175851</v>
      </c>
      <c r="D1303" s="58">
        <v>113.84091663885481</v>
      </c>
      <c r="E1303" s="58">
        <v>5088339.6655846452</v>
      </c>
      <c r="F1303" s="58" t="s">
        <v>1250</v>
      </c>
      <c r="G1303" s="25">
        <f t="shared" si="20"/>
        <v>-8.5679314565483278E-3</v>
      </c>
    </row>
    <row r="1304" spans="1:7">
      <c r="A1304" s="58">
        <v>113.85020598333782</v>
      </c>
      <c r="B1304" s="58">
        <v>114.43329377920404</v>
      </c>
      <c r="C1304" s="58">
        <v>111.90657999711711</v>
      </c>
      <c r="D1304" s="58">
        <v>112.03615506286515</v>
      </c>
      <c r="E1304" s="58">
        <v>5342383.2432856187</v>
      </c>
      <c r="F1304" s="58" t="s">
        <v>1251</v>
      </c>
      <c r="G1304" s="25">
        <f t="shared" si="20"/>
        <v>1.6191656340355243E-2</v>
      </c>
    </row>
    <row r="1305" spans="1:7">
      <c r="A1305" s="58">
        <v>112.02689970102601</v>
      </c>
      <c r="B1305" s="58">
        <v>112.33140110553391</v>
      </c>
      <c r="C1305" s="58">
        <v>111.50859943803383</v>
      </c>
      <c r="D1305" s="58">
        <v>111.58264233274699</v>
      </c>
      <c r="E1305" s="58">
        <v>3150579.1460974216</v>
      </c>
      <c r="F1305" s="58" t="s">
        <v>1252</v>
      </c>
      <c r="G1305" s="25">
        <f t="shared" si="20"/>
        <v>3.9814200398142763E-3</v>
      </c>
    </row>
    <row r="1306" spans="1:7">
      <c r="A1306" s="58">
        <v>111.89732463527797</v>
      </c>
      <c r="B1306" s="58">
        <v>111.92509072079541</v>
      </c>
      <c r="C1306" s="58">
        <v>110.46274355021029</v>
      </c>
      <c r="D1306" s="58">
        <v>110.74040440538468</v>
      </c>
      <c r="E1306" s="58">
        <v>4432566.8421175824</v>
      </c>
      <c r="F1306" s="58" t="s">
        <v>1253</v>
      </c>
      <c r="G1306" s="25">
        <f t="shared" si="20"/>
        <v>1.044713748432935E-2</v>
      </c>
    </row>
    <row r="1307" spans="1:7">
      <c r="A1307" s="58">
        <v>110.86072410929359</v>
      </c>
      <c r="B1307" s="58">
        <v>112.51743387850075</v>
      </c>
      <c r="C1307" s="58">
        <v>110.63859542515408</v>
      </c>
      <c r="D1307" s="58">
        <v>111.99913361550857</v>
      </c>
      <c r="E1307" s="58">
        <v>4072061.2175954203</v>
      </c>
      <c r="F1307" s="58" t="s">
        <v>1254</v>
      </c>
      <c r="G1307" s="25">
        <f t="shared" si="20"/>
        <v>-1.016444921907278E-2</v>
      </c>
    </row>
    <row r="1308" spans="1:7">
      <c r="A1308" s="58">
        <v>111.1661510499854</v>
      </c>
      <c r="B1308" s="58">
        <v>111.87881391159966</v>
      </c>
      <c r="C1308" s="58">
        <v>110.69412759618895</v>
      </c>
      <c r="D1308" s="58">
        <v>110.89774555665016</v>
      </c>
      <c r="E1308" s="58">
        <v>4660022.0228643781</v>
      </c>
      <c r="F1308" s="58" t="s">
        <v>1255</v>
      </c>
      <c r="G1308" s="25">
        <f t="shared" si="20"/>
        <v>2.4202971123350459E-3</v>
      </c>
    </row>
    <row r="1309" spans="1:7">
      <c r="A1309" s="58">
        <v>111.03657598423736</v>
      </c>
      <c r="B1309" s="58">
        <v>112.9246697994232</v>
      </c>
      <c r="C1309" s="58">
        <v>110.69412759618895</v>
      </c>
      <c r="D1309" s="58">
        <v>111.07359743159395</v>
      </c>
      <c r="E1309" s="58">
        <v>5560447.1110280575</v>
      </c>
      <c r="F1309" s="58" t="s">
        <v>1256</v>
      </c>
      <c r="G1309" s="25">
        <f t="shared" si="20"/>
        <v>-3.3330555787025595E-4</v>
      </c>
    </row>
    <row r="1310" spans="1:7">
      <c r="A1310" s="58">
        <v>110.93476700400676</v>
      </c>
      <c r="B1310" s="58">
        <v>111.38827973412491</v>
      </c>
      <c r="C1310" s="58">
        <v>110.21284878055334</v>
      </c>
      <c r="D1310" s="58">
        <v>110.74040440538468</v>
      </c>
      <c r="E1310" s="58">
        <v>6822653.8408167688</v>
      </c>
      <c r="F1310" s="58" t="s">
        <v>1257</v>
      </c>
      <c r="G1310" s="25">
        <f t="shared" si="20"/>
        <v>1.7551190973674746E-3</v>
      </c>
    </row>
    <row r="1311" spans="1:7">
      <c r="A1311" s="58">
        <v>110.0832737148053</v>
      </c>
      <c r="B1311" s="58">
        <v>111.86955854976053</v>
      </c>
      <c r="C1311" s="58">
        <v>109.93518792537895</v>
      </c>
      <c r="D1311" s="58">
        <v>111.3234922012509</v>
      </c>
      <c r="E1311" s="58">
        <v>4338312.2883614786</v>
      </c>
      <c r="F1311" s="58" t="s">
        <v>1258</v>
      </c>
      <c r="G1311" s="25">
        <f t="shared" si="20"/>
        <v>-1.1140671765879628E-2</v>
      </c>
    </row>
    <row r="1312" spans="1:7">
      <c r="A1312" s="58">
        <v>110.91625628032847</v>
      </c>
      <c r="B1312" s="58">
        <v>112.406369536431</v>
      </c>
      <c r="C1312" s="58">
        <v>110.83295802377614</v>
      </c>
      <c r="D1312" s="58">
        <v>111.0643420697548</v>
      </c>
      <c r="E1312" s="58">
        <v>6258890.9009465193</v>
      </c>
      <c r="F1312" s="58" t="s">
        <v>1259</v>
      </c>
      <c r="G1312" s="25">
        <f t="shared" si="20"/>
        <v>-1.3333333333332975E-3</v>
      </c>
    </row>
    <row r="1313" spans="1:7">
      <c r="A1313" s="58">
        <v>110.83295802377614</v>
      </c>
      <c r="B1313" s="58">
        <v>113.36892716770221</v>
      </c>
      <c r="C1313" s="58">
        <v>110.48949154592543</v>
      </c>
      <c r="D1313" s="58">
        <v>112.45264634562673</v>
      </c>
      <c r="E1313" s="58">
        <v>5461064.7188551705</v>
      </c>
      <c r="F1313" s="58" t="s">
        <v>1260</v>
      </c>
      <c r="G1313" s="25">
        <f t="shared" si="20"/>
        <v>-1.4403292181069949E-2</v>
      </c>
    </row>
    <row r="1314" spans="1:7">
      <c r="A1314" s="58">
        <v>113.12828775988442</v>
      </c>
      <c r="B1314" s="58">
        <v>113.60031121368087</v>
      </c>
      <c r="C1314" s="58">
        <v>111.10599119803096</v>
      </c>
      <c r="D1314" s="58">
        <v>111.98987825366942</v>
      </c>
      <c r="E1314" s="58">
        <v>5197098.8099625837</v>
      </c>
      <c r="F1314" s="58" t="s">
        <v>1261</v>
      </c>
      <c r="G1314" s="25">
        <f t="shared" si="20"/>
        <v>1.0165289256198529E-2</v>
      </c>
    </row>
    <row r="1315" spans="1:7">
      <c r="A1315" s="58">
        <v>112.98020197045807</v>
      </c>
      <c r="B1315" s="58">
        <v>113.19307529275844</v>
      </c>
      <c r="C1315" s="58">
        <v>110.07864603388573</v>
      </c>
      <c r="D1315" s="58">
        <v>110.39795601733627</v>
      </c>
      <c r="E1315" s="58">
        <v>5247876.9435642576</v>
      </c>
      <c r="F1315" s="58" t="s">
        <v>1262</v>
      </c>
      <c r="G1315" s="25">
        <f t="shared" si="20"/>
        <v>2.3390342052313828E-2</v>
      </c>
    </row>
    <row r="1316" spans="1:7">
      <c r="A1316" s="58">
        <v>110.1850826950359</v>
      </c>
      <c r="B1316" s="58">
        <v>110.60249951398141</v>
      </c>
      <c r="C1316" s="58">
        <v>108.50986220215043</v>
      </c>
      <c r="D1316" s="58">
        <v>109.88891111618324</v>
      </c>
      <c r="E1316" s="58">
        <v>5748085.371982337</v>
      </c>
      <c r="F1316" s="58" t="s">
        <v>1263</v>
      </c>
      <c r="G1316" s="25">
        <f t="shared" si="20"/>
        <v>2.6951907689714005E-3</v>
      </c>
    </row>
    <row r="1317" spans="1:7">
      <c r="A1317" s="58">
        <v>109.23178042560384</v>
      </c>
      <c r="B1317" s="58">
        <v>111.48083335251638</v>
      </c>
      <c r="C1317" s="58">
        <v>109.16699289272982</v>
      </c>
      <c r="D1317" s="58">
        <v>111.0643420697548</v>
      </c>
      <c r="E1317" s="58">
        <v>7046083.2470290232</v>
      </c>
      <c r="F1317" s="58" t="s">
        <v>1264</v>
      </c>
      <c r="G1317" s="25">
        <f t="shared" si="20"/>
        <v>-1.650000000000007E-2</v>
      </c>
    </row>
    <row r="1318" spans="1:7">
      <c r="A1318" s="58">
        <v>111.51785479987296</v>
      </c>
      <c r="B1318" s="58">
        <v>113.05424486517124</v>
      </c>
      <c r="C1318" s="58">
        <v>110.9440223658459</v>
      </c>
      <c r="D1318" s="58">
        <v>112.70254111528368</v>
      </c>
      <c r="E1318" s="58">
        <v>4093394.797355087</v>
      </c>
      <c r="F1318" s="58" t="s">
        <v>1265</v>
      </c>
      <c r="G1318" s="25">
        <f t="shared" si="20"/>
        <v>-1.0511620267717792E-2</v>
      </c>
    </row>
    <row r="1319" spans="1:7">
      <c r="A1319" s="58">
        <v>112.42488026010929</v>
      </c>
      <c r="B1319" s="58">
        <v>113.11903239804526</v>
      </c>
      <c r="C1319" s="58">
        <v>111.07359743159395</v>
      </c>
      <c r="D1319" s="58">
        <v>111.30498147757261</v>
      </c>
      <c r="E1319" s="58">
        <v>5589359.0006603142</v>
      </c>
      <c r="F1319" s="58" t="s">
        <v>1266</v>
      </c>
      <c r="G1319" s="25">
        <f t="shared" si="20"/>
        <v>1.0061533344420281E-2</v>
      </c>
    </row>
    <row r="1320" spans="1:7">
      <c r="A1320" s="58">
        <v>111.29572611573346</v>
      </c>
      <c r="B1320" s="58">
        <v>111.98062289183028</v>
      </c>
      <c r="C1320" s="58">
        <v>108.81528914284226</v>
      </c>
      <c r="D1320" s="58">
        <v>109.5649734518131</v>
      </c>
      <c r="E1320" s="58">
        <v>12182308.153864771</v>
      </c>
      <c r="F1320" s="58" t="s">
        <v>1267</v>
      </c>
      <c r="G1320" s="25">
        <f t="shared" si="20"/>
        <v>1.5796587261361905E-2</v>
      </c>
    </row>
    <row r="1321" spans="1:7">
      <c r="A1321" s="58">
        <v>109.31507868215616</v>
      </c>
      <c r="B1321" s="58">
        <v>110.27763631342738</v>
      </c>
      <c r="C1321" s="58">
        <v>108.57464973502447</v>
      </c>
      <c r="D1321" s="58">
        <v>108.75050160996824</v>
      </c>
      <c r="E1321" s="58">
        <v>4595193.6552189104</v>
      </c>
      <c r="F1321" s="58" t="s">
        <v>1268</v>
      </c>
      <c r="G1321" s="25">
        <f t="shared" si="20"/>
        <v>5.1914893617019953E-3</v>
      </c>
    </row>
    <row r="1322" spans="1:7">
      <c r="A1322" s="58">
        <v>108.86156595203801</v>
      </c>
      <c r="B1322" s="58">
        <v>109.41688766238677</v>
      </c>
      <c r="C1322" s="58">
        <v>108.2090629423782</v>
      </c>
      <c r="D1322" s="58">
        <v>108.90784276123372</v>
      </c>
      <c r="E1322" s="58">
        <v>4102754.7771706348</v>
      </c>
      <c r="F1322" s="58" t="s">
        <v>1269</v>
      </c>
      <c r="G1322" s="25">
        <f t="shared" si="20"/>
        <v>-4.249171411573327E-4</v>
      </c>
    </row>
    <row r="1323" spans="1:7">
      <c r="A1323" s="58">
        <v>109.41688766238677</v>
      </c>
      <c r="B1323" s="58">
        <v>110.5460418067626</v>
      </c>
      <c r="C1323" s="58">
        <v>108.77826769548568</v>
      </c>
      <c r="D1323" s="58">
        <v>109.62976098468714</v>
      </c>
      <c r="E1323" s="58">
        <v>4181906.7339208829</v>
      </c>
      <c r="F1323" s="58" t="s">
        <v>1270</v>
      </c>
      <c r="G1323" s="25">
        <f t="shared" si="20"/>
        <v>-1.9417475728156219E-3</v>
      </c>
    </row>
    <row r="1324" spans="1:7">
      <c r="A1324" s="58">
        <v>109.30582332031702</v>
      </c>
      <c r="B1324" s="58">
        <v>109.41688766238677</v>
      </c>
      <c r="C1324" s="58">
        <v>107.8619868734102</v>
      </c>
      <c r="D1324" s="58">
        <v>108.46358539295471</v>
      </c>
      <c r="E1324" s="58">
        <v>5026415.0455182409</v>
      </c>
      <c r="F1324" s="58" t="s">
        <v>1271</v>
      </c>
      <c r="G1324" s="25">
        <f t="shared" si="20"/>
        <v>7.7651676764229904E-3</v>
      </c>
    </row>
    <row r="1325" spans="1:7">
      <c r="A1325" s="58">
        <v>108.01932802467569</v>
      </c>
      <c r="B1325" s="58">
        <v>108.53762828766787</v>
      </c>
      <c r="C1325" s="58">
        <v>107.47326167616606</v>
      </c>
      <c r="D1325" s="58">
        <v>108.37103177456325</v>
      </c>
      <c r="E1325" s="58">
        <v>4012845.8125658794</v>
      </c>
      <c r="F1325" s="58" t="s">
        <v>1272</v>
      </c>
      <c r="G1325" s="25">
        <f t="shared" si="20"/>
        <v>-3.2453668118541668E-3</v>
      </c>
    </row>
    <row r="1326" spans="1:7">
      <c r="A1326" s="58">
        <v>108.76901233364653</v>
      </c>
      <c r="B1326" s="58">
        <v>109.08832231709708</v>
      </c>
      <c r="C1326" s="58">
        <v>107.21411154466998</v>
      </c>
      <c r="D1326" s="58">
        <v>108.0008173009974</v>
      </c>
      <c r="E1326" s="58">
        <v>5311202.3986016875</v>
      </c>
      <c r="F1326" s="58" t="s">
        <v>1273</v>
      </c>
      <c r="G1326" s="25">
        <f t="shared" si="20"/>
        <v>7.1128631416572663E-3</v>
      </c>
    </row>
    <row r="1327" spans="1:7">
      <c r="A1327" s="58">
        <v>107.25113299202654</v>
      </c>
      <c r="B1327" s="58">
        <v>110.32391312262311</v>
      </c>
      <c r="C1327" s="58">
        <v>106.73283272903436</v>
      </c>
      <c r="D1327" s="58">
        <v>108.50986220215043</v>
      </c>
      <c r="E1327" s="58">
        <v>8255162.9345101845</v>
      </c>
      <c r="F1327" s="58" t="s">
        <v>1274</v>
      </c>
      <c r="G1327" s="25">
        <f t="shared" si="20"/>
        <v>-1.1600136472193823E-2</v>
      </c>
    </row>
    <row r="1328" spans="1:7">
      <c r="A1328" s="58">
        <v>108.01007266283655</v>
      </c>
      <c r="B1328" s="58">
        <v>110.45348818837115</v>
      </c>
      <c r="C1328" s="58">
        <v>107.81571006421447</v>
      </c>
      <c r="D1328" s="58">
        <v>108.04709411019313</v>
      </c>
      <c r="E1328" s="58">
        <v>5592552.8250092417</v>
      </c>
      <c r="F1328" s="58" t="s">
        <v>1275</v>
      </c>
      <c r="G1328" s="25">
        <f t="shared" si="20"/>
        <v>-3.4264176803144863E-4</v>
      </c>
    </row>
    <row r="1329" spans="1:7">
      <c r="A1329" s="58">
        <v>107.0197489460479</v>
      </c>
      <c r="B1329" s="58">
        <v>109.47241983342165</v>
      </c>
      <c r="C1329" s="58">
        <v>106.95496141317388</v>
      </c>
      <c r="D1329" s="58">
        <v>108.28773351801092</v>
      </c>
      <c r="E1329" s="58">
        <v>4247879.3031852655</v>
      </c>
      <c r="F1329" s="58" t="s">
        <v>1276</v>
      </c>
      <c r="G1329" s="25">
        <f t="shared" si="20"/>
        <v>-1.1709401709401601E-2</v>
      </c>
    </row>
    <row r="1330" spans="1:7">
      <c r="A1330" s="58">
        <v>108.51911756398958</v>
      </c>
      <c r="B1330" s="58">
        <v>108.82454450468141</v>
      </c>
      <c r="C1330" s="58">
        <v>106.25155391339875</v>
      </c>
      <c r="D1330" s="58">
        <v>108.28773351801092</v>
      </c>
      <c r="E1330" s="58">
        <v>5250497.0464215474</v>
      </c>
      <c r="F1330" s="58" t="s">
        <v>1277</v>
      </c>
      <c r="G1330" s="25">
        <f t="shared" si="20"/>
        <v>2.1367521367521292E-3</v>
      </c>
    </row>
    <row r="1331" spans="1:7">
      <c r="A1331" s="58">
        <v>107.37145269593546</v>
      </c>
      <c r="B1331" s="58">
        <v>110.88849019481103</v>
      </c>
      <c r="C1331" s="58">
        <v>106.19602174236388</v>
      </c>
      <c r="D1331" s="58">
        <v>110.13880588584017</v>
      </c>
      <c r="E1331" s="58">
        <v>7238647.3013550071</v>
      </c>
      <c r="F1331" s="58" t="s">
        <v>1278</v>
      </c>
      <c r="G1331" s="25">
        <f t="shared" si="20"/>
        <v>-2.5126050420167911E-2</v>
      </c>
    </row>
    <row r="1332" spans="1:7">
      <c r="A1332" s="58">
        <v>110.30540239894482</v>
      </c>
      <c r="B1332" s="58">
        <v>112.81360545735343</v>
      </c>
      <c r="C1332" s="58">
        <v>110.19433805687505</v>
      </c>
      <c r="D1332" s="58">
        <v>112.62849822057051</v>
      </c>
      <c r="E1332" s="58">
        <v>5661136.8534926223</v>
      </c>
      <c r="F1332" s="58" t="s">
        <v>1279</v>
      </c>
      <c r="G1332" s="25">
        <f t="shared" si="20"/>
        <v>-2.0626181280302247E-2</v>
      </c>
    </row>
    <row r="1333" spans="1:7">
      <c r="A1333" s="58">
        <v>113.4059486150588</v>
      </c>
      <c r="B1333" s="58">
        <v>113.93350423989013</v>
      </c>
      <c r="C1333" s="58">
        <v>112.16573012861321</v>
      </c>
      <c r="D1333" s="58">
        <v>113.10977703620611</v>
      </c>
      <c r="E1333" s="58">
        <v>5303104.3899767846</v>
      </c>
      <c r="F1333" s="58" t="s">
        <v>1280</v>
      </c>
      <c r="G1333" s="25">
        <f t="shared" si="20"/>
        <v>2.6184436625482643E-3</v>
      </c>
    </row>
    <row r="1334" spans="1:7">
      <c r="A1334" s="58">
        <v>113.10977703620611</v>
      </c>
      <c r="B1334" s="58">
        <v>113.79467381230295</v>
      </c>
      <c r="C1334" s="58">
        <v>111.62891914194272</v>
      </c>
      <c r="D1334" s="58">
        <v>111.98062289183028</v>
      </c>
      <c r="E1334" s="58">
        <v>4169685.7098306529</v>
      </c>
      <c r="F1334" s="58" t="s">
        <v>1281</v>
      </c>
      <c r="G1334" s="25">
        <f t="shared" si="20"/>
        <v>1.0083477973386046E-2</v>
      </c>
    </row>
    <row r="1335" spans="1:7">
      <c r="A1335" s="58">
        <v>110.86072410929359</v>
      </c>
      <c r="B1335" s="58">
        <v>113.24860746379331</v>
      </c>
      <c r="C1335" s="58">
        <v>110.74965976722382</v>
      </c>
      <c r="D1335" s="58">
        <v>113.09126631252782</v>
      </c>
      <c r="E1335" s="58">
        <v>5615859.3152090786</v>
      </c>
      <c r="F1335" s="58" t="s">
        <v>1282</v>
      </c>
      <c r="G1335" s="25">
        <f t="shared" si="20"/>
        <v>-1.9723381618790392E-2</v>
      </c>
    </row>
    <row r="1336" spans="1:7">
      <c r="A1336" s="58">
        <v>112.52668924033991</v>
      </c>
      <c r="B1336" s="58">
        <v>113.61882193735917</v>
      </c>
      <c r="C1336" s="58">
        <v>111.78116984419668</v>
      </c>
      <c r="D1336" s="58">
        <v>112.60073213505306</v>
      </c>
      <c r="E1336" s="58">
        <v>3747959.3561951849</v>
      </c>
      <c r="F1336" s="58" t="s">
        <v>1283</v>
      </c>
      <c r="G1336" s="25">
        <f t="shared" si="20"/>
        <v>-6.5757027782331612E-4</v>
      </c>
    </row>
    <row r="1337" spans="1:7">
      <c r="A1337" s="58">
        <v>113.2671181874716</v>
      </c>
      <c r="B1337" s="58">
        <v>113.75765236494635</v>
      </c>
      <c r="C1337" s="58">
        <v>111.67519595113845</v>
      </c>
      <c r="D1337" s="58">
        <v>111.80477101688649</v>
      </c>
      <c r="E1337" s="58">
        <v>4459603.0622404562</v>
      </c>
      <c r="F1337" s="58" t="s">
        <v>1284</v>
      </c>
      <c r="G1337" s="25">
        <f t="shared" si="20"/>
        <v>1.3079470198675391E-2</v>
      </c>
    </row>
    <row r="1338" spans="1:7">
      <c r="A1338" s="58">
        <v>111.80477101688649</v>
      </c>
      <c r="B1338" s="58">
        <v>114.00754713460331</v>
      </c>
      <c r="C1338" s="58">
        <v>111.25870466837686</v>
      </c>
      <c r="D1338" s="58">
        <v>113.1467984835627</v>
      </c>
      <c r="E1338" s="58">
        <v>6013880.4908284871</v>
      </c>
      <c r="F1338" s="58" t="s">
        <v>1285</v>
      </c>
      <c r="G1338" s="25">
        <f t="shared" si="20"/>
        <v>-1.186094069529664E-2</v>
      </c>
    </row>
    <row r="1339" spans="1:7">
      <c r="A1339" s="58">
        <v>113.42445933873708</v>
      </c>
      <c r="B1339" s="58">
        <v>113.79467381230295</v>
      </c>
      <c r="C1339" s="58">
        <v>111.55487624722956</v>
      </c>
      <c r="D1339" s="58">
        <v>113.79467381230295</v>
      </c>
      <c r="E1339" s="58">
        <v>5231767.3626973731</v>
      </c>
      <c r="F1339" s="58" t="s">
        <v>1286</v>
      </c>
      <c r="G1339" s="25">
        <f t="shared" si="20"/>
        <v>-3.2533550223670105E-3</v>
      </c>
    </row>
    <row r="1340" spans="1:7">
      <c r="A1340" s="58">
        <v>113.87797206885526</v>
      </c>
      <c r="B1340" s="58">
        <v>116.05298210105462</v>
      </c>
      <c r="C1340" s="58">
        <v>113.53552368080685</v>
      </c>
      <c r="D1340" s="58">
        <v>115.92340703530657</v>
      </c>
      <c r="E1340" s="58">
        <v>6703364.0692024101</v>
      </c>
      <c r="F1340" s="58" t="s">
        <v>1287</v>
      </c>
      <c r="G1340" s="25">
        <f t="shared" si="20"/>
        <v>-1.7644710578842204E-2</v>
      </c>
    </row>
    <row r="1341" spans="1:7">
      <c r="A1341" s="58">
        <v>116.07149282473291</v>
      </c>
      <c r="B1341" s="58">
        <v>117.22841305462619</v>
      </c>
      <c r="C1341" s="58">
        <v>114.83127433828732</v>
      </c>
      <c r="D1341" s="58">
        <v>116.12702499576778</v>
      </c>
      <c r="E1341" s="58">
        <v>5872284.7301466027</v>
      </c>
      <c r="F1341" s="58" t="s">
        <v>1288</v>
      </c>
      <c r="G1341" s="25">
        <f t="shared" si="20"/>
        <v>-4.7820196062797748E-4</v>
      </c>
    </row>
    <row r="1342" spans="1:7">
      <c r="A1342" s="58">
        <v>117.76522404129666</v>
      </c>
      <c r="B1342" s="58">
        <v>118.46863154107179</v>
      </c>
      <c r="C1342" s="58">
        <v>116.97851828496924</v>
      </c>
      <c r="D1342" s="58">
        <v>117.88554374520558</v>
      </c>
      <c r="E1342" s="58">
        <v>3416444.4945046953</v>
      </c>
      <c r="F1342" s="58" t="s">
        <v>1289</v>
      </c>
      <c r="G1342" s="25">
        <f t="shared" si="20"/>
        <v>-1.0206485043575686E-3</v>
      </c>
    </row>
    <row r="1343" spans="1:7">
      <c r="A1343" s="58">
        <v>118.48714226475009</v>
      </c>
      <c r="B1343" s="58">
        <v>118.9313996330291</v>
      </c>
      <c r="C1343" s="58">
        <v>117.40426492956996</v>
      </c>
      <c r="D1343" s="58">
        <v>118.92214427118996</v>
      </c>
      <c r="E1343" s="58">
        <v>5590309.8008724442</v>
      </c>
      <c r="F1343" s="58" t="s">
        <v>1290</v>
      </c>
      <c r="G1343" s="25">
        <f t="shared" si="20"/>
        <v>-3.6578722079538828E-3</v>
      </c>
    </row>
    <row r="1344" spans="1:7">
      <c r="A1344" s="58">
        <v>118.68150486337214</v>
      </c>
      <c r="B1344" s="58">
        <v>118.96842108038568</v>
      </c>
      <c r="C1344" s="58">
        <v>116.8489432192212</v>
      </c>
      <c r="D1344" s="58">
        <v>116.99702900864753</v>
      </c>
      <c r="E1344" s="58">
        <v>3953201.4669860937</v>
      </c>
      <c r="F1344" s="58" t="s">
        <v>1291</v>
      </c>
      <c r="G1344" s="25">
        <f t="shared" si="20"/>
        <v>1.4397595126967699E-2</v>
      </c>
    </row>
    <row r="1345" spans="1:7">
      <c r="A1345" s="58">
        <v>117.39500956773082</v>
      </c>
      <c r="B1345" s="58">
        <v>117.42277565324827</v>
      </c>
      <c r="C1345" s="58">
        <v>115.87713022611085</v>
      </c>
      <c r="D1345" s="58">
        <v>116.330642956229</v>
      </c>
      <c r="E1345" s="58">
        <v>3994898.3781071394</v>
      </c>
      <c r="F1345" s="58" t="s">
        <v>1292</v>
      </c>
      <c r="G1345" s="25">
        <f t="shared" si="20"/>
        <v>9.1494947887660327E-3</v>
      </c>
    </row>
    <row r="1346" spans="1:7">
      <c r="A1346" s="58">
        <v>115.96042848266316</v>
      </c>
      <c r="B1346" s="58">
        <v>116.80266641002547</v>
      </c>
      <c r="C1346" s="58">
        <v>115.46989430518842</v>
      </c>
      <c r="D1346" s="58">
        <v>116.42319657462048</v>
      </c>
      <c r="E1346" s="58">
        <v>4533268.4695847994</v>
      </c>
      <c r="F1346" s="58" t="s">
        <v>1293</v>
      </c>
      <c r="G1346" s="25">
        <f t="shared" si="20"/>
        <v>-3.9748787661976204E-3</v>
      </c>
    </row>
    <row r="1347" spans="1:7">
      <c r="A1347" s="58">
        <v>115.83085341691512</v>
      </c>
      <c r="B1347" s="58">
        <v>115.95117312082401</v>
      </c>
      <c r="C1347" s="58">
        <v>114.41006282098778</v>
      </c>
      <c r="D1347" s="58">
        <v>115.53468183806243</v>
      </c>
      <c r="E1347" s="58">
        <v>3700043.3473229799</v>
      </c>
      <c r="F1347" s="58" t="s">
        <v>1294</v>
      </c>
      <c r="G1347" s="25">
        <f t="shared" ref="G1347:G1410" si="21">A1347/D1347-1</f>
        <v>2.563486341424559E-3</v>
      </c>
    </row>
    <row r="1348" spans="1:7">
      <c r="A1348" s="58">
        <v>115.22925489737061</v>
      </c>
      <c r="B1348" s="58">
        <v>116.43245193645961</v>
      </c>
      <c r="C1348" s="58">
        <v>114.55361348311293</v>
      </c>
      <c r="D1348" s="58">
        <v>115.69202298932791</v>
      </c>
      <c r="E1348" s="58">
        <v>3734141.4199304916</v>
      </c>
      <c r="F1348" s="58" t="s">
        <v>1295</v>
      </c>
      <c r="G1348" s="25">
        <f t="shared" si="21"/>
        <v>-3.9999999999998925E-3</v>
      </c>
    </row>
    <row r="1349" spans="1:7">
      <c r="A1349" s="58">
        <v>114.79425289093074</v>
      </c>
      <c r="B1349" s="58">
        <v>115.06265838426597</v>
      </c>
      <c r="C1349" s="58">
        <v>111.10136351711139</v>
      </c>
      <c r="D1349" s="58">
        <v>111.46232262883809</v>
      </c>
      <c r="E1349" s="58">
        <v>6270523.0771781001</v>
      </c>
      <c r="F1349" s="58" t="s">
        <v>1296</v>
      </c>
      <c r="G1349" s="25">
        <f t="shared" si="21"/>
        <v>2.9892883832931982E-2</v>
      </c>
    </row>
    <row r="1350" spans="1:7">
      <c r="A1350" s="58">
        <v>110.82370266193699</v>
      </c>
      <c r="B1350" s="58">
        <v>111.86493086884094</v>
      </c>
      <c r="C1350" s="58">
        <v>109.94444328721811</v>
      </c>
      <c r="D1350" s="58">
        <v>110.90700091848932</v>
      </c>
      <c r="E1350" s="58">
        <v>4730211.6071605142</v>
      </c>
      <c r="F1350" s="58" t="s">
        <v>1297</v>
      </c>
      <c r="G1350" s="25">
        <f t="shared" si="21"/>
        <v>-7.5106400734381573E-4</v>
      </c>
    </row>
    <row r="1351" spans="1:7">
      <c r="A1351" s="58">
        <v>111.26796003021602</v>
      </c>
      <c r="B1351" s="58">
        <v>111.88806927343882</v>
      </c>
      <c r="C1351" s="58">
        <v>110.04625226744872</v>
      </c>
      <c r="D1351" s="58">
        <v>110.82370266193699</v>
      </c>
      <c r="E1351" s="58">
        <v>5393663.7883630199</v>
      </c>
      <c r="F1351" s="58" t="s">
        <v>1298</v>
      </c>
      <c r="G1351" s="25">
        <f t="shared" si="21"/>
        <v>4.0086854852179332E-3</v>
      </c>
    </row>
    <row r="1352" spans="1:7">
      <c r="A1352" s="58">
        <v>111.28647075389431</v>
      </c>
      <c r="B1352" s="58">
        <v>114.50733667391719</v>
      </c>
      <c r="C1352" s="58">
        <v>111.27721539205517</v>
      </c>
      <c r="D1352" s="58">
        <v>114.21116509506453</v>
      </c>
      <c r="E1352" s="58">
        <v>7862426.2632516026</v>
      </c>
      <c r="F1352" s="58" t="s">
        <v>1299</v>
      </c>
      <c r="G1352" s="25">
        <f t="shared" si="21"/>
        <v>-2.5607779578606271E-2</v>
      </c>
    </row>
    <row r="1353" spans="1:7">
      <c r="A1353" s="58">
        <v>113.41520397689794</v>
      </c>
      <c r="B1353" s="58">
        <v>115.52542647622327</v>
      </c>
      <c r="C1353" s="58">
        <v>113.37818252954136</v>
      </c>
      <c r="D1353" s="58">
        <v>114.06307930563817</v>
      </c>
      <c r="E1353" s="58">
        <v>9007893.094722122</v>
      </c>
      <c r="F1353" s="58" t="s">
        <v>1300</v>
      </c>
      <c r="G1353" s="25">
        <f t="shared" si="21"/>
        <v>-5.6799740344043448E-3</v>
      </c>
    </row>
    <row r="1354" spans="1:7">
      <c r="A1354" s="58">
        <v>114.3870169700083</v>
      </c>
      <c r="B1354" s="58">
        <v>115.43287285783182</v>
      </c>
      <c r="C1354" s="58">
        <v>110.79593657641955</v>
      </c>
      <c r="D1354" s="58">
        <v>111.29572611573346</v>
      </c>
      <c r="E1354" s="58">
        <v>11879973.134593593</v>
      </c>
      <c r="F1354" s="58" t="s">
        <v>1301</v>
      </c>
      <c r="G1354" s="25">
        <f t="shared" si="21"/>
        <v>2.7775467775467799E-2</v>
      </c>
    </row>
    <row r="1355" spans="1:7">
      <c r="A1355" s="58">
        <v>111.4253011814815</v>
      </c>
      <c r="B1355" s="58">
        <v>114.83127433828732</v>
      </c>
      <c r="C1355" s="58">
        <v>108.42193626467855</v>
      </c>
      <c r="D1355" s="58">
        <v>109.12997144537323</v>
      </c>
      <c r="E1355" s="58">
        <v>12205118.715317598</v>
      </c>
      <c r="F1355" s="58" t="s">
        <v>1302</v>
      </c>
      <c r="G1355" s="25">
        <f t="shared" si="21"/>
        <v>2.1032991264523737E-2</v>
      </c>
    </row>
    <row r="1356" spans="1:7">
      <c r="A1356" s="58">
        <v>105.77953045960231</v>
      </c>
      <c r="B1356" s="58">
        <v>109.00965174146434</v>
      </c>
      <c r="C1356" s="58">
        <v>105.04835687430975</v>
      </c>
      <c r="D1356" s="58">
        <v>106.6217683869646</v>
      </c>
      <c r="E1356" s="58">
        <v>9837440.3488906585</v>
      </c>
      <c r="F1356" s="58" t="s">
        <v>1303</v>
      </c>
      <c r="G1356" s="25">
        <f t="shared" si="21"/>
        <v>-7.8993055555554026E-3</v>
      </c>
    </row>
    <row r="1357" spans="1:7">
      <c r="A1357" s="58">
        <v>106.18676638052474</v>
      </c>
      <c r="B1357" s="58">
        <v>106.54763293863304</v>
      </c>
      <c r="C1357" s="58">
        <v>105.32027940514386</v>
      </c>
      <c r="D1357" s="58">
        <v>105.74250901224572</v>
      </c>
      <c r="E1357" s="58">
        <v>4475646.7353653628</v>
      </c>
      <c r="F1357" s="58" t="s">
        <v>1304</v>
      </c>
      <c r="G1357" s="25">
        <f t="shared" si="21"/>
        <v>4.2013129102844715E-3</v>
      </c>
    </row>
    <row r="1358" spans="1:7">
      <c r="A1358" s="58">
        <v>106.17751101868559</v>
      </c>
      <c r="B1358" s="58">
        <v>106.80687562374754</v>
      </c>
      <c r="C1358" s="58">
        <v>104.59484414419158</v>
      </c>
      <c r="D1358" s="58">
        <v>104.64112095338731</v>
      </c>
      <c r="E1358" s="58">
        <v>5066529.0903770467</v>
      </c>
      <c r="F1358" s="58" t="s">
        <v>1305</v>
      </c>
      <c r="G1358" s="25">
        <f t="shared" si="21"/>
        <v>1.4682469485229221E-2</v>
      </c>
    </row>
    <row r="1359" spans="1:7">
      <c r="A1359" s="58">
        <v>104.4375029929261</v>
      </c>
      <c r="B1359" s="58">
        <v>105.0576122361489</v>
      </c>
      <c r="C1359" s="58">
        <v>103.41941319062001</v>
      </c>
      <c r="D1359" s="58">
        <v>104.58558878235243</v>
      </c>
      <c r="E1359" s="58">
        <v>4498911.0878285253</v>
      </c>
      <c r="F1359" s="58" t="s">
        <v>1306</v>
      </c>
      <c r="G1359" s="25">
        <f t="shared" si="21"/>
        <v>-1.4159292035397231E-3</v>
      </c>
    </row>
    <row r="1360" spans="1:7">
      <c r="A1360" s="58">
        <v>104.53931197315671</v>
      </c>
      <c r="B1360" s="58">
        <v>105.08537832166634</v>
      </c>
      <c r="C1360" s="58">
        <v>102.04961963842638</v>
      </c>
      <c r="D1360" s="58">
        <v>103.89143664441647</v>
      </c>
      <c r="E1360" s="58">
        <v>5432600.1375045292</v>
      </c>
      <c r="F1360" s="58" t="s">
        <v>1307</v>
      </c>
      <c r="G1360" s="25">
        <f t="shared" si="21"/>
        <v>6.2360801781737862E-3</v>
      </c>
    </row>
    <row r="1361" spans="1:7">
      <c r="A1361" s="58">
        <v>104.48377980212183</v>
      </c>
      <c r="B1361" s="58">
        <v>105.07612295982719</v>
      </c>
      <c r="C1361" s="58">
        <v>103.66005259843782</v>
      </c>
      <c r="D1361" s="58">
        <v>104.26165111798232</v>
      </c>
      <c r="E1361" s="58">
        <v>3189853.6775871087</v>
      </c>
      <c r="F1361" s="58" t="s">
        <v>1308</v>
      </c>
      <c r="G1361" s="25">
        <f t="shared" si="21"/>
        <v>2.1304926764313947E-3</v>
      </c>
    </row>
    <row r="1362" spans="1:7">
      <c r="A1362" s="58">
        <v>104.18760822326914</v>
      </c>
      <c r="B1362" s="58">
        <v>104.70590848626134</v>
      </c>
      <c r="C1362" s="58">
        <v>102.29025904624417</v>
      </c>
      <c r="D1362" s="58">
        <v>103.41941319062001</v>
      </c>
      <c r="E1362" s="58">
        <v>7369056.0331773534</v>
      </c>
      <c r="F1362" s="58" t="s">
        <v>1309</v>
      </c>
      <c r="G1362" s="25">
        <f t="shared" si="21"/>
        <v>7.4279577590834478E-3</v>
      </c>
    </row>
    <row r="1363" spans="1:7">
      <c r="A1363" s="58">
        <v>103.01217726969757</v>
      </c>
      <c r="B1363" s="58">
        <v>103.30834884855027</v>
      </c>
      <c r="C1363" s="58">
        <v>101.24440315842065</v>
      </c>
      <c r="D1363" s="58">
        <v>101.80898023060857</v>
      </c>
      <c r="E1363" s="58">
        <v>4840624.3622488957</v>
      </c>
      <c r="F1363" s="58" t="s">
        <v>1310</v>
      </c>
      <c r="G1363" s="25">
        <f t="shared" si="21"/>
        <v>1.1818181818181728E-2</v>
      </c>
    </row>
    <row r="1364" spans="1:7">
      <c r="A1364" s="58">
        <v>101.84600167796516</v>
      </c>
      <c r="B1364" s="58">
        <v>103.34537029590683</v>
      </c>
      <c r="C1364" s="58">
        <v>101.57759618462991</v>
      </c>
      <c r="D1364" s="58">
        <v>102.92887901314525</v>
      </c>
      <c r="E1364" s="58">
        <v>4744654.0462918114</v>
      </c>
      <c r="F1364" s="58" t="s">
        <v>1311</v>
      </c>
      <c r="G1364" s="25">
        <f t="shared" si="21"/>
        <v>-1.0520636633396085E-2</v>
      </c>
    </row>
    <row r="1365" spans="1:7">
      <c r="A1365" s="58">
        <v>103.3823917432634</v>
      </c>
      <c r="B1365" s="58">
        <v>104.07375860735121</v>
      </c>
      <c r="C1365" s="58">
        <v>99.787284050006804</v>
      </c>
      <c r="D1365" s="58">
        <v>100.56161493778515</v>
      </c>
      <c r="E1365" s="58">
        <v>6559946.2970848875</v>
      </c>
      <c r="F1365" s="58" t="s">
        <v>1312</v>
      </c>
      <c r="G1365" s="25">
        <f t="shared" si="21"/>
        <v>2.8050233751947928E-2</v>
      </c>
    </row>
    <row r="1366" spans="1:7">
      <c r="A1366" s="58">
        <v>100.33115931642254</v>
      </c>
      <c r="B1366" s="58">
        <v>102.06418558906931</v>
      </c>
      <c r="C1366" s="58">
        <v>99.87024807369734</v>
      </c>
      <c r="D1366" s="58">
        <v>101.87982109197922</v>
      </c>
      <c r="E1366" s="58">
        <v>6267352.0023512188</v>
      </c>
      <c r="F1366" s="58" t="s">
        <v>1313</v>
      </c>
      <c r="G1366" s="25">
        <f t="shared" si="21"/>
        <v>-1.5200868621063957E-2</v>
      </c>
    </row>
    <row r="1367" spans="1:7">
      <c r="A1367" s="58">
        <v>102.17480428732337</v>
      </c>
      <c r="B1367" s="58">
        <v>103.22568192073683</v>
      </c>
      <c r="C1367" s="58">
        <v>101.6098192859908</v>
      </c>
      <c r="D1367" s="58">
        <v>102.51587860694001</v>
      </c>
      <c r="E1367" s="58">
        <v>3447232.0323661175</v>
      </c>
      <c r="F1367" s="58" t="s">
        <v>1314</v>
      </c>
      <c r="G1367" s="25">
        <f t="shared" si="21"/>
        <v>-3.3270389353473595E-3</v>
      </c>
    </row>
    <row r="1368" spans="1:7">
      <c r="A1368" s="58">
        <v>102.88460760112018</v>
      </c>
      <c r="B1368" s="58">
        <v>103.75112073744356</v>
      </c>
      <c r="C1368" s="58">
        <v>101.71158848838454</v>
      </c>
      <c r="D1368" s="58">
        <v>102.93991695024719</v>
      </c>
      <c r="E1368" s="58">
        <v>4601927.2332321657</v>
      </c>
      <c r="F1368" s="58" t="s">
        <v>1315</v>
      </c>
      <c r="G1368" s="25">
        <f t="shared" si="21"/>
        <v>-5.3729739410757205E-4</v>
      </c>
    </row>
    <row r="1369" spans="1:7">
      <c r="A1369" s="58">
        <v>102.59884263063054</v>
      </c>
      <c r="B1369" s="58">
        <v>102.89382582597469</v>
      </c>
      <c r="C1369" s="58">
        <v>100.70910653545721</v>
      </c>
      <c r="D1369" s="58">
        <v>101.65858369547114</v>
      </c>
      <c r="E1369" s="58">
        <v>6041184.8136672368</v>
      </c>
      <c r="F1369" s="58" t="s">
        <v>1316</v>
      </c>
      <c r="G1369" s="25">
        <f t="shared" si="21"/>
        <v>9.2491838955384154E-3</v>
      </c>
    </row>
    <row r="1370" spans="1:7">
      <c r="A1370" s="58">
        <v>101.61249257119862</v>
      </c>
      <c r="B1370" s="58">
        <v>102.34995055955893</v>
      </c>
      <c r="C1370" s="58">
        <v>100.10070369505995</v>
      </c>
      <c r="D1370" s="58">
        <v>100.43255978982209</v>
      </c>
      <c r="E1370" s="58">
        <v>6009412.9698879113</v>
      </c>
      <c r="F1370" s="58" t="s">
        <v>1317</v>
      </c>
      <c r="G1370" s="25">
        <f t="shared" si="21"/>
        <v>1.1748508490132981E-2</v>
      </c>
    </row>
    <row r="1371" spans="1:7">
      <c r="A1371" s="58">
        <v>101.8245117428522</v>
      </c>
      <c r="B1371" s="58">
        <v>102.23933186130489</v>
      </c>
      <c r="C1371" s="58">
        <v>99.836878099724032</v>
      </c>
      <c r="D1371" s="58">
        <v>100.34037754127704</v>
      </c>
      <c r="E1371" s="58">
        <v>4689759.762030201</v>
      </c>
      <c r="F1371" s="58" t="s">
        <v>1318</v>
      </c>
      <c r="G1371" s="25">
        <f t="shared" si="21"/>
        <v>1.4790996784565857E-2</v>
      </c>
    </row>
    <row r="1372" spans="1:7">
      <c r="A1372" s="58">
        <v>100.58005138749415</v>
      </c>
      <c r="B1372" s="58">
        <v>101.63092902090762</v>
      </c>
      <c r="C1372" s="58">
        <v>98.870162859232181</v>
      </c>
      <c r="D1372" s="58">
        <v>100.96721683138333</v>
      </c>
      <c r="E1372" s="58">
        <v>6717368.1459662328</v>
      </c>
      <c r="F1372" s="58" t="s">
        <v>1319</v>
      </c>
      <c r="G1372" s="25">
        <f t="shared" si="21"/>
        <v>-3.8345658723637488E-3</v>
      </c>
    </row>
    <row r="1373" spans="1:7">
      <c r="A1373" s="58">
        <v>100.9303439319653</v>
      </c>
      <c r="B1373" s="58">
        <v>101.06861730478288</v>
      </c>
      <c r="C1373" s="58">
        <v>99.41855505582663</v>
      </c>
      <c r="D1373" s="58">
        <v>99.713538251170775</v>
      </c>
      <c r="E1373" s="58">
        <v>3235161.9179074951</v>
      </c>
      <c r="F1373" s="58" t="s">
        <v>1320</v>
      </c>
      <c r="G1373" s="25">
        <f t="shared" si="21"/>
        <v>1.2203013774613858E-2</v>
      </c>
    </row>
    <row r="1374" spans="1:7">
      <c r="A1374" s="58">
        <v>99.962430322242369</v>
      </c>
      <c r="B1374" s="58">
        <v>100.58926961234866</v>
      </c>
      <c r="C1374" s="58">
        <v>99.406294816770142</v>
      </c>
      <c r="D1374" s="58">
        <v>100.19288594360498</v>
      </c>
      <c r="E1374" s="58">
        <v>2621007.8818151997</v>
      </c>
      <c r="F1374" s="58" t="s">
        <v>1321</v>
      </c>
      <c r="G1374" s="25">
        <f t="shared" si="21"/>
        <v>-2.3001196062195639E-3</v>
      </c>
    </row>
    <row r="1375" spans="1:7">
      <c r="A1375" s="58">
        <v>99.861029848842833</v>
      </c>
      <c r="B1375" s="58">
        <v>100.42334156496759</v>
      </c>
      <c r="C1375" s="58">
        <v>99.685975758855804</v>
      </c>
      <c r="D1375" s="58">
        <v>100.0177396713694</v>
      </c>
      <c r="E1375" s="58">
        <v>3075088.7993526775</v>
      </c>
      <c r="F1375" s="58" t="s">
        <v>1322</v>
      </c>
      <c r="G1375" s="25">
        <f t="shared" si="21"/>
        <v>-1.5668202764976824E-3</v>
      </c>
    </row>
    <row r="1376" spans="1:7">
      <c r="A1376" s="58">
        <v>99.363245706699615</v>
      </c>
      <c r="B1376" s="58">
        <v>100.57083316263964</v>
      </c>
      <c r="C1376" s="58">
        <v>98.874679789410905</v>
      </c>
      <c r="D1376" s="58">
        <v>100.44177801467659</v>
      </c>
      <c r="E1376" s="58">
        <v>2206917.31012179</v>
      </c>
      <c r="F1376" s="58" t="s">
        <v>1323</v>
      </c>
      <c r="G1376" s="25">
        <f t="shared" si="21"/>
        <v>-1.0737885462554941E-2</v>
      </c>
    </row>
    <row r="1377" spans="1:7">
      <c r="A1377" s="58">
        <v>99.879466298551833</v>
      </c>
      <c r="B1377" s="58">
        <v>100.43255978982209</v>
      </c>
      <c r="C1377" s="58">
        <v>98.985298487664934</v>
      </c>
      <c r="D1377" s="58">
        <v>99.040607836791963</v>
      </c>
      <c r="E1377" s="58">
        <v>1574589.492998525</v>
      </c>
      <c r="F1377" s="58" t="s">
        <v>1324</v>
      </c>
      <c r="G1377" s="25">
        <f t="shared" si="21"/>
        <v>8.4698436336558824E-3</v>
      </c>
    </row>
    <row r="1378" spans="1:7">
      <c r="A1378" s="58">
        <v>99.049826061646471</v>
      </c>
      <c r="B1378" s="58">
        <v>101.10475274621253</v>
      </c>
      <c r="C1378" s="58">
        <v>99.03138961193747</v>
      </c>
      <c r="D1378" s="58">
        <v>100.35881399098606</v>
      </c>
      <c r="E1378" s="58">
        <v>3416807.5195747023</v>
      </c>
      <c r="F1378" s="58" t="s">
        <v>1325</v>
      </c>
      <c r="G1378" s="25">
        <f t="shared" si="21"/>
        <v>-1.3043078901442184E-2</v>
      </c>
    </row>
    <row r="1379" spans="1:7">
      <c r="A1379" s="58">
        <v>99.814938724570311</v>
      </c>
      <c r="B1379" s="58">
        <v>100.51091470108537</v>
      </c>
      <c r="C1379" s="58">
        <v>98.598133043775761</v>
      </c>
      <c r="D1379" s="58">
        <v>99.40011860611763</v>
      </c>
      <c r="E1379" s="58">
        <v>3717254.7362258299</v>
      </c>
      <c r="F1379" s="58" t="s">
        <v>1326</v>
      </c>
      <c r="G1379" s="25">
        <f t="shared" si="21"/>
        <v>4.1732356487063083E-3</v>
      </c>
    </row>
    <row r="1380" spans="1:7">
      <c r="A1380" s="58">
        <v>99.639792452334731</v>
      </c>
      <c r="B1380" s="58">
        <v>99.722756476025282</v>
      </c>
      <c r="C1380" s="58">
        <v>97.13243529190963</v>
      </c>
      <c r="D1380" s="58">
        <v>99.151226535046021</v>
      </c>
      <c r="E1380" s="58">
        <v>4929662.7840224952</v>
      </c>
      <c r="F1380" s="58" t="s">
        <v>1327</v>
      </c>
      <c r="G1380" s="25">
        <f t="shared" si="21"/>
        <v>4.9274823354406028E-3</v>
      </c>
    </row>
    <row r="1381" spans="1:7">
      <c r="A1381" s="58">
        <v>100.45099623953109</v>
      </c>
      <c r="B1381" s="58">
        <v>101.04096263021935</v>
      </c>
      <c r="C1381" s="58">
        <v>99.086698961064485</v>
      </c>
      <c r="D1381" s="58">
        <v>100.34037754127704</v>
      </c>
      <c r="E1381" s="58">
        <v>11574655.824094666</v>
      </c>
      <c r="F1381" s="58" t="s">
        <v>1328</v>
      </c>
      <c r="G1381" s="25">
        <f t="shared" si="21"/>
        <v>1.1024345429491156E-3</v>
      </c>
    </row>
    <row r="1382" spans="1:7">
      <c r="A1382" s="58">
        <v>100.27584996729551</v>
      </c>
      <c r="B1382" s="58">
        <v>100.41873245254033</v>
      </c>
      <c r="C1382" s="58">
        <v>99.197317659318543</v>
      </c>
      <c r="D1382" s="58">
        <v>99.40011860611763</v>
      </c>
      <c r="E1382" s="58">
        <v>4257112.4722375991</v>
      </c>
      <c r="F1382" s="58" t="s">
        <v>1329</v>
      </c>
      <c r="G1382" s="25">
        <f t="shared" si="21"/>
        <v>8.810164147268873E-3</v>
      </c>
    </row>
    <row r="1383" spans="1:7">
      <c r="A1383" s="58">
        <v>98.948425588246934</v>
      </c>
      <c r="B1383" s="58">
        <v>99.751332973074227</v>
      </c>
      <c r="C1383" s="58">
        <v>98.275495173868123</v>
      </c>
      <c r="D1383" s="58">
        <v>99.049826061646471</v>
      </c>
      <c r="E1383" s="58">
        <v>4836854.242952683</v>
      </c>
      <c r="F1383" s="58" t="s">
        <v>1330</v>
      </c>
      <c r="G1383" s="25">
        <f t="shared" si="21"/>
        <v>-1.0237319683572554E-3</v>
      </c>
    </row>
    <row r="1384" spans="1:7">
      <c r="A1384" s="58">
        <v>99.049826061646471</v>
      </c>
      <c r="B1384" s="58">
        <v>99.930166535251615</v>
      </c>
      <c r="C1384" s="58">
        <v>98.081912451923543</v>
      </c>
      <c r="D1384" s="58">
        <v>98.57969659406676</v>
      </c>
      <c r="E1384" s="58">
        <v>5702663.0213207137</v>
      </c>
      <c r="F1384" s="58" t="s">
        <v>1331</v>
      </c>
      <c r="G1384" s="25">
        <f t="shared" si="21"/>
        <v>4.7690293622593138E-3</v>
      </c>
    </row>
    <row r="1385" spans="1:7">
      <c r="A1385" s="58">
        <v>98.44142322124921</v>
      </c>
      <c r="B1385" s="58">
        <v>100.63075162419393</v>
      </c>
      <c r="C1385" s="58">
        <v>98.422986771540195</v>
      </c>
      <c r="D1385" s="58">
        <v>99.095917185918992</v>
      </c>
      <c r="E1385" s="58">
        <v>6780091.719010504</v>
      </c>
      <c r="F1385" s="58" t="s">
        <v>1332</v>
      </c>
      <c r="G1385" s="25">
        <f t="shared" si="21"/>
        <v>-6.6046511627906312E-3</v>
      </c>
    </row>
    <row r="1386" spans="1:7">
      <c r="A1386" s="58">
        <v>98.653442392902789</v>
      </c>
      <c r="B1386" s="58">
        <v>98.957643813101427</v>
      </c>
      <c r="C1386" s="58">
        <v>97.086344167637094</v>
      </c>
      <c r="D1386" s="58">
        <v>97.805365706288413</v>
      </c>
      <c r="E1386" s="58">
        <v>5119201.4454868333</v>
      </c>
      <c r="F1386" s="58" t="s">
        <v>1333</v>
      </c>
      <c r="G1386" s="25">
        <f t="shared" si="21"/>
        <v>8.671065032987757E-3</v>
      </c>
    </row>
    <row r="1387" spans="1:7">
      <c r="A1387" s="58">
        <v>98.192531150177587</v>
      </c>
      <c r="B1387" s="58">
        <v>98.717969966884326</v>
      </c>
      <c r="C1387" s="58">
        <v>97.745447244734137</v>
      </c>
      <c r="D1387" s="58">
        <v>98.413768546685688</v>
      </c>
      <c r="E1387" s="58">
        <v>5238118.0500719761</v>
      </c>
      <c r="F1387" s="58" t="s">
        <v>1334</v>
      </c>
      <c r="G1387" s="25">
        <f t="shared" si="21"/>
        <v>-2.2480329711502822E-3</v>
      </c>
    </row>
    <row r="1388" spans="1:7">
      <c r="A1388" s="58">
        <v>98.0081666530875</v>
      </c>
      <c r="B1388" s="58">
        <v>99.271063458154572</v>
      </c>
      <c r="C1388" s="58">
        <v>97.270708664727181</v>
      </c>
      <c r="D1388" s="58">
        <v>98.727188191738819</v>
      </c>
      <c r="E1388" s="58">
        <v>6229448.8262500977</v>
      </c>
      <c r="F1388" s="58" t="s">
        <v>1335</v>
      </c>
      <c r="G1388" s="25">
        <f t="shared" si="21"/>
        <v>-7.2829131652660806E-3</v>
      </c>
    </row>
    <row r="1389" spans="1:7">
      <c r="A1389" s="58">
        <v>98.450641446103702</v>
      </c>
      <c r="B1389" s="58">
        <v>98.856243339701876</v>
      </c>
      <c r="C1389" s="58">
        <v>97.902157067260717</v>
      </c>
      <c r="D1389" s="58">
        <v>98.450641446103702</v>
      </c>
      <c r="E1389" s="58">
        <v>7207025.3273914112</v>
      </c>
      <c r="F1389" s="58" t="s">
        <v>1336</v>
      </c>
      <c r="G1389" s="25">
        <f t="shared" si="21"/>
        <v>0</v>
      </c>
    </row>
    <row r="1390" spans="1:7">
      <c r="A1390" s="58">
        <v>98.800933990574862</v>
      </c>
      <c r="B1390" s="58">
        <v>99.833375174279311</v>
      </c>
      <c r="C1390" s="58">
        <v>98.303149848431644</v>
      </c>
      <c r="D1390" s="58">
        <v>99.298718132718079</v>
      </c>
      <c r="E1390" s="58">
        <v>7515558.6995851193</v>
      </c>
      <c r="F1390" s="58" t="s">
        <v>1337</v>
      </c>
      <c r="G1390" s="25">
        <f t="shared" si="21"/>
        <v>-5.0129966580021446E-3</v>
      </c>
    </row>
    <row r="1391" spans="1:7">
      <c r="A1391" s="58">
        <v>99.464646180099166</v>
      </c>
      <c r="B1391" s="58">
        <v>99.805720499715804</v>
      </c>
      <c r="C1391" s="58">
        <v>98.570478369212267</v>
      </c>
      <c r="D1391" s="58">
        <v>98.708751742029818</v>
      </c>
      <c r="E1391" s="58">
        <v>5084545.0984089132</v>
      </c>
      <c r="F1391" s="58" t="s">
        <v>1338</v>
      </c>
      <c r="G1391" s="25">
        <f t="shared" si="21"/>
        <v>7.6578259245425606E-3</v>
      </c>
    </row>
    <row r="1392" spans="1:7">
      <c r="A1392" s="58">
        <v>99.1235718604825</v>
      </c>
      <c r="B1392" s="58">
        <v>100.14679481933246</v>
      </c>
      <c r="C1392" s="58">
        <v>98.708751742029818</v>
      </c>
      <c r="D1392" s="58">
        <v>99.69510180146176</v>
      </c>
      <c r="E1392" s="58">
        <v>4172563.6559197609</v>
      </c>
      <c r="F1392" s="58" t="s">
        <v>1339</v>
      </c>
      <c r="G1392" s="25">
        <f t="shared" si="21"/>
        <v>-5.732778548312556E-3</v>
      </c>
    </row>
    <row r="1393" spans="1:7">
      <c r="A1393" s="58">
        <v>99.69510180146176</v>
      </c>
      <c r="B1393" s="58">
        <v>100.13757659447795</v>
      </c>
      <c r="C1393" s="58">
        <v>98.966862037955934</v>
      </c>
      <c r="D1393" s="58">
        <v>99.842593399133833</v>
      </c>
      <c r="E1393" s="58">
        <v>3737044.880519269</v>
      </c>
      <c r="F1393" s="58" t="s">
        <v>1340</v>
      </c>
      <c r="G1393" s="25">
        <f t="shared" si="21"/>
        <v>-1.4772412519620248E-3</v>
      </c>
    </row>
    <row r="1394" spans="1:7">
      <c r="A1394" s="58">
        <v>100.00852144651489</v>
      </c>
      <c r="B1394" s="58">
        <v>101.03174440536485</v>
      </c>
      <c r="C1394" s="58">
        <v>99.621356002625717</v>
      </c>
      <c r="D1394" s="58">
        <v>100.6998883106027</v>
      </c>
      <c r="E1394" s="58">
        <v>4627040.5282161655</v>
      </c>
      <c r="F1394" s="58" t="s">
        <v>1341</v>
      </c>
      <c r="G1394" s="25">
        <f t="shared" si="21"/>
        <v>-6.8656169901135655E-3</v>
      </c>
    </row>
    <row r="1395" spans="1:7">
      <c r="A1395" s="58">
        <v>99.759629375443282</v>
      </c>
      <c r="B1395" s="58">
        <v>100.06383079564192</v>
      </c>
      <c r="C1395" s="58">
        <v>98.717969966884326</v>
      </c>
      <c r="D1395" s="58">
        <v>99.344809256990601</v>
      </c>
      <c r="E1395" s="58">
        <v>6185927.4318024488</v>
      </c>
      <c r="F1395" s="58" t="s">
        <v>1342</v>
      </c>
      <c r="G1395" s="25">
        <f t="shared" si="21"/>
        <v>4.1755590609631188E-3</v>
      </c>
    </row>
    <row r="1396" spans="1:7">
      <c r="A1396" s="58">
        <v>99.20653588417305</v>
      </c>
      <c r="B1396" s="58">
        <v>99.326372807281601</v>
      </c>
      <c r="C1396" s="58">
        <v>97.593346534634833</v>
      </c>
      <c r="D1396" s="58">
        <v>98.330804522995152</v>
      </c>
      <c r="E1396" s="58">
        <v>2146835.2434829636</v>
      </c>
      <c r="F1396" s="58" t="s">
        <v>1343</v>
      </c>
      <c r="G1396" s="25">
        <f t="shared" si="21"/>
        <v>8.9059716883848061E-3</v>
      </c>
    </row>
    <row r="1397" spans="1:7">
      <c r="A1397" s="58">
        <v>98.09113067677805</v>
      </c>
      <c r="B1397" s="58">
        <v>99.925557422824369</v>
      </c>
      <c r="C1397" s="58">
        <v>97.372109138126717</v>
      </c>
      <c r="D1397" s="58">
        <v>98.681097067466311</v>
      </c>
      <c r="E1397" s="58">
        <v>6751995.2032400677</v>
      </c>
      <c r="F1397" s="58" t="s">
        <v>1344</v>
      </c>
      <c r="G1397" s="25">
        <f t="shared" si="21"/>
        <v>-5.9785147127510152E-3</v>
      </c>
    </row>
    <row r="1398" spans="1:7">
      <c r="A1398" s="58">
        <v>99.197317659318543</v>
      </c>
      <c r="B1398" s="58">
        <v>101.02252618051035</v>
      </c>
      <c r="C1398" s="58">
        <v>98.865461564556384</v>
      </c>
      <c r="D1398" s="58">
        <v>100.76441588458424</v>
      </c>
      <c r="E1398" s="58">
        <v>7937794.0064292792</v>
      </c>
      <c r="F1398" s="58" t="s">
        <v>1345</v>
      </c>
      <c r="G1398" s="25">
        <f t="shared" si="21"/>
        <v>-1.5552099533437058E-2</v>
      </c>
    </row>
    <row r="1399" spans="1:7">
      <c r="A1399" s="58">
        <v>100.72754298516621</v>
      </c>
      <c r="B1399" s="58">
        <v>102.80164357742963</v>
      </c>
      <c r="C1399" s="58">
        <v>100.34959576613154</v>
      </c>
      <c r="D1399" s="58">
        <v>102.71867955373911</v>
      </c>
      <c r="E1399" s="58">
        <v>4454295.7725681253</v>
      </c>
      <c r="F1399" s="58" t="s">
        <v>1346</v>
      </c>
      <c r="G1399" s="25">
        <f t="shared" si="21"/>
        <v>-1.9384366867091551E-2</v>
      </c>
    </row>
    <row r="1400" spans="1:7">
      <c r="A1400" s="58">
        <v>102.22089541159588</v>
      </c>
      <c r="B1400" s="58">
        <v>103.02288097393775</v>
      </c>
      <c r="C1400" s="58">
        <v>101.46500097352654</v>
      </c>
      <c r="D1400" s="58">
        <v>102.08262203877831</v>
      </c>
      <c r="E1400" s="58">
        <v>4420856.5795710711</v>
      </c>
      <c r="F1400" s="58" t="s">
        <v>1347</v>
      </c>
      <c r="G1400" s="25">
        <f t="shared" si="21"/>
        <v>1.354524110529276E-3</v>
      </c>
    </row>
    <row r="1401" spans="1:7">
      <c r="A1401" s="58">
        <v>102.32229588499543</v>
      </c>
      <c r="B1401" s="58">
        <v>102.50666038208551</v>
      </c>
      <c r="C1401" s="58">
        <v>100.71832476031172</v>
      </c>
      <c r="D1401" s="58">
        <v>101.40047339954502</v>
      </c>
      <c r="E1401" s="58">
        <v>3849053.4305705843</v>
      </c>
      <c r="F1401" s="58" t="s">
        <v>1348</v>
      </c>
      <c r="G1401" s="25">
        <f t="shared" si="21"/>
        <v>9.0909090909090384E-3</v>
      </c>
    </row>
    <row r="1402" spans="1:7">
      <c r="A1402" s="58">
        <v>101.18845422789141</v>
      </c>
      <c r="B1402" s="58">
        <v>104.82043482056604</v>
      </c>
      <c r="C1402" s="58">
        <v>101.17001777818241</v>
      </c>
      <c r="D1402" s="58">
        <v>104.78356192114802</v>
      </c>
      <c r="E1402" s="58">
        <v>4931175.0057593286</v>
      </c>
      <c r="F1402" s="58" t="s">
        <v>1349</v>
      </c>
      <c r="G1402" s="25">
        <f t="shared" si="21"/>
        <v>-3.4309844286091407E-2</v>
      </c>
    </row>
    <row r="1403" spans="1:7">
      <c r="A1403" s="58">
        <v>104.22125020502327</v>
      </c>
      <c r="B1403" s="58">
        <v>105.6592932823259</v>
      </c>
      <c r="C1403" s="58">
        <v>103.55753801549898</v>
      </c>
      <c r="D1403" s="58">
        <v>104.36874180269534</v>
      </c>
      <c r="E1403" s="58">
        <v>4114823.6888001766</v>
      </c>
      <c r="F1403" s="58" t="s">
        <v>1350</v>
      </c>
      <c r="G1403" s="25">
        <f t="shared" si="21"/>
        <v>-1.413177883766159E-3</v>
      </c>
    </row>
    <row r="1404" spans="1:7">
      <c r="A1404" s="58">
        <v>104.78356192114802</v>
      </c>
      <c r="B1404" s="58">
        <v>104.85730771998405</v>
      </c>
      <c r="C1404" s="58">
        <v>102.86617115141117</v>
      </c>
      <c r="D1404" s="58">
        <v>103.29020949471835</v>
      </c>
      <c r="E1404" s="58">
        <v>4496377.6273853742</v>
      </c>
      <c r="F1404" s="58" t="s">
        <v>1351</v>
      </c>
      <c r="G1404" s="25">
        <f t="shared" si="21"/>
        <v>1.4457831325301207E-2</v>
      </c>
    </row>
    <row r="1405" spans="1:7">
      <c r="A1405" s="58">
        <v>103.79721186171608</v>
      </c>
      <c r="B1405" s="58">
        <v>104.24890487958679</v>
      </c>
      <c r="C1405" s="58">
        <v>102.7094613288846</v>
      </c>
      <c r="D1405" s="58">
        <v>104.16594085589624</v>
      </c>
      <c r="E1405" s="58">
        <v>4251436.759090459</v>
      </c>
      <c r="F1405" s="58" t="s">
        <v>1352</v>
      </c>
      <c r="G1405" s="25">
        <f t="shared" si="21"/>
        <v>-3.5398230088494742E-3</v>
      </c>
    </row>
    <row r="1406" spans="1:7">
      <c r="A1406" s="58">
        <v>103.19802724617331</v>
      </c>
      <c r="B1406" s="58">
        <v>104.03688570793318</v>
      </c>
      <c r="C1406" s="58">
        <v>102.59884263063054</v>
      </c>
      <c r="D1406" s="58">
        <v>103.6220655894805</v>
      </c>
      <c r="E1406" s="58">
        <v>3056487.6041435786</v>
      </c>
      <c r="F1406" s="58" t="s">
        <v>1353</v>
      </c>
      <c r="G1406" s="25">
        <f t="shared" si="21"/>
        <v>-4.092162618984041E-3</v>
      </c>
    </row>
    <row r="1407" spans="1:7">
      <c r="A1407" s="58">
        <v>103.8433029859886</v>
      </c>
      <c r="B1407" s="58">
        <v>104.11984973162373</v>
      </c>
      <c r="C1407" s="58">
        <v>102.75094334072986</v>
      </c>
      <c r="D1407" s="58">
        <v>103.1888090213188</v>
      </c>
      <c r="E1407" s="58">
        <v>4332726.8135019504</v>
      </c>
      <c r="F1407" s="58" t="s">
        <v>1354</v>
      </c>
      <c r="G1407" s="25">
        <f t="shared" si="21"/>
        <v>6.3426835804896164E-3</v>
      </c>
    </row>
    <row r="1408" spans="1:7">
      <c r="A1408" s="58">
        <v>102.14714961275985</v>
      </c>
      <c r="B1408" s="58">
        <v>102.86617115141117</v>
      </c>
      <c r="C1408" s="58">
        <v>99.927677614540897</v>
      </c>
      <c r="D1408" s="58">
        <v>100.70910653545721</v>
      </c>
      <c r="E1408" s="58">
        <v>5688351.1551987305</v>
      </c>
      <c r="F1408" s="58" t="s">
        <v>1355</v>
      </c>
      <c r="G1408" s="25">
        <f t="shared" si="21"/>
        <v>1.4279176201372978E-2</v>
      </c>
    </row>
    <row r="1409" spans="1:7">
      <c r="A1409" s="58">
        <v>100.83816168342027</v>
      </c>
      <c r="B1409" s="58">
        <v>104.35952357784082</v>
      </c>
      <c r="C1409" s="58">
        <v>97.888329729978949</v>
      </c>
      <c r="D1409" s="58">
        <v>103.05975387335575</v>
      </c>
      <c r="E1409" s="58">
        <v>15177227.959636975</v>
      </c>
      <c r="F1409" s="58" t="s">
        <v>1356</v>
      </c>
      <c r="G1409" s="25">
        <f t="shared" si="21"/>
        <v>-2.1556350626117937E-2</v>
      </c>
    </row>
    <row r="1410" spans="1:7">
      <c r="A1410" s="58">
        <v>105.47492878523583</v>
      </c>
      <c r="B1410" s="58">
        <v>106.13864097476012</v>
      </c>
      <c r="C1410" s="58">
        <v>104.01844925822418</v>
      </c>
      <c r="D1410" s="58">
        <v>104.9771446430926</v>
      </c>
      <c r="E1410" s="58">
        <v>6123181.077799445</v>
      </c>
      <c r="F1410" s="58" t="s">
        <v>1357</v>
      </c>
      <c r="G1410" s="25">
        <f t="shared" si="21"/>
        <v>4.7418335089568497E-3</v>
      </c>
    </row>
    <row r="1411" spans="1:7">
      <c r="A1411" s="58">
        <v>104.65450677318496</v>
      </c>
      <c r="B1411" s="58">
        <v>105.86209422912501</v>
      </c>
      <c r="C1411" s="58">
        <v>103.90783055997012</v>
      </c>
      <c r="D1411" s="58">
        <v>104.63607032347596</v>
      </c>
      <c r="E1411" s="58">
        <v>5575795.862137828</v>
      </c>
      <c r="F1411" s="58" t="s">
        <v>1358</v>
      </c>
      <c r="G1411" s="25">
        <f t="shared" ref="G1411:G1449" si="22">A1411/D1411-1</f>
        <v>1.761959298738347E-4</v>
      </c>
    </row>
    <row r="1412" spans="1:7">
      <c r="A1412" s="58">
        <v>102.81086180228414</v>
      </c>
      <c r="B1412" s="58">
        <v>105.29978251300025</v>
      </c>
      <c r="C1412" s="58">
        <v>101.49726476051731</v>
      </c>
      <c r="D1412" s="58">
        <v>101.55718322207159</v>
      </c>
      <c r="E1412" s="58">
        <v>8050585.787537979</v>
      </c>
      <c r="F1412" s="58" t="s">
        <v>1359</v>
      </c>
      <c r="G1412" s="25">
        <f t="shared" si="22"/>
        <v>1.2344558409730366E-2</v>
      </c>
    </row>
    <row r="1413" spans="1:7">
      <c r="A1413" s="58">
        <v>100.99487150594683</v>
      </c>
      <c r="B1413" s="58">
        <v>102.13793138790534</v>
      </c>
      <c r="C1413" s="58">
        <v>99.88868452340634</v>
      </c>
      <c r="D1413" s="58">
        <v>100.2389770678775</v>
      </c>
      <c r="E1413" s="58">
        <v>4198303.9696726911</v>
      </c>
      <c r="F1413" s="58" t="s">
        <v>1360</v>
      </c>
      <c r="G1413" s="25">
        <f t="shared" si="22"/>
        <v>7.5409233032921463E-3</v>
      </c>
    </row>
    <row r="1414" spans="1:7">
      <c r="A1414" s="58">
        <v>99.077480736209992</v>
      </c>
      <c r="B1414" s="58">
        <v>100.20210416845948</v>
      </c>
      <c r="C1414" s="58">
        <v>97.81458393114292</v>
      </c>
      <c r="D1414" s="58">
        <v>98.717969966884326</v>
      </c>
      <c r="E1414" s="58">
        <v>6408025.5073337313</v>
      </c>
      <c r="F1414" s="58" t="s">
        <v>1361</v>
      </c>
      <c r="G1414" s="25">
        <f t="shared" si="22"/>
        <v>3.6417966196657936E-3</v>
      </c>
    </row>
    <row r="1415" spans="1:7">
      <c r="A1415" s="58">
        <v>96.892761445692514</v>
      </c>
      <c r="B1415" s="58">
        <v>97.298363339290688</v>
      </c>
      <c r="C1415" s="58">
        <v>95.067552924500703</v>
      </c>
      <c r="D1415" s="58">
        <v>96.570123575784876</v>
      </c>
      <c r="E1415" s="58">
        <v>4810730.9921315303</v>
      </c>
      <c r="F1415" s="58" t="s">
        <v>1362</v>
      </c>
      <c r="G1415" s="25">
        <f t="shared" si="22"/>
        <v>3.3409698358151108E-3</v>
      </c>
    </row>
    <row r="1416" spans="1:7">
      <c r="A1416" s="58">
        <v>96.791360972292964</v>
      </c>
      <c r="B1416" s="58">
        <v>98.247840499304615</v>
      </c>
      <c r="C1416" s="58">
        <v>96.394977303549283</v>
      </c>
      <c r="D1416" s="58">
        <v>98.063476002214529</v>
      </c>
      <c r="E1416" s="58">
        <v>4597004.3765307665</v>
      </c>
      <c r="F1416" s="58" t="s">
        <v>1363</v>
      </c>
      <c r="G1416" s="25">
        <f t="shared" si="22"/>
        <v>-1.2972363226170347E-2</v>
      </c>
    </row>
    <row r="1417" spans="1:7">
      <c r="A1417" s="58">
        <v>98.100348901632557</v>
      </c>
      <c r="B1417" s="58">
        <v>99.012953162228456</v>
      </c>
      <c r="C1417" s="58">
        <v>97.141653516764123</v>
      </c>
      <c r="D1417" s="58">
        <v>98.45985967095821</v>
      </c>
      <c r="E1417" s="58">
        <v>7707491.5313315177</v>
      </c>
      <c r="F1417" s="58" t="s">
        <v>1364</v>
      </c>
      <c r="G1417" s="25">
        <f t="shared" si="22"/>
        <v>-3.6513435071622302E-3</v>
      </c>
    </row>
    <row r="1418" spans="1:7">
      <c r="A1418" s="58">
        <v>100.09148547020543</v>
      </c>
      <c r="B1418" s="58">
        <v>101.16955686693969</v>
      </c>
      <c r="C1418" s="58">
        <v>99.861029848842833</v>
      </c>
      <c r="D1418" s="58">
        <v>100.37725044069506</v>
      </c>
      <c r="E1418" s="58">
        <v>4901213.7057954799</v>
      </c>
      <c r="F1418" s="58" t="s">
        <v>1365</v>
      </c>
      <c r="G1418" s="25">
        <f t="shared" si="22"/>
        <v>-2.8469097254110176E-3</v>
      </c>
    </row>
    <row r="1419" spans="1:7">
      <c r="A1419" s="58">
        <v>100.4786509140946</v>
      </c>
      <c r="B1419" s="58">
        <v>100.62706433425213</v>
      </c>
      <c r="C1419" s="58">
        <v>98.67870032900413</v>
      </c>
      <c r="D1419" s="58">
        <v>99.160444759900514</v>
      </c>
      <c r="E1419" s="58">
        <v>7916880.0015050229</v>
      </c>
      <c r="F1419" s="58" t="s">
        <v>1366</v>
      </c>
      <c r="G1419" s="25">
        <f t="shared" si="22"/>
        <v>1.3293669238635397E-2</v>
      </c>
    </row>
    <row r="1420" spans="1:7">
      <c r="A1420" s="58">
        <v>99.363245706699615</v>
      </c>
      <c r="B1420" s="58">
        <v>101.40047339954502</v>
      </c>
      <c r="C1420" s="58">
        <v>99.160444759900514</v>
      </c>
      <c r="D1420" s="58">
        <v>101.06861730478288</v>
      </c>
      <c r="E1420" s="58">
        <v>3876031.5097479965</v>
      </c>
      <c r="F1420" s="58" t="s">
        <v>1367</v>
      </c>
      <c r="G1420" s="25">
        <f t="shared" si="22"/>
        <v>-1.6873403867201819E-2</v>
      </c>
    </row>
    <row r="1421" spans="1:7">
      <c r="A1421" s="58">
        <v>100.9211257071108</v>
      </c>
      <c r="B1421" s="58">
        <v>101.44656452381753</v>
      </c>
      <c r="C1421" s="58">
        <v>97.934420854251471</v>
      </c>
      <c r="D1421" s="58">
        <v>98.100348901632557</v>
      </c>
      <c r="E1421" s="58">
        <v>5374440.3919365257</v>
      </c>
      <c r="F1421" s="58" t="s">
        <v>1368</v>
      </c>
      <c r="G1421" s="25">
        <f t="shared" si="22"/>
        <v>2.8753993610223683E-2</v>
      </c>
    </row>
    <row r="1422" spans="1:7">
      <c r="A1422" s="58">
        <v>97.648655883761862</v>
      </c>
      <c r="B1422" s="58">
        <v>100.4786509140946</v>
      </c>
      <c r="C1422" s="58">
        <v>96.565330098860528</v>
      </c>
      <c r="D1422" s="58">
        <v>99.566046653498702</v>
      </c>
      <c r="E1422" s="58">
        <v>6200767.5992055209</v>
      </c>
      <c r="F1422" s="58" t="s">
        <v>1369</v>
      </c>
      <c r="G1422" s="25">
        <f t="shared" si="22"/>
        <v>-1.9257476159614706E-2</v>
      </c>
    </row>
    <row r="1423" spans="1:7">
      <c r="A1423" s="58">
        <v>99.88868452340634</v>
      </c>
      <c r="B1423" s="58">
        <v>101.29907292614547</v>
      </c>
      <c r="C1423" s="58">
        <v>99.658228902043746</v>
      </c>
      <c r="D1423" s="58">
        <v>99.879466298551833</v>
      </c>
      <c r="E1423" s="58">
        <v>4202006.4178705486</v>
      </c>
      <c r="F1423" s="58" t="s">
        <v>1370</v>
      </c>
      <c r="G1423" s="25">
        <f t="shared" si="22"/>
        <v>9.2293493308748253E-5</v>
      </c>
    </row>
    <row r="1424" spans="1:7">
      <c r="A1424" s="58">
        <v>99.593701328062224</v>
      </c>
      <c r="B1424" s="58">
        <v>102.35455967198618</v>
      </c>
      <c r="C1424" s="58">
        <v>99.390900381263123</v>
      </c>
      <c r="D1424" s="58">
        <v>101.30829115099998</v>
      </c>
      <c r="E1424" s="58">
        <v>4587125.0340936482</v>
      </c>
      <c r="F1424" s="58" t="s">
        <v>1371</v>
      </c>
      <c r="G1424" s="25">
        <f t="shared" si="22"/>
        <v>-1.6924476797088195E-2</v>
      </c>
    </row>
    <row r="1425" spans="1:7">
      <c r="A1425" s="58">
        <v>101.09627197934638</v>
      </c>
      <c r="B1425" s="58">
        <v>101.75076594401617</v>
      </c>
      <c r="C1425" s="58">
        <v>99.280281683009079</v>
      </c>
      <c r="D1425" s="58">
        <v>99.280281683009079</v>
      </c>
      <c r="E1425" s="58">
        <v>4733846.3412159355</v>
      </c>
      <c r="F1425" s="58" t="s">
        <v>1372</v>
      </c>
      <c r="G1425" s="25">
        <f t="shared" si="22"/>
        <v>1.8291550603528384E-2</v>
      </c>
    </row>
    <row r="1426" spans="1:7">
      <c r="A1426" s="58">
        <v>98.92998913853792</v>
      </c>
      <c r="B1426" s="58">
        <v>99.317154582427079</v>
      </c>
      <c r="C1426" s="58">
        <v>97.998948428233007</v>
      </c>
      <c r="D1426" s="58">
        <v>98.496732570376224</v>
      </c>
      <c r="E1426" s="58">
        <v>3817423.6965814489</v>
      </c>
      <c r="F1426" s="58" t="s">
        <v>1373</v>
      </c>
      <c r="G1426" s="25">
        <f t="shared" si="22"/>
        <v>4.3986897519887602E-3</v>
      </c>
    </row>
    <row r="1427" spans="1:7">
      <c r="A1427" s="58">
        <v>99.326372807281601</v>
      </c>
      <c r="B1427" s="58">
        <v>101.24376357701844</v>
      </c>
      <c r="C1427" s="58">
        <v>98.948425588246934</v>
      </c>
      <c r="D1427" s="58">
        <v>100.11914014476895</v>
      </c>
      <c r="E1427" s="58">
        <v>4547408.0597543735</v>
      </c>
      <c r="F1427" s="58" t="s">
        <v>1374</v>
      </c>
      <c r="G1427" s="25">
        <f t="shared" si="22"/>
        <v>-7.9182395727832589E-3</v>
      </c>
    </row>
    <row r="1428" spans="1:7">
      <c r="A1428" s="58">
        <v>99.566046653498745</v>
      </c>
      <c r="B1428" s="58">
        <v>101.97319846887353</v>
      </c>
      <c r="C1428" s="58">
        <v>99.455795425313639</v>
      </c>
      <c r="D1428" s="58">
        <v>101.52300595378436</v>
      </c>
      <c r="E1428" s="58">
        <v>5195648.2429225966</v>
      </c>
      <c r="F1428" s="58" t="s">
        <v>1375</v>
      </c>
      <c r="G1428" s="25">
        <f t="shared" si="22"/>
        <v>-1.9276018099547487E-2</v>
      </c>
    </row>
    <row r="1429" spans="1:7">
      <c r="A1429" s="58">
        <v>102.02832408296609</v>
      </c>
      <c r="B1429" s="58">
        <v>102.50607940510154</v>
      </c>
      <c r="C1429" s="58">
        <v>100.84312337997622</v>
      </c>
      <c r="D1429" s="58">
        <v>101.29331589506539</v>
      </c>
      <c r="E1429" s="58">
        <v>4573357.4881673679</v>
      </c>
      <c r="F1429" s="58" t="s">
        <v>1376</v>
      </c>
      <c r="G1429" s="25">
        <f t="shared" si="22"/>
        <v>7.2562358276644368E-3</v>
      </c>
    </row>
    <row r="1430" spans="1:7">
      <c r="A1430" s="58">
        <v>100.74205975413987</v>
      </c>
      <c r="B1430" s="58">
        <v>101.03606302930014</v>
      </c>
      <c r="C1430" s="58">
        <v>99.96111355449537</v>
      </c>
      <c r="D1430" s="58">
        <v>100.45724408132834</v>
      </c>
      <c r="E1430" s="58">
        <v>3331372.9565292969</v>
      </c>
      <c r="F1430" s="58" t="s">
        <v>1377</v>
      </c>
      <c r="G1430" s="25">
        <f t="shared" si="22"/>
        <v>2.8351929760381811E-3</v>
      </c>
    </row>
    <row r="1431" spans="1:7">
      <c r="A1431" s="58">
        <v>99.722235893427651</v>
      </c>
      <c r="B1431" s="58">
        <v>100.26430443200441</v>
      </c>
      <c r="C1431" s="58">
        <v>98.693224430366655</v>
      </c>
      <c r="D1431" s="58">
        <v>99.354731799477292</v>
      </c>
      <c r="E1431" s="58">
        <v>4537105.3750091409</v>
      </c>
      <c r="F1431" s="58" t="s">
        <v>1378</v>
      </c>
      <c r="G1431" s="25">
        <f t="shared" si="22"/>
        <v>3.6989088218977173E-3</v>
      </c>
    </row>
    <row r="1432" spans="1:7">
      <c r="A1432" s="58">
        <v>98.987227705526934</v>
      </c>
      <c r="B1432" s="58">
        <v>99.391482208872333</v>
      </c>
      <c r="C1432" s="58">
        <v>98.243031915277484</v>
      </c>
      <c r="D1432" s="58">
        <v>98.647286418622869</v>
      </c>
      <c r="E1432" s="58">
        <v>4530834.9686709968</v>
      </c>
      <c r="F1432" s="58" t="s">
        <v>1379</v>
      </c>
      <c r="G1432" s="25">
        <f t="shared" si="22"/>
        <v>3.4460277544936524E-3</v>
      </c>
    </row>
    <row r="1433" spans="1:7">
      <c r="A1433" s="58">
        <v>97.618274955561887</v>
      </c>
      <c r="B1433" s="58">
        <v>99.93355074744909</v>
      </c>
      <c r="C1433" s="58">
        <v>97.4345229085867</v>
      </c>
      <c r="D1433" s="58">
        <v>99.740611098125157</v>
      </c>
      <c r="E1433" s="58">
        <v>4345650.6370668048</v>
      </c>
      <c r="F1433" s="58" t="s">
        <v>1380</v>
      </c>
      <c r="G1433" s="25">
        <f t="shared" si="22"/>
        <v>-2.1278555637435526E-2</v>
      </c>
    </row>
    <row r="1434" spans="1:7">
      <c r="A1434" s="58">
        <v>99.740611098125157</v>
      </c>
      <c r="B1434" s="58">
        <v>99.823299519263998</v>
      </c>
      <c r="C1434" s="58">
        <v>98.472721973996457</v>
      </c>
      <c r="D1434" s="58">
        <v>98.472721973996457</v>
      </c>
      <c r="E1434" s="58">
        <v>3922040.6622047778</v>
      </c>
      <c r="F1434" s="58" t="s">
        <v>1381</v>
      </c>
      <c r="G1434" s="25">
        <f t="shared" si="22"/>
        <v>1.2875536480686511E-2</v>
      </c>
    </row>
    <row r="1435" spans="1:7">
      <c r="A1435" s="58">
        <v>97.847965014280845</v>
      </c>
      <c r="B1435" s="58">
        <v>99.832487121612743</v>
      </c>
      <c r="C1435" s="58">
        <v>97.691775774351953</v>
      </c>
      <c r="D1435" s="58">
        <v>98.932102091434388</v>
      </c>
      <c r="E1435" s="58">
        <v>6084788.8140862612</v>
      </c>
      <c r="F1435" s="58" t="s">
        <v>1382</v>
      </c>
      <c r="G1435" s="25">
        <f t="shared" si="22"/>
        <v>-1.0958395245170949E-2</v>
      </c>
    </row>
    <row r="1436" spans="1:7">
      <c r="A1436" s="58">
        <v>99.814111916915223</v>
      </c>
      <c r="B1436" s="58">
        <v>101.36681671385546</v>
      </c>
      <c r="C1436" s="58">
        <v>99.575234255847491</v>
      </c>
      <c r="D1436" s="58">
        <v>100.31024244374821</v>
      </c>
      <c r="E1436" s="58">
        <v>7882436.271285071</v>
      </c>
      <c r="F1436" s="58" t="s">
        <v>1383</v>
      </c>
      <c r="G1436" s="25">
        <f t="shared" si="22"/>
        <v>-4.9459607986811482E-3</v>
      </c>
    </row>
    <row r="1437" spans="1:7">
      <c r="A1437" s="58">
        <v>99.98867636154165</v>
      </c>
      <c r="B1437" s="58">
        <v>100.58587051421097</v>
      </c>
      <c r="C1437" s="58">
        <v>97.149707235775182</v>
      </c>
      <c r="D1437" s="58">
        <v>97.379397294494154</v>
      </c>
      <c r="E1437" s="58">
        <v>10325914.901270937</v>
      </c>
      <c r="F1437" s="58" t="s">
        <v>1384</v>
      </c>
      <c r="G1437" s="25">
        <f t="shared" si="22"/>
        <v>2.6794980658552792E-2</v>
      </c>
    </row>
    <row r="1438" spans="1:7">
      <c r="A1438" s="58">
        <v>96.644389106593451</v>
      </c>
      <c r="B1438" s="58">
        <v>97.765276593142019</v>
      </c>
      <c r="C1438" s="58">
        <v>96.396323843176972</v>
      </c>
      <c r="D1438" s="58">
        <v>97.397772499191674</v>
      </c>
      <c r="E1438" s="58">
        <v>4866090.0094397273</v>
      </c>
      <c r="F1438" s="58" t="s">
        <v>1385</v>
      </c>
      <c r="G1438" s="25">
        <f t="shared" si="22"/>
        <v>-7.7351193283653474E-3</v>
      </c>
    </row>
    <row r="1439" spans="1:7">
      <c r="A1439" s="58">
        <v>95.955318930436547</v>
      </c>
      <c r="B1439" s="58">
        <v>96.699514720686011</v>
      </c>
      <c r="C1439" s="58">
        <v>95.385687584813496</v>
      </c>
      <c r="D1439" s="58">
        <v>95.771566883461361</v>
      </c>
      <c r="E1439" s="58">
        <v>6003164.6893654838</v>
      </c>
      <c r="F1439" s="58" t="s">
        <v>1386</v>
      </c>
      <c r="G1439" s="25">
        <f t="shared" si="22"/>
        <v>1.9186492709133418E-3</v>
      </c>
    </row>
    <row r="1440" spans="1:7">
      <c r="A1440" s="58">
        <v>95.045746297909432</v>
      </c>
      <c r="B1440" s="58">
        <v>95.192747935489564</v>
      </c>
      <c r="C1440" s="58">
        <v>92.188401967445458</v>
      </c>
      <c r="D1440" s="58">
        <v>92.39052921911815</v>
      </c>
      <c r="E1440" s="58">
        <v>5507766.6706849178</v>
      </c>
      <c r="F1440" s="58" t="s">
        <v>1387</v>
      </c>
      <c r="G1440" s="25">
        <f t="shared" si="22"/>
        <v>2.8739061256960907E-2</v>
      </c>
    </row>
    <row r="1441" spans="1:7">
      <c r="A1441" s="58">
        <v>92.721282903673469</v>
      </c>
      <c r="B1441" s="58">
        <v>95.119247116699498</v>
      </c>
      <c r="C1441" s="58">
        <v>92.30784079797931</v>
      </c>
      <c r="D1441" s="58">
        <v>94.402614133496314</v>
      </c>
      <c r="E1441" s="58">
        <v>8276362.7672972707</v>
      </c>
      <c r="F1441" s="58" t="s">
        <v>1388</v>
      </c>
      <c r="G1441" s="25">
        <f t="shared" si="22"/>
        <v>-1.7810218978102088E-2</v>
      </c>
    </row>
    <row r="1442" spans="1:7">
      <c r="A1442" s="58">
        <v>94.384238928798808</v>
      </c>
      <c r="B1442" s="58">
        <v>96.460637059618278</v>
      </c>
      <c r="C1442" s="58">
        <v>93.924858811360863</v>
      </c>
      <c r="D1442" s="58">
        <v>96.460637059618278</v>
      </c>
      <c r="E1442" s="58">
        <v>4397383.3940971754</v>
      </c>
      <c r="F1442" s="58" t="s">
        <v>1389</v>
      </c>
      <c r="G1442" s="25">
        <f t="shared" si="22"/>
        <v>-2.1525859605676656E-2</v>
      </c>
    </row>
    <row r="1443" spans="1:7">
      <c r="A1443" s="58">
        <v>96.286072614991866</v>
      </c>
      <c r="B1443" s="58">
        <v>96.947579984102489</v>
      </c>
      <c r="C1443" s="58">
        <v>95.151403724920158</v>
      </c>
      <c r="D1443" s="58">
        <v>96.892454370009929</v>
      </c>
      <c r="E1443" s="58">
        <v>4549885.640800233</v>
      </c>
      <c r="F1443" s="58" t="s">
        <v>1390</v>
      </c>
      <c r="G1443" s="25">
        <f t="shared" si="22"/>
        <v>-6.2582969846385339E-3</v>
      </c>
    </row>
    <row r="1444" spans="1:7">
      <c r="A1444" s="58">
        <v>97.342646885099128</v>
      </c>
      <c r="B1444" s="58">
        <v>97.811214604885805</v>
      </c>
      <c r="C1444" s="58">
        <v>95.973694135134053</v>
      </c>
      <c r="D1444" s="58">
        <v>97.204832849867742</v>
      </c>
      <c r="E1444" s="58">
        <v>4963041.3103545234</v>
      </c>
      <c r="F1444" s="58" t="s">
        <v>1391</v>
      </c>
      <c r="G1444" s="25">
        <f t="shared" si="22"/>
        <v>1.4177693761814325E-3</v>
      </c>
    </row>
    <row r="1445" spans="1:7">
      <c r="A1445" s="58">
        <v>98.178718698836164</v>
      </c>
      <c r="B1445" s="58">
        <v>99.216917764245906</v>
      </c>
      <c r="C1445" s="58">
        <v>97.517211329725541</v>
      </c>
      <c r="D1445" s="58">
        <v>97.903090628373405</v>
      </c>
      <c r="E1445" s="58">
        <v>8296456.1488991575</v>
      </c>
      <c r="F1445" s="58" t="s">
        <v>1392</v>
      </c>
      <c r="G1445" s="25">
        <f t="shared" si="22"/>
        <v>2.8153153153152033E-3</v>
      </c>
    </row>
    <row r="1446" spans="1:7">
      <c r="A1446" s="58">
        <v>97.994966651860992</v>
      </c>
      <c r="B1446" s="58">
        <v>98.077655072999818</v>
      </c>
      <c r="C1446" s="58">
        <v>95.911402191209476</v>
      </c>
      <c r="D1446" s="58">
        <v>96.433074252571998</v>
      </c>
      <c r="E1446" s="58">
        <v>4662525.4744277531</v>
      </c>
      <c r="F1446" s="58" t="s">
        <v>1393</v>
      </c>
      <c r="G1446" s="25">
        <f t="shared" si="22"/>
        <v>1.6196646341463339E-2</v>
      </c>
    </row>
    <row r="1447" spans="1:7">
      <c r="A1447" s="58">
        <v>97.112956826380156</v>
      </c>
      <c r="B1447" s="58">
        <v>98.647286418622869</v>
      </c>
      <c r="C1447" s="58">
        <v>97.076206416985116</v>
      </c>
      <c r="D1447" s="58">
        <v>98.261407119975004</v>
      </c>
      <c r="E1447" s="58">
        <v>4619724.3185796086</v>
      </c>
      <c r="F1447" s="58" t="s">
        <v>1394</v>
      </c>
      <c r="G1447" s="25">
        <f t="shared" si="22"/>
        <v>-1.1687704534829368E-2</v>
      </c>
    </row>
    <row r="1448" spans="1:7">
      <c r="A1448" s="58">
        <v>97.921465833070926</v>
      </c>
      <c r="B1448" s="58">
        <v>98.794288056203001</v>
      </c>
      <c r="C1448" s="58">
        <v>97.544774136771821</v>
      </c>
      <c r="D1448" s="58">
        <v>98.30734513171879</v>
      </c>
      <c r="E1448" s="58">
        <v>3978130.3775013504</v>
      </c>
      <c r="F1448" s="58" t="s">
        <v>1395</v>
      </c>
      <c r="G1448" s="25">
        <f t="shared" si="22"/>
        <v>-3.9252336448597491E-3</v>
      </c>
    </row>
    <row r="1449" spans="1:7">
      <c r="A1449" s="58">
        <v>97.103769224031396</v>
      </c>
      <c r="B1449" s="58">
        <v>97.994966651860992</v>
      </c>
      <c r="C1449" s="58">
        <v>96.580075890152145</v>
      </c>
      <c r="D1449" s="58">
        <v>97.01189320054381</v>
      </c>
      <c r="E1449" s="58">
        <v>4162239.3469354184</v>
      </c>
      <c r="F1449" s="58" t="s">
        <v>1396</v>
      </c>
      <c r="G1449" s="25">
        <f t="shared" si="22"/>
        <v>9.4705938062311645E-4</v>
      </c>
    </row>
    <row r="1450" spans="1:7">
      <c r="G1450" s="25"/>
    </row>
    <row r="1451" spans="1:7">
      <c r="G1451" s="25"/>
    </row>
    <row r="1452" spans="1:7">
      <c r="G1452" s="25"/>
    </row>
    <row r="1453" spans="1:7">
      <c r="G1453" s="25"/>
    </row>
    <row r="1454" spans="1:7">
      <c r="G1454" s="25"/>
    </row>
    <row r="1455" spans="1:7">
      <c r="G1455" s="25"/>
    </row>
    <row r="1456" spans="1:7">
      <c r="G1456" s="25"/>
    </row>
    <row r="1457" spans="7:7">
      <c r="G1457" s="25"/>
    </row>
    <row r="1458" spans="7:7">
      <c r="G1458" s="25"/>
    </row>
    <row r="1459" spans="7:7">
      <c r="G1459" s="25"/>
    </row>
    <row r="1460" spans="7:7">
      <c r="G1460" s="25"/>
    </row>
    <row r="1461" spans="7:7">
      <c r="G1461" s="25"/>
    </row>
    <row r="1462" spans="7:7">
      <c r="G1462" s="25"/>
    </row>
    <row r="1463" spans="7:7">
      <c r="G1463" s="25"/>
    </row>
    <row r="1464" spans="7:7">
      <c r="G1464" s="25"/>
    </row>
    <row r="1465" spans="7:7">
      <c r="G1465" s="25"/>
    </row>
    <row r="1466" spans="7:7">
      <c r="G1466" s="25"/>
    </row>
    <row r="1467" spans="7:7">
      <c r="G1467" s="25"/>
    </row>
    <row r="1468" spans="7:7">
      <c r="G1468" s="25"/>
    </row>
    <row r="1469" spans="7:7">
      <c r="G1469" s="25"/>
    </row>
    <row r="1470" spans="7:7">
      <c r="G1470" s="25"/>
    </row>
    <row r="1471" spans="7:7">
      <c r="G1471" s="25"/>
    </row>
    <row r="1472" spans="7:7">
      <c r="G1472" s="25"/>
    </row>
    <row r="1473" spans="7:7">
      <c r="G1473" s="25"/>
    </row>
    <row r="1474" spans="7:7">
      <c r="G1474" s="25"/>
    </row>
    <row r="1475" spans="7:7">
      <c r="G1475" s="25"/>
    </row>
    <row r="1476" spans="7:7">
      <c r="G1476" s="25"/>
    </row>
    <row r="1477" spans="7:7">
      <c r="G1477" s="25"/>
    </row>
    <row r="1478" spans="7:7">
      <c r="G1478" s="25"/>
    </row>
    <row r="1479" spans="7:7">
      <c r="G1479" s="25"/>
    </row>
    <row r="1480" spans="7:7">
      <c r="G1480" s="25"/>
    </row>
    <row r="1481" spans="7:7">
      <c r="G1481" s="25"/>
    </row>
    <row r="1482" spans="7:7">
      <c r="G1482" s="25"/>
    </row>
    <row r="1483" spans="7:7">
      <c r="G1483" s="25"/>
    </row>
    <row r="1484" spans="7:7">
      <c r="G1484" s="25"/>
    </row>
    <row r="1485" spans="7:7">
      <c r="G1485" s="25"/>
    </row>
    <row r="1486" spans="7:7">
      <c r="G1486" s="25"/>
    </row>
    <row r="1487" spans="7:7">
      <c r="G1487" s="25"/>
    </row>
    <row r="1488" spans="7:7">
      <c r="G1488" s="25"/>
    </row>
    <row r="1489" spans="7:7">
      <c r="G1489" s="25"/>
    </row>
    <row r="1490" spans="7:7">
      <c r="G1490" s="25"/>
    </row>
    <row r="1491" spans="7:7">
      <c r="G1491" s="25"/>
    </row>
    <row r="1492" spans="7:7">
      <c r="G1492" s="25"/>
    </row>
    <row r="1493" spans="7:7">
      <c r="G1493" s="25"/>
    </row>
    <row r="1494" spans="7:7">
      <c r="G1494" s="25"/>
    </row>
    <row r="1495" spans="7:7">
      <c r="G1495" s="25"/>
    </row>
    <row r="1496" spans="7:7">
      <c r="G1496" s="25"/>
    </row>
    <row r="1497" spans="7:7">
      <c r="G1497" s="25"/>
    </row>
    <row r="1498" spans="7:7">
      <c r="G1498" s="25"/>
    </row>
    <row r="1499" spans="7:7">
      <c r="G1499" s="25"/>
    </row>
    <row r="1500" spans="7:7">
      <c r="G1500" s="25"/>
    </row>
    <row r="1501" spans="7:7">
      <c r="G1501" s="25"/>
    </row>
    <row r="1502" spans="7:7">
      <c r="G1502" s="25"/>
    </row>
    <row r="1503" spans="7:7">
      <c r="G1503" s="25"/>
    </row>
    <row r="1504" spans="7:7">
      <c r="G1504" s="25"/>
    </row>
    <row r="1505" spans="7:7">
      <c r="G1505" s="25"/>
    </row>
    <row r="1506" spans="7:7">
      <c r="G1506" s="25"/>
    </row>
    <row r="1507" spans="7:7">
      <c r="G1507" s="25"/>
    </row>
    <row r="1508" spans="7:7">
      <c r="G1508" s="25"/>
    </row>
    <row r="1509" spans="7:7">
      <c r="G1509" s="25"/>
    </row>
    <row r="1510" spans="7:7">
      <c r="G1510" s="25"/>
    </row>
    <row r="1511" spans="7:7">
      <c r="G1511" s="25"/>
    </row>
    <row r="1512" spans="7:7">
      <c r="G1512" s="25"/>
    </row>
    <row r="1513" spans="7:7">
      <c r="G1513" s="25"/>
    </row>
    <row r="1514" spans="7:7">
      <c r="G1514" s="25"/>
    </row>
    <row r="1515" spans="7:7">
      <c r="G1515" s="25"/>
    </row>
    <row r="1516" spans="7:7">
      <c r="G1516" s="25"/>
    </row>
    <row r="1517" spans="7:7">
      <c r="G1517" s="25"/>
    </row>
    <row r="1518" spans="7:7">
      <c r="G1518" s="25"/>
    </row>
    <row r="1519" spans="7:7">
      <c r="G1519" s="25"/>
    </row>
    <row r="1520" spans="7:7">
      <c r="G1520" s="25"/>
    </row>
    <row r="1521" spans="7:7">
      <c r="G1521" s="25"/>
    </row>
    <row r="1522" spans="7:7">
      <c r="G1522" s="25"/>
    </row>
    <row r="1523" spans="7:7">
      <c r="G1523" s="25"/>
    </row>
    <row r="1524" spans="7:7">
      <c r="G1524" s="25"/>
    </row>
    <row r="1525" spans="7:7">
      <c r="G1525" s="25"/>
    </row>
    <row r="1526" spans="7:7">
      <c r="G1526" s="25"/>
    </row>
    <row r="1527" spans="7:7">
      <c r="G1527" s="25"/>
    </row>
    <row r="1528" spans="7:7">
      <c r="G1528" s="25"/>
    </row>
    <row r="1529" spans="7:7">
      <c r="G1529" s="25"/>
    </row>
    <row r="1530" spans="7:7">
      <c r="G1530" s="25"/>
    </row>
    <row r="1531" spans="7:7">
      <c r="G1531" s="25"/>
    </row>
    <row r="1532" spans="7:7">
      <c r="G1532" s="25"/>
    </row>
    <row r="1533" spans="7:7">
      <c r="G1533" s="25"/>
    </row>
    <row r="1534" spans="7:7">
      <c r="G1534" s="25"/>
    </row>
    <row r="1535" spans="7:7">
      <c r="G1535" s="25"/>
    </row>
    <row r="1536" spans="7:7">
      <c r="G1536" s="25"/>
    </row>
    <row r="1537" spans="7:7">
      <c r="G1537" s="25"/>
    </row>
    <row r="1538" spans="7:7">
      <c r="G1538" s="25"/>
    </row>
    <row r="1539" spans="7:7">
      <c r="G1539" s="25"/>
    </row>
    <row r="1540" spans="7:7">
      <c r="G1540" s="25"/>
    </row>
    <row r="1541" spans="7:7">
      <c r="G1541" s="25"/>
    </row>
    <row r="1542" spans="7:7">
      <c r="G1542" s="25"/>
    </row>
    <row r="1543" spans="7:7">
      <c r="G1543" s="25"/>
    </row>
    <row r="1544" spans="7:7">
      <c r="G1544" s="25"/>
    </row>
    <row r="1545" spans="7:7">
      <c r="G1545" s="25"/>
    </row>
    <row r="1546" spans="7:7">
      <c r="G1546" s="25"/>
    </row>
    <row r="1547" spans="7:7">
      <c r="G1547" s="25"/>
    </row>
    <row r="1548" spans="7:7">
      <c r="G1548" s="25"/>
    </row>
    <row r="1549" spans="7:7">
      <c r="G1549" s="25"/>
    </row>
    <row r="1550" spans="7:7">
      <c r="G1550" s="25"/>
    </row>
    <row r="1551" spans="7:7">
      <c r="G1551" s="25"/>
    </row>
    <row r="1552" spans="7:7">
      <c r="G1552" s="25"/>
    </row>
    <row r="1553" spans="7:7">
      <c r="G1553" s="25"/>
    </row>
    <row r="1554" spans="7:7">
      <c r="G1554" s="25"/>
    </row>
    <row r="1555" spans="7:7">
      <c r="G1555" s="25"/>
    </row>
    <row r="1556" spans="7:7">
      <c r="G1556" s="25"/>
    </row>
    <row r="1557" spans="7:7">
      <c r="G1557" s="25"/>
    </row>
    <row r="1558" spans="7:7">
      <c r="G1558" s="25"/>
    </row>
    <row r="1559" spans="7:7">
      <c r="G1559" s="25"/>
    </row>
    <row r="1560" spans="7:7">
      <c r="G1560" s="25"/>
    </row>
    <row r="1561" spans="7:7">
      <c r="G1561" s="25"/>
    </row>
    <row r="1562" spans="7:7">
      <c r="G1562" s="25"/>
    </row>
    <row r="1563" spans="7:7">
      <c r="G1563" s="25"/>
    </row>
    <row r="1564" spans="7:7">
      <c r="G1564" s="25"/>
    </row>
  </sheetData>
  <sortState xmlns:xlrd2="http://schemas.microsoft.com/office/spreadsheetml/2017/richdata2" ref="I284:I364">
    <sortCondition ref="I284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36E60-677E-467E-9C59-7853ADE8E695}">
  <dimension ref="A1"/>
  <sheetViews>
    <sheetView workbookViewId="0">
      <selection activeCell="L10" sqref="L10"/>
    </sheetView>
  </sheetViews>
  <sheetFormatPr defaultColWidth="9.140625" defaultRowHeight="14.25"/>
  <cols>
    <col min="1" max="1" width="3" style="1" customWidth="1"/>
    <col min="2" max="16384" width="9.140625" style="1"/>
  </cols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500EC-C7AB-4561-8EB1-8BDDC665C59B}">
  <dimension ref="B2:AP778"/>
  <sheetViews>
    <sheetView zoomScale="70" zoomScaleNormal="70" workbookViewId="0">
      <selection activeCell="B1" sqref="B1:F1048576"/>
    </sheetView>
  </sheetViews>
  <sheetFormatPr defaultColWidth="9.140625" defaultRowHeight="14.25"/>
  <cols>
    <col min="1" max="1" width="3" style="1" customWidth="1"/>
    <col min="2" max="6" width="9.140625" style="1"/>
    <col min="7" max="8" width="18.28515625" style="1" customWidth="1"/>
    <col min="9" max="10" width="9.140625" style="1" customWidth="1"/>
    <col min="11" max="21" width="9.140625" style="1"/>
    <col min="22" max="22" width="3.28515625" style="1" customWidth="1"/>
    <col min="23" max="16384" width="9.140625" style="1"/>
  </cols>
  <sheetData>
    <row r="2" spans="2:42" ht="15">
      <c r="B2" s="3" t="s">
        <v>2215</v>
      </c>
      <c r="C2" s="4"/>
      <c r="D2" s="4"/>
      <c r="E2" s="4"/>
      <c r="F2" s="4"/>
      <c r="G2" s="78" t="s">
        <v>2206</v>
      </c>
      <c r="H2" s="76" t="s">
        <v>2207</v>
      </c>
      <c r="I2" s="77" t="s">
        <v>2210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W2" s="3" t="s">
        <v>2209</v>
      </c>
      <c r="X2" s="4"/>
      <c r="Y2" s="4"/>
      <c r="Z2" s="4"/>
      <c r="AA2" s="4"/>
      <c r="AB2" s="4"/>
      <c r="AC2" s="4"/>
      <c r="AD2" s="3" t="s">
        <v>2210</v>
      </c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6"/>
    </row>
    <row r="3" spans="2:42" ht="15">
      <c r="B3" s="7" t="s">
        <v>1501</v>
      </c>
      <c r="C3" s="8"/>
      <c r="D3" s="8"/>
      <c r="E3" s="8"/>
      <c r="F3" s="9"/>
      <c r="G3" s="72"/>
      <c r="H3" s="79" t="s">
        <v>1502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1"/>
      <c r="W3" s="83" t="s">
        <v>2212</v>
      </c>
      <c r="X3" s="8"/>
      <c r="Y3" s="8"/>
      <c r="Z3" s="8"/>
      <c r="AA3" s="84"/>
      <c r="AB3" s="83" t="s">
        <v>2208</v>
      </c>
      <c r="AC3" s="9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1"/>
    </row>
    <row r="4" spans="2:42" ht="15">
      <c r="B4" s="12" t="s">
        <v>1503</v>
      </c>
      <c r="C4" s="13"/>
      <c r="D4" s="13"/>
      <c r="E4" s="13"/>
      <c r="F4" s="14"/>
      <c r="G4" s="73"/>
      <c r="H4" s="80">
        <v>890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6"/>
      <c r="W4" s="12"/>
      <c r="X4" s="13"/>
      <c r="Y4" s="13"/>
      <c r="Z4" s="13"/>
      <c r="AA4" s="86"/>
      <c r="AB4" s="88"/>
      <c r="AC4" s="14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6"/>
    </row>
    <row r="5" spans="2:42" ht="15">
      <c r="B5" s="12" t="s">
        <v>1504</v>
      </c>
      <c r="C5" s="13"/>
      <c r="D5" s="13"/>
      <c r="E5" s="13"/>
      <c r="F5" s="14"/>
      <c r="G5" s="74"/>
      <c r="H5" s="81" t="s">
        <v>1502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8"/>
      <c r="W5" s="12" t="s">
        <v>1596</v>
      </c>
      <c r="X5" s="13"/>
      <c r="Y5" s="13"/>
      <c r="Z5" s="13"/>
      <c r="AA5" s="86"/>
      <c r="AB5" s="88" t="s">
        <v>1597</v>
      </c>
      <c r="AC5" s="14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8"/>
    </row>
    <row r="6" spans="2:42" ht="15">
      <c r="B6" s="12" t="s">
        <v>1505</v>
      </c>
      <c r="C6" s="13"/>
      <c r="D6" s="13"/>
      <c r="E6" s="13"/>
      <c r="F6" s="14"/>
      <c r="G6" s="73"/>
      <c r="H6" s="80" t="s">
        <v>1502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6"/>
      <c r="W6" s="12" t="s">
        <v>1598</v>
      </c>
      <c r="X6" s="13"/>
      <c r="Y6" s="13"/>
      <c r="Z6" s="13"/>
      <c r="AA6" s="86"/>
      <c r="AB6" s="88" t="s">
        <v>1597</v>
      </c>
      <c r="AC6" s="14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6"/>
    </row>
    <row r="7" spans="2:42" ht="15">
      <c r="B7" s="12" t="s">
        <v>1506</v>
      </c>
      <c r="C7" s="13"/>
      <c r="D7" s="13"/>
      <c r="E7" s="13"/>
      <c r="F7" s="14"/>
      <c r="G7" s="74"/>
      <c r="H7" s="81">
        <v>25000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8"/>
      <c r="W7" s="12" t="s">
        <v>1599</v>
      </c>
      <c r="X7" s="13"/>
      <c r="Y7" s="13"/>
      <c r="Z7" s="13"/>
      <c r="AA7" s="86"/>
      <c r="AB7" s="88" t="s">
        <v>1600</v>
      </c>
      <c r="AC7" s="14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8"/>
    </row>
    <row r="8" spans="2:42" ht="15">
      <c r="B8" s="12" t="s">
        <v>1507</v>
      </c>
      <c r="C8" s="13"/>
      <c r="D8" s="13"/>
      <c r="E8" s="13"/>
      <c r="F8" s="14"/>
      <c r="G8" s="73"/>
      <c r="H8" s="80" t="s">
        <v>1502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6"/>
      <c r="W8" s="12" t="s">
        <v>1601</v>
      </c>
      <c r="X8" s="13"/>
      <c r="Y8" s="13"/>
      <c r="Z8" s="13"/>
      <c r="AA8" s="86"/>
      <c r="AB8" s="88" t="s">
        <v>1597</v>
      </c>
      <c r="AC8" s="14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6"/>
    </row>
    <row r="9" spans="2:42" ht="15">
      <c r="B9" s="12" t="s">
        <v>1508</v>
      </c>
      <c r="C9" s="13"/>
      <c r="D9" s="13"/>
      <c r="E9" s="13"/>
      <c r="F9" s="14"/>
      <c r="G9" s="74"/>
      <c r="H9" s="81">
        <v>5300</v>
      </c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8"/>
      <c r="W9" s="12" t="s">
        <v>1602</v>
      </c>
      <c r="X9" s="13"/>
      <c r="Y9" s="13"/>
      <c r="Z9" s="13"/>
      <c r="AA9" s="86"/>
      <c r="AB9" s="88" t="s">
        <v>1597</v>
      </c>
      <c r="AC9" s="14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8"/>
    </row>
    <row r="10" spans="2:42" ht="15">
      <c r="B10" s="12" t="s">
        <v>1509</v>
      </c>
      <c r="C10" s="13"/>
      <c r="D10" s="13"/>
      <c r="E10" s="13"/>
      <c r="F10" s="14"/>
      <c r="G10" s="73"/>
      <c r="H10" s="80">
        <v>250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6"/>
      <c r="W10" s="12" t="s">
        <v>1603</v>
      </c>
      <c r="X10" s="13"/>
      <c r="Y10" s="13"/>
      <c r="Z10" s="13"/>
      <c r="AA10" s="86"/>
      <c r="AB10" s="88" t="s">
        <v>1597</v>
      </c>
      <c r="AC10" s="14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6"/>
    </row>
    <row r="11" spans="2:42" ht="15">
      <c r="B11" s="12" t="s">
        <v>1510</v>
      </c>
      <c r="C11" s="13"/>
      <c r="D11" s="13"/>
      <c r="E11" s="13"/>
      <c r="F11" s="14"/>
      <c r="G11" s="74"/>
      <c r="H11" s="81">
        <v>305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8"/>
      <c r="W11" s="12" t="s">
        <v>1604</v>
      </c>
      <c r="X11" s="13"/>
      <c r="Y11" s="13"/>
      <c r="Z11" s="13"/>
      <c r="AA11" s="86"/>
      <c r="AB11" s="88" t="s">
        <v>1597</v>
      </c>
      <c r="AC11" s="14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8"/>
    </row>
    <row r="12" spans="2:42" ht="15">
      <c r="B12" s="12" t="s">
        <v>1511</v>
      </c>
      <c r="C12" s="13"/>
      <c r="D12" s="13"/>
      <c r="E12" s="13"/>
      <c r="F12" s="14"/>
      <c r="G12" s="73"/>
      <c r="H12" s="80">
        <v>250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6"/>
      <c r="W12" s="12" t="s">
        <v>1605</v>
      </c>
      <c r="X12" s="13"/>
      <c r="Y12" s="13"/>
      <c r="Z12" s="13"/>
      <c r="AA12" s="86"/>
      <c r="AB12" s="88" t="s">
        <v>1597</v>
      </c>
      <c r="AC12" s="14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6"/>
    </row>
    <row r="13" spans="2:42" ht="15">
      <c r="B13" s="12" t="s">
        <v>1512</v>
      </c>
      <c r="C13" s="13"/>
      <c r="D13" s="13"/>
      <c r="E13" s="13"/>
      <c r="F13" s="14"/>
      <c r="G13" s="74"/>
      <c r="H13" s="81">
        <v>2900</v>
      </c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8"/>
      <c r="W13" s="12" t="s">
        <v>1606</v>
      </c>
      <c r="X13" s="13"/>
      <c r="Y13" s="13"/>
      <c r="Z13" s="13"/>
      <c r="AA13" s="86"/>
      <c r="AB13" s="88" t="s">
        <v>1597</v>
      </c>
      <c r="AC13" s="14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8"/>
    </row>
    <row r="14" spans="2:42" ht="15">
      <c r="B14" s="12" t="s">
        <v>1513</v>
      </c>
      <c r="C14" s="13"/>
      <c r="D14" s="13"/>
      <c r="E14" s="13"/>
      <c r="F14" s="14"/>
      <c r="G14" s="73"/>
      <c r="H14" s="80" t="s">
        <v>1502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6"/>
      <c r="W14" s="12" t="s">
        <v>1607</v>
      </c>
      <c r="X14" s="13"/>
      <c r="Y14" s="13"/>
      <c r="Z14" s="13"/>
      <c r="AA14" s="86"/>
      <c r="AB14" s="88" t="s">
        <v>1597</v>
      </c>
      <c r="AC14" s="14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6"/>
    </row>
    <row r="15" spans="2:42" ht="15">
      <c r="B15" s="12" t="s">
        <v>1514</v>
      </c>
      <c r="C15" s="13"/>
      <c r="D15" s="13"/>
      <c r="E15" s="13"/>
      <c r="F15" s="14"/>
      <c r="G15" s="74"/>
      <c r="H15" s="81">
        <v>310</v>
      </c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8"/>
      <c r="W15" s="12" t="s">
        <v>1608</v>
      </c>
      <c r="X15" s="13"/>
      <c r="Y15" s="13"/>
      <c r="Z15" s="13"/>
      <c r="AA15" s="86"/>
      <c r="AB15" s="88" t="s">
        <v>1597</v>
      </c>
      <c r="AC15" s="14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8"/>
    </row>
    <row r="16" spans="2:42" ht="15">
      <c r="B16" s="12" t="s">
        <v>1515</v>
      </c>
      <c r="C16" s="13"/>
      <c r="D16" s="13"/>
      <c r="E16" s="13"/>
      <c r="F16" s="14"/>
      <c r="G16" s="73"/>
      <c r="H16" s="80">
        <v>400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6"/>
      <c r="W16" s="12" t="s">
        <v>1609</v>
      </c>
      <c r="X16" s="13"/>
      <c r="Y16" s="13"/>
      <c r="Z16" s="13"/>
      <c r="AA16" s="86"/>
      <c r="AB16" s="88" t="s">
        <v>1610</v>
      </c>
      <c r="AC16" s="14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6"/>
    </row>
    <row r="17" spans="2:42" ht="15">
      <c r="B17" s="12" t="s">
        <v>1516</v>
      </c>
      <c r="C17" s="13"/>
      <c r="D17" s="13"/>
      <c r="E17" s="13"/>
      <c r="F17" s="14"/>
      <c r="G17" s="74"/>
      <c r="H17" s="81">
        <v>3700</v>
      </c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8"/>
      <c r="W17" s="12" t="s">
        <v>1611</v>
      </c>
      <c r="X17" s="13"/>
      <c r="Y17" s="13"/>
      <c r="Z17" s="13"/>
      <c r="AA17" s="86"/>
      <c r="AB17" s="88" t="s">
        <v>1597</v>
      </c>
      <c r="AC17" s="14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8"/>
    </row>
    <row r="18" spans="2:42" ht="15">
      <c r="B18" s="12" t="s">
        <v>1517</v>
      </c>
      <c r="C18" s="13"/>
      <c r="D18" s="13"/>
      <c r="E18" s="13"/>
      <c r="F18" s="14"/>
      <c r="G18" s="73"/>
      <c r="H18" s="80">
        <v>450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6"/>
      <c r="W18" s="12" t="s">
        <v>1612</v>
      </c>
      <c r="X18" s="13"/>
      <c r="Y18" s="13"/>
      <c r="Z18" s="13"/>
      <c r="AA18" s="86"/>
      <c r="AB18" s="88" t="s">
        <v>1597</v>
      </c>
      <c r="AC18" s="14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6"/>
    </row>
    <row r="19" spans="2:42" ht="15">
      <c r="B19" s="12" t="s">
        <v>1518</v>
      </c>
      <c r="C19" s="13"/>
      <c r="D19" s="13"/>
      <c r="E19" s="13"/>
      <c r="F19" s="14"/>
      <c r="G19" s="74"/>
      <c r="H19" s="81">
        <v>190</v>
      </c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8"/>
      <c r="W19" s="12" t="s">
        <v>1613</v>
      </c>
      <c r="X19" s="13"/>
      <c r="Y19" s="13"/>
      <c r="Z19" s="13"/>
      <c r="AA19" s="86"/>
      <c r="AB19" s="88" t="s">
        <v>1614</v>
      </c>
      <c r="AC19" s="14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8"/>
    </row>
    <row r="20" spans="2:42" ht="15">
      <c r="B20" s="12" t="s">
        <v>1519</v>
      </c>
      <c r="C20" s="13"/>
      <c r="D20" s="13"/>
      <c r="E20" s="13"/>
      <c r="F20" s="14"/>
      <c r="G20" s="73"/>
      <c r="H20" s="80">
        <v>6600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6"/>
      <c r="W20" s="12" t="s">
        <v>1615</v>
      </c>
      <c r="X20" s="13"/>
      <c r="Y20" s="13"/>
      <c r="Z20" s="13"/>
      <c r="AA20" s="86"/>
      <c r="AB20" s="88" t="s">
        <v>1614</v>
      </c>
      <c r="AC20" s="14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6"/>
    </row>
    <row r="21" spans="2:42" ht="15">
      <c r="B21" s="12" t="s">
        <v>1520</v>
      </c>
      <c r="C21" s="13"/>
      <c r="D21" s="13"/>
      <c r="E21" s="13"/>
      <c r="F21" s="14"/>
      <c r="G21" s="74"/>
      <c r="H21" s="81">
        <v>410</v>
      </c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8"/>
      <c r="W21" s="12" t="s">
        <v>1616</v>
      </c>
      <c r="X21" s="13"/>
      <c r="Y21" s="13"/>
      <c r="Z21" s="13"/>
      <c r="AA21" s="86"/>
      <c r="AB21" s="88" t="s">
        <v>1614</v>
      </c>
      <c r="AC21" s="14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8"/>
    </row>
    <row r="22" spans="2:42" ht="15">
      <c r="B22" s="12" t="s">
        <v>1521</v>
      </c>
      <c r="C22" s="13"/>
      <c r="D22" s="13"/>
      <c r="E22" s="13"/>
      <c r="F22" s="14"/>
      <c r="G22" s="73"/>
      <c r="H22" s="80">
        <v>400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6"/>
      <c r="W22" s="12" t="s">
        <v>1617</v>
      </c>
      <c r="X22" s="13"/>
      <c r="Y22" s="13"/>
      <c r="Z22" s="13"/>
      <c r="AA22" s="86"/>
      <c r="AB22" s="88" t="s">
        <v>1614</v>
      </c>
      <c r="AC22" s="14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6"/>
    </row>
    <row r="23" spans="2:42" ht="15">
      <c r="B23" s="12" t="s">
        <v>1522</v>
      </c>
      <c r="C23" s="13"/>
      <c r="D23" s="13"/>
      <c r="E23" s="13"/>
      <c r="F23" s="14"/>
      <c r="G23" s="74"/>
      <c r="H23" s="81" t="s">
        <v>1502</v>
      </c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8"/>
      <c r="W23" s="12" t="s">
        <v>1618</v>
      </c>
      <c r="X23" s="13"/>
      <c r="Y23" s="13"/>
      <c r="Z23" s="13"/>
      <c r="AA23" s="86"/>
      <c r="AB23" s="88" t="s">
        <v>1597</v>
      </c>
      <c r="AC23" s="14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8"/>
    </row>
    <row r="24" spans="2:42" ht="15">
      <c r="B24" s="12" t="s">
        <v>1523</v>
      </c>
      <c r="C24" s="13"/>
      <c r="D24" s="13"/>
      <c r="E24" s="13"/>
      <c r="F24" s="14"/>
      <c r="G24" s="73"/>
      <c r="H24" s="80">
        <v>10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6"/>
      <c r="W24" s="12" t="s">
        <v>1619</v>
      </c>
      <c r="X24" s="13"/>
      <c r="Y24" s="13"/>
      <c r="Z24" s="13"/>
      <c r="AA24" s="86"/>
      <c r="AB24" s="88" t="s">
        <v>1597</v>
      </c>
      <c r="AC24" s="14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6"/>
    </row>
    <row r="25" spans="2:42" ht="15">
      <c r="B25" s="12" t="s">
        <v>1524</v>
      </c>
      <c r="C25" s="13"/>
      <c r="D25" s="13"/>
      <c r="E25" s="13"/>
      <c r="F25" s="14"/>
      <c r="G25" s="74"/>
      <c r="H25" s="81">
        <v>3700</v>
      </c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8"/>
      <c r="W25" s="12" t="s">
        <v>1620</v>
      </c>
      <c r="X25" s="13"/>
      <c r="Y25" s="13"/>
      <c r="Z25" s="13"/>
      <c r="AA25" s="86"/>
      <c r="AB25" s="88" t="s">
        <v>1597</v>
      </c>
      <c r="AC25" s="14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8"/>
    </row>
    <row r="26" spans="2:42" ht="15">
      <c r="B26" s="12" t="s">
        <v>1525</v>
      </c>
      <c r="C26" s="13"/>
      <c r="D26" s="13"/>
      <c r="E26" s="13"/>
      <c r="F26" s="14"/>
      <c r="G26" s="73"/>
      <c r="H26" s="80">
        <v>81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6"/>
      <c r="W26" s="12" t="s">
        <v>1621</v>
      </c>
      <c r="X26" s="13"/>
      <c r="Y26" s="13"/>
      <c r="Z26" s="13"/>
      <c r="AA26" s="86"/>
      <c r="AB26" s="88" t="s">
        <v>1597</v>
      </c>
      <c r="AC26" s="14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6"/>
    </row>
    <row r="27" spans="2:42" ht="15">
      <c r="B27" s="12" t="s">
        <v>1526</v>
      </c>
      <c r="C27" s="13"/>
      <c r="D27" s="13"/>
      <c r="E27" s="13"/>
      <c r="F27" s="14"/>
      <c r="G27" s="74"/>
      <c r="H27" s="81">
        <v>320</v>
      </c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8"/>
      <c r="W27" s="12" t="s">
        <v>1622</v>
      </c>
      <c r="X27" s="13"/>
      <c r="Y27" s="13"/>
      <c r="Z27" s="13"/>
      <c r="AA27" s="86"/>
      <c r="AB27" s="88" t="s">
        <v>1597</v>
      </c>
      <c r="AC27" s="14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8"/>
    </row>
    <row r="28" spans="2:42" ht="15">
      <c r="B28" s="12" t="s">
        <v>1527</v>
      </c>
      <c r="C28" s="13"/>
      <c r="D28" s="13"/>
      <c r="E28" s="13"/>
      <c r="F28" s="14"/>
      <c r="G28" s="73"/>
      <c r="H28" s="80">
        <v>1200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6"/>
      <c r="W28" s="12" t="s">
        <v>1623</v>
      </c>
      <c r="X28" s="13"/>
      <c r="Y28" s="13"/>
      <c r="Z28" s="13"/>
      <c r="AA28" s="86"/>
      <c r="AB28" s="88" t="s">
        <v>1597</v>
      </c>
      <c r="AC28" s="14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6"/>
    </row>
    <row r="29" spans="2:42" ht="15">
      <c r="B29" s="12" t="s">
        <v>1528</v>
      </c>
      <c r="C29" s="13"/>
      <c r="D29" s="13"/>
      <c r="E29" s="13"/>
      <c r="F29" s="14"/>
      <c r="G29" s="74"/>
      <c r="H29" s="81">
        <v>394</v>
      </c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8"/>
      <c r="W29" s="12" t="s">
        <v>1624</v>
      </c>
      <c r="X29" s="13"/>
      <c r="Y29" s="13"/>
      <c r="Z29" s="13"/>
      <c r="AA29" s="86"/>
      <c r="AB29" s="88" t="s">
        <v>1625</v>
      </c>
      <c r="AC29" s="14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8"/>
    </row>
    <row r="30" spans="2:42" ht="15">
      <c r="B30" s="12" t="s">
        <v>1529</v>
      </c>
      <c r="C30" s="13"/>
      <c r="D30" s="13"/>
      <c r="E30" s="13"/>
      <c r="F30" s="14"/>
      <c r="G30" s="73"/>
      <c r="H30" s="80">
        <v>65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6"/>
      <c r="W30" s="12" t="s">
        <v>1626</v>
      </c>
      <c r="X30" s="13"/>
      <c r="Y30" s="13"/>
      <c r="Z30" s="13"/>
      <c r="AA30" s="86"/>
      <c r="AB30" s="88" t="s">
        <v>1597</v>
      </c>
      <c r="AC30" s="14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6"/>
    </row>
    <row r="31" spans="2:42" ht="15">
      <c r="B31" s="12" t="s">
        <v>1530</v>
      </c>
      <c r="C31" s="13"/>
      <c r="D31" s="13"/>
      <c r="E31" s="13"/>
      <c r="F31" s="14"/>
      <c r="G31" s="74"/>
      <c r="H31" s="81">
        <v>160</v>
      </c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8"/>
      <c r="W31" s="12" t="s">
        <v>1627</v>
      </c>
      <c r="X31" s="13"/>
      <c r="Y31" s="13"/>
      <c r="Z31" s="13"/>
      <c r="AA31" s="86"/>
      <c r="AB31" s="88" t="s">
        <v>1597</v>
      </c>
      <c r="AC31" s="14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8"/>
    </row>
    <row r="32" spans="2:42" ht="15">
      <c r="B32" s="12" t="s">
        <v>1531</v>
      </c>
      <c r="C32" s="13"/>
      <c r="D32" s="13"/>
      <c r="E32" s="13"/>
      <c r="F32" s="14"/>
      <c r="G32" s="73"/>
      <c r="H32" s="80" t="s">
        <v>1502</v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6"/>
      <c r="W32" s="12" t="s">
        <v>1628</v>
      </c>
      <c r="X32" s="13"/>
      <c r="Y32" s="13"/>
      <c r="Z32" s="13"/>
      <c r="AA32" s="86"/>
      <c r="AB32" s="88" t="s">
        <v>1597</v>
      </c>
      <c r="AC32" s="14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6"/>
    </row>
    <row r="33" spans="2:42" ht="15">
      <c r="B33" s="12" t="s">
        <v>1532</v>
      </c>
      <c r="C33" s="13"/>
      <c r="D33" s="13"/>
      <c r="E33" s="13"/>
      <c r="F33" s="14"/>
      <c r="G33" s="74"/>
      <c r="H33" s="81">
        <v>166</v>
      </c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8"/>
      <c r="W33" s="12" t="s">
        <v>1629</v>
      </c>
      <c r="X33" s="13"/>
      <c r="Y33" s="13"/>
      <c r="Z33" s="13"/>
      <c r="AA33" s="86"/>
      <c r="AB33" s="88" t="s">
        <v>1597</v>
      </c>
      <c r="AC33" s="14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8"/>
    </row>
    <row r="34" spans="2:42" ht="15">
      <c r="B34" s="12" t="s">
        <v>1533</v>
      </c>
      <c r="C34" s="13"/>
      <c r="D34" s="13"/>
      <c r="E34" s="13"/>
      <c r="F34" s="14"/>
      <c r="G34" s="73"/>
      <c r="H34" s="80">
        <v>362</v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6"/>
      <c r="W34" s="12" t="s">
        <v>1630</v>
      </c>
      <c r="X34" s="13"/>
      <c r="Y34" s="13"/>
      <c r="Z34" s="13"/>
      <c r="AA34" s="86"/>
      <c r="AB34" s="88" t="s">
        <v>1597</v>
      </c>
      <c r="AC34" s="14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6"/>
    </row>
    <row r="35" spans="2:42" ht="15">
      <c r="B35" s="12" t="s">
        <v>1534</v>
      </c>
      <c r="C35" s="13"/>
      <c r="D35" s="13"/>
      <c r="E35" s="13"/>
      <c r="F35" s="14"/>
      <c r="G35" s="74"/>
      <c r="H35" s="81">
        <v>6900</v>
      </c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8"/>
      <c r="W35" s="12" t="s">
        <v>1631</v>
      </c>
      <c r="X35" s="13"/>
      <c r="Y35" s="13"/>
      <c r="Z35" s="13"/>
      <c r="AA35" s="86"/>
      <c r="AB35" s="88" t="s">
        <v>1632</v>
      </c>
      <c r="AC35" s="14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8"/>
    </row>
    <row r="36" spans="2:42" ht="15">
      <c r="B36" s="12" t="s">
        <v>1535</v>
      </c>
      <c r="C36" s="13"/>
      <c r="D36" s="13"/>
      <c r="E36" s="13"/>
      <c r="F36" s="14"/>
      <c r="G36" s="73"/>
      <c r="H36" s="80">
        <v>217</v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6"/>
      <c r="W36" s="12" t="s">
        <v>1633</v>
      </c>
      <c r="X36" s="13"/>
      <c r="Y36" s="13"/>
      <c r="Z36" s="13"/>
      <c r="AA36" s="86"/>
      <c r="AB36" s="88" t="s">
        <v>1597</v>
      </c>
      <c r="AC36" s="14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6"/>
    </row>
    <row r="37" spans="2:42" ht="15">
      <c r="B37" s="12" t="s">
        <v>1536</v>
      </c>
      <c r="C37" s="13"/>
      <c r="D37" s="13"/>
      <c r="E37" s="13"/>
      <c r="F37" s="14"/>
      <c r="G37" s="74"/>
      <c r="H37" s="81">
        <v>680</v>
      </c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8"/>
      <c r="W37" s="12" t="s">
        <v>1634</v>
      </c>
      <c r="X37" s="13"/>
      <c r="Y37" s="13"/>
      <c r="Z37" s="13"/>
      <c r="AA37" s="86"/>
      <c r="AB37" s="88" t="s">
        <v>1635</v>
      </c>
      <c r="AC37" s="14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8"/>
    </row>
    <row r="38" spans="2:42" ht="15">
      <c r="B38" s="12" t="s">
        <v>1537</v>
      </c>
      <c r="C38" s="13"/>
      <c r="D38" s="13"/>
      <c r="E38" s="13"/>
      <c r="F38" s="14"/>
      <c r="G38" s="73"/>
      <c r="H38" s="80" t="s">
        <v>1502</v>
      </c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6"/>
      <c r="W38" s="12" t="s">
        <v>1636</v>
      </c>
      <c r="X38" s="13"/>
      <c r="Y38" s="13"/>
      <c r="Z38" s="13"/>
      <c r="AA38" s="86"/>
      <c r="AB38" s="88" t="s">
        <v>1637</v>
      </c>
      <c r="AC38" s="14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6"/>
    </row>
    <row r="39" spans="2:42" ht="15">
      <c r="B39" s="12" t="s">
        <v>1538</v>
      </c>
      <c r="C39" s="13"/>
      <c r="D39" s="13"/>
      <c r="E39" s="13"/>
      <c r="F39" s="14"/>
      <c r="G39" s="74"/>
      <c r="H39" s="81">
        <v>234</v>
      </c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8"/>
      <c r="W39" s="12" t="s">
        <v>1638</v>
      </c>
      <c r="X39" s="13"/>
      <c r="Y39" s="13"/>
      <c r="Z39" s="13"/>
      <c r="AA39" s="86"/>
      <c r="AB39" s="88" t="s">
        <v>1597</v>
      </c>
      <c r="AC39" s="14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8"/>
    </row>
    <row r="40" spans="2:42" ht="15">
      <c r="B40" s="12" t="s">
        <v>1539</v>
      </c>
      <c r="C40" s="13"/>
      <c r="D40" s="13"/>
      <c r="E40" s="13"/>
      <c r="F40" s="14"/>
      <c r="G40" s="73"/>
      <c r="H40" s="80">
        <v>200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6"/>
      <c r="W40" s="12" t="s">
        <v>1639</v>
      </c>
      <c r="X40" s="13"/>
      <c r="Y40" s="13"/>
      <c r="Z40" s="13"/>
      <c r="AA40" s="13"/>
      <c r="AB40" s="88" t="s">
        <v>1597</v>
      </c>
      <c r="AC40" s="14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6"/>
    </row>
    <row r="41" spans="2:42" ht="15">
      <c r="B41" s="12" t="s">
        <v>1540</v>
      </c>
      <c r="C41" s="13"/>
      <c r="D41" s="13"/>
      <c r="E41" s="13"/>
      <c r="F41" s="14"/>
      <c r="G41" s="74"/>
      <c r="H41" s="81">
        <v>876</v>
      </c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8"/>
      <c r="W41" s="12" t="s">
        <v>1640</v>
      </c>
      <c r="X41" s="13"/>
      <c r="Y41" s="13"/>
      <c r="Z41" s="13"/>
      <c r="AA41" s="13"/>
      <c r="AB41" s="88" t="s">
        <v>1597</v>
      </c>
      <c r="AC41" s="14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8"/>
    </row>
    <row r="42" spans="2:42" ht="15">
      <c r="B42" s="19"/>
      <c r="C42" s="20"/>
      <c r="D42" s="20"/>
      <c r="E42" s="20"/>
      <c r="F42" s="21"/>
      <c r="G42" s="75"/>
      <c r="H42" s="8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3"/>
      <c r="W42" s="12" t="s">
        <v>1641</v>
      </c>
      <c r="X42" s="13"/>
      <c r="Y42" s="13"/>
      <c r="Z42" s="13"/>
      <c r="AA42" s="13"/>
      <c r="AB42" s="88" t="s">
        <v>1597</v>
      </c>
      <c r="AC42" s="14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6"/>
    </row>
    <row r="43" spans="2:42" ht="15">
      <c r="W43" s="12" t="s">
        <v>1642</v>
      </c>
      <c r="X43" s="13"/>
      <c r="Y43" s="13"/>
      <c r="Z43" s="13"/>
      <c r="AA43" s="13"/>
      <c r="AB43" s="88" t="s">
        <v>1597</v>
      </c>
      <c r="AC43" s="14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8"/>
    </row>
    <row r="44" spans="2:42" ht="15">
      <c r="W44" s="12" t="s">
        <v>1643</v>
      </c>
      <c r="X44" s="13"/>
      <c r="Y44" s="13"/>
      <c r="Z44" s="13"/>
      <c r="AA44" s="13"/>
      <c r="AB44" s="88" t="s">
        <v>1597</v>
      </c>
      <c r="AC44" s="14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6"/>
    </row>
    <row r="45" spans="2:42" ht="15">
      <c r="W45" s="12" t="s">
        <v>1644</v>
      </c>
      <c r="X45" s="13"/>
      <c r="Y45" s="13"/>
      <c r="Z45" s="13"/>
      <c r="AA45" s="13"/>
      <c r="AB45" s="88" t="s">
        <v>1597</v>
      </c>
      <c r="AC45" s="14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8"/>
    </row>
    <row r="46" spans="2:42" ht="15">
      <c r="W46" s="12" t="s">
        <v>1645</v>
      </c>
      <c r="X46" s="13"/>
      <c r="Y46" s="13"/>
      <c r="Z46" s="13"/>
      <c r="AA46" s="13"/>
      <c r="AB46" s="88" t="s">
        <v>1597</v>
      </c>
      <c r="AC46" s="14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6"/>
    </row>
    <row r="47" spans="2:42" ht="15">
      <c r="W47" s="12" t="s">
        <v>1646</v>
      </c>
      <c r="X47" s="13"/>
      <c r="Y47" s="13"/>
      <c r="Z47" s="13"/>
      <c r="AA47" s="13"/>
      <c r="AB47" s="88" t="s">
        <v>1647</v>
      </c>
      <c r="AC47" s="14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8"/>
    </row>
    <row r="48" spans="2:42" ht="15">
      <c r="W48" s="12" t="s">
        <v>1648</v>
      </c>
      <c r="X48" s="13"/>
      <c r="Y48" s="13"/>
      <c r="Z48" s="13"/>
      <c r="AA48" s="13"/>
      <c r="AB48" s="88" t="s">
        <v>1610</v>
      </c>
      <c r="AC48" s="14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6"/>
    </row>
    <row r="49" spans="23:42" ht="15">
      <c r="W49" s="12" t="s">
        <v>1649</v>
      </c>
      <c r="X49" s="13"/>
      <c r="Y49" s="13"/>
      <c r="Z49" s="13"/>
      <c r="AA49" s="13"/>
      <c r="AB49" s="88" t="s">
        <v>1597</v>
      </c>
      <c r="AC49" s="14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8"/>
    </row>
    <row r="50" spans="23:42" ht="15">
      <c r="W50" s="12" t="s">
        <v>1650</v>
      </c>
      <c r="X50" s="13"/>
      <c r="Y50" s="13"/>
      <c r="Z50" s="13"/>
      <c r="AA50" s="13"/>
      <c r="AB50" s="88" t="s">
        <v>1600</v>
      </c>
      <c r="AC50" s="14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6"/>
    </row>
    <row r="51" spans="23:42" ht="15">
      <c r="W51" s="12" t="s">
        <v>1651</v>
      </c>
      <c r="X51" s="13"/>
      <c r="Y51" s="13"/>
      <c r="Z51" s="13"/>
      <c r="AA51" s="13"/>
      <c r="AB51" s="88" t="s">
        <v>1600</v>
      </c>
      <c r="AC51" s="14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8"/>
    </row>
    <row r="52" spans="23:42" ht="15">
      <c r="W52" s="12" t="s">
        <v>1652</v>
      </c>
      <c r="X52" s="13"/>
      <c r="Y52" s="13"/>
      <c r="Z52" s="13"/>
      <c r="AA52" s="13"/>
      <c r="AB52" s="88" t="s">
        <v>1610</v>
      </c>
      <c r="AC52" s="14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6"/>
    </row>
    <row r="53" spans="23:42" ht="15">
      <c r="W53" s="12" t="s">
        <v>1653</v>
      </c>
      <c r="X53" s="13"/>
      <c r="Y53" s="13"/>
      <c r="Z53" s="13"/>
      <c r="AA53" s="13"/>
      <c r="AB53" s="88" t="s">
        <v>1597</v>
      </c>
      <c r="AC53" s="14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8"/>
    </row>
    <row r="54" spans="23:42" ht="15">
      <c r="W54" s="12" t="s">
        <v>1654</v>
      </c>
      <c r="X54" s="13"/>
      <c r="Y54" s="13"/>
      <c r="Z54" s="13"/>
      <c r="AA54" s="13"/>
      <c r="AB54" s="88" t="s">
        <v>1655</v>
      </c>
      <c r="AC54" s="14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6"/>
    </row>
    <row r="55" spans="23:42" ht="15">
      <c r="W55" s="12" t="s">
        <v>1656</v>
      </c>
      <c r="X55" s="13"/>
      <c r="Y55" s="13"/>
      <c r="Z55" s="13"/>
      <c r="AA55" s="13"/>
      <c r="AB55" s="88" t="s">
        <v>1610</v>
      </c>
      <c r="AC55" s="14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8"/>
    </row>
    <row r="56" spans="23:42" ht="15">
      <c r="W56" s="12" t="s">
        <v>1657</v>
      </c>
      <c r="X56" s="13"/>
      <c r="Y56" s="13"/>
      <c r="Z56" s="13"/>
      <c r="AA56" s="13"/>
      <c r="AB56" s="88" t="s">
        <v>1614</v>
      </c>
      <c r="AC56" s="14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6"/>
    </row>
    <row r="57" spans="23:42" ht="15">
      <c r="W57" s="12" t="s">
        <v>1658</v>
      </c>
      <c r="X57" s="13"/>
      <c r="Y57" s="13"/>
      <c r="Z57" s="13"/>
      <c r="AA57" s="13"/>
      <c r="AB57" s="88" t="s">
        <v>1597</v>
      </c>
      <c r="AC57" s="14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8"/>
    </row>
    <row r="58" spans="23:42" ht="15">
      <c r="W58" s="12" t="s">
        <v>1659</v>
      </c>
      <c r="X58" s="13"/>
      <c r="Y58" s="13"/>
      <c r="Z58" s="13"/>
      <c r="AA58" s="13"/>
      <c r="AB58" s="88" t="s">
        <v>1610</v>
      </c>
      <c r="AC58" s="14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6"/>
    </row>
    <row r="59" spans="23:42" ht="15">
      <c r="W59" s="12" t="s">
        <v>1660</v>
      </c>
      <c r="X59" s="13"/>
      <c r="Y59" s="13"/>
      <c r="Z59" s="13"/>
      <c r="AA59" s="13"/>
      <c r="AB59" s="88" t="s">
        <v>1597</v>
      </c>
      <c r="AC59" s="14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8"/>
    </row>
    <row r="60" spans="23:42" ht="15">
      <c r="W60" s="12" t="s">
        <v>1661</v>
      </c>
      <c r="X60" s="13"/>
      <c r="Y60" s="13"/>
      <c r="Z60" s="13"/>
      <c r="AA60" s="13"/>
      <c r="AB60" s="88" t="s">
        <v>1597</v>
      </c>
      <c r="AC60" s="14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6"/>
    </row>
    <row r="61" spans="23:42" ht="15">
      <c r="W61" s="12" t="s">
        <v>1542</v>
      </c>
      <c r="X61" s="13"/>
      <c r="Y61" s="13"/>
      <c r="Z61" s="13"/>
      <c r="AA61" s="13"/>
      <c r="AB61" s="88" t="s">
        <v>1597</v>
      </c>
      <c r="AC61" s="14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8"/>
    </row>
    <row r="62" spans="23:42" ht="15">
      <c r="W62" s="12" t="s">
        <v>1662</v>
      </c>
      <c r="X62" s="13"/>
      <c r="Y62" s="13"/>
      <c r="Z62" s="13"/>
      <c r="AA62" s="13"/>
      <c r="AB62" s="88" t="s">
        <v>1663</v>
      </c>
      <c r="AC62" s="14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6"/>
    </row>
    <row r="63" spans="23:42" ht="15">
      <c r="W63" s="12" t="s">
        <v>1664</v>
      </c>
      <c r="X63" s="13"/>
      <c r="Y63" s="13"/>
      <c r="Z63" s="13"/>
      <c r="AA63" s="13"/>
      <c r="AB63" s="88" t="s">
        <v>1600</v>
      </c>
      <c r="AC63" s="14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8"/>
    </row>
    <row r="64" spans="23:42" ht="15">
      <c r="W64" s="12" t="s">
        <v>1665</v>
      </c>
      <c r="X64" s="13"/>
      <c r="Y64" s="13"/>
      <c r="Z64" s="13"/>
      <c r="AA64" s="13"/>
      <c r="AB64" s="88" t="s">
        <v>1597</v>
      </c>
      <c r="AC64" s="14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6"/>
    </row>
    <row r="65" spans="23:42" ht="15">
      <c r="W65" s="12" t="s">
        <v>1666</v>
      </c>
      <c r="X65" s="13"/>
      <c r="Y65" s="13"/>
      <c r="Z65" s="13"/>
      <c r="AA65" s="13"/>
      <c r="AB65" s="88" t="s">
        <v>1597</v>
      </c>
      <c r="AC65" s="14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8"/>
    </row>
    <row r="66" spans="23:42" ht="15">
      <c r="W66" s="12" t="s">
        <v>1667</v>
      </c>
      <c r="X66" s="13"/>
      <c r="Y66" s="13"/>
      <c r="Z66" s="13"/>
      <c r="AA66" s="13"/>
      <c r="AB66" s="88" t="s">
        <v>1597</v>
      </c>
      <c r="AC66" s="14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6"/>
    </row>
    <row r="67" spans="23:42" ht="15">
      <c r="W67" s="12" t="s">
        <v>1668</v>
      </c>
      <c r="X67" s="13"/>
      <c r="Y67" s="13"/>
      <c r="Z67" s="13"/>
      <c r="AA67" s="13"/>
      <c r="AB67" s="88" t="s">
        <v>1597</v>
      </c>
      <c r="AC67" s="14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8"/>
    </row>
    <row r="68" spans="23:42" ht="15">
      <c r="W68" s="12" t="s">
        <v>1669</v>
      </c>
      <c r="X68" s="13"/>
      <c r="Y68" s="13"/>
      <c r="Z68" s="13"/>
      <c r="AA68" s="13"/>
      <c r="AB68" s="88" t="s">
        <v>1597</v>
      </c>
      <c r="AC68" s="14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6"/>
    </row>
    <row r="69" spans="23:42" ht="15">
      <c r="W69" s="12" t="s">
        <v>1670</v>
      </c>
      <c r="X69" s="13"/>
      <c r="Y69" s="13"/>
      <c r="Z69" s="13"/>
      <c r="AA69" s="13"/>
      <c r="AB69" s="88" t="s">
        <v>1597</v>
      </c>
      <c r="AC69" s="14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8"/>
    </row>
    <row r="70" spans="23:42" ht="15">
      <c r="W70" s="12" t="s">
        <v>1671</v>
      </c>
      <c r="X70" s="13"/>
      <c r="Y70" s="13"/>
      <c r="Z70" s="13"/>
      <c r="AA70" s="13"/>
      <c r="AB70" s="88" t="s">
        <v>1597</v>
      </c>
      <c r="AC70" s="14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6"/>
    </row>
    <row r="71" spans="23:42" ht="15">
      <c r="W71" s="12" t="s">
        <v>1672</v>
      </c>
      <c r="X71" s="13"/>
      <c r="Y71" s="13"/>
      <c r="Z71" s="13"/>
      <c r="AA71" s="13"/>
      <c r="AB71" s="88" t="s">
        <v>1597</v>
      </c>
      <c r="AC71" s="14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8"/>
    </row>
    <row r="72" spans="23:42" ht="15">
      <c r="W72" s="12" t="s">
        <v>1673</v>
      </c>
      <c r="X72" s="13"/>
      <c r="Y72" s="13"/>
      <c r="Z72" s="13"/>
      <c r="AA72" s="13"/>
      <c r="AB72" s="88" t="s">
        <v>1597</v>
      </c>
      <c r="AC72" s="14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6"/>
    </row>
    <row r="73" spans="23:42" ht="15">
      <c r="W73" s="12" t="s">
        <v>1674</v>
      </c>
      <c r="X73" s="13"/>
      <c r="Y73" s="13"/>
      <c r="Z73" s="13"/>
      <c r="AA73" s="13"/>
      <c r="AB73" s="88" t="s">
        <v>1610</v>
      </c>
      <c r="AC73" s="14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8"/>
    </row>
    <row r="74" spans="23:42" ht="15">
      <c r="W74" s="12" t="s">
        <v>1675</v>
      </c>
      <c r="X74" s="13"/>
      <c r="Y74" s="13"/>
      <c r="Z74" s="13"/>
      <c r="AA74" s="13"/>
      <c r="AB74" s="88" t="s">
        <v>1676</v>
      </c>
      <c r="AC74" s="14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6"/>
    </row>
    <row r="75" spans="23:42" ht="15">
      <c r="W75" s="12" t="s">
        <v>1677</v>
      </c>
      <c r="X75" s="13"/>
      <c r="Y75" s="13"/>
      <c r="Z75" s="13"/>
      <c r="AA75" s="13"/>
      <c r="AB75" s="88" t="s">
        <v>1597</v>
      </c>
      <c r="AC75" s="14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8"/>
    </row>
    <row r="76" spans="23:42" ht="15">
      <c r="W76" s="12" t="s">
        <v>1678</v>
      </c>
      <c r="X76" s="13"/>
      <c r="Y76" s="13"/>
      <c r="Z76" s="13"/>
      <c r="AA76" s="13"/>
      <c r="AB76" s="88" t="s">
        <v>1597</v>
      </c>
      <c r="AC76" s="14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6"/>
    </row>
    <row r="77" spans="23:42" ht="15">
      <c r="W77" s="12" t="s">
        <v>1679</v>
      </c>
      <c r="X77" s="13"/>
      <c r="Y77" s="13"/>
      <c r="Z77" s="13"/>
      <c r="AA77" s="13"/>
      <c r="AB77" s="88" t="s">
        <v>1597</v>
      </c>
      <c r="AC77" s="14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8"/>
    </row>
    <row r="78" spans="23:42" ht="15">
      <c r="W78" s="12" t="s">
        <v>1680</v>
      </c>
      <c r="X78" s="13"/>
      <c r="Y78" s="13"/>
      <c r="Z78" s="13"/>
      <c r="AA78" s="13"/>
      <c r="AB78" s="88" t="s">
        <v>1597</v>
      </c>
      <c r="AC78" s="14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6"/>
    </row>
    <row r="79" spans="23:42" ht="15">
      <c r="W79" s="12" t="s">
        <v>1681</v>
      </c>
      <c r="X79" s="13"/>
      <c r="Y79" s="13"/>
      <c r="Z79" s="13"/>
      <c r="AA79" s="13"/>
      <c r="AB79" s="88" t="s">
        <v>1597</v>
      </c>
      <c r="AC79" s="14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8"/>
    </row>
    <row r="80" spans="23:42" ht="15">
      <c r="W80" s="12" t="s">
        <v>1682</v>
      </c>
      <c r="X80" s="13"/>
      <c r="Y80" s="13"/>
      <c r="Z80" s="13"/>
      <c r="AA80" s="13"/>
      <c r="AB80" s="88" t="s">
        <v>1625</v>
      </c>
      <c r="AC80" s="14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6"/>
    </row>
    <row r="81" spans="23:42" ht="15">
      <c r="W81" s="12" t="s">
        <v>1683</v>
      </c>
      <c r="X81" s="13"/>
      <c r="Y81" s="13"/>
      <c r="Z81" s="13"/>
      <c r="AA81" s="13"/>
      <c r="AB81" s="88" t="s">
        <v>1597</v>
      </c>
      <c r="AC81" s="14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8"/>
    </row>
    <row r="82" spans="23:42" ht="15">
      <c r="W82" s="12" t="s">
        <v>1684</v>
      </c>
      <c r="X82" s="13"/>
      <c r="Y82" s="13"/>
      <c r="Z82" s="13"/>
      <c r="AA82" s="13"/>
      <c r="AB82" s="88" t="s">
        <v>1597</v>
      </c>
      <c r="AC82" s="14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6"/>
    </row>
    <row r="83" spans="23:42" ht="15">
      <c r="W83" s="12" t="s">
        <v>1685</v>
      </c>
      <c r="X83" s="13"/>
      <c r="Y83" s="13"/>
      <c r="Z83" s="13"/>
      <c r="AA83" s="13"/>
      <c r="AB83" s="88" t="s">
        <v>1597</v>
      </c>
      <c r="AC83" s="14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8"/>
    </row>
    <row r="84" spans="23:42" ht="15">
      <c r="W84" s="12" t="s">
        <v>1686</v>
      </c>
      <c r="X84" s="13"/>
      <c r="Y84" s="13"/>
      <c r="Z84" s="13"/>
      <c r="AA84" s="13"/>
      <c r="AB84" s="88" t="s">
        <v>1597</v>
      </c>
      <c r="AC84" s="14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6"/>
    </row>
    <row r="85" spans="23:42" ht="15">
      <c r="W85" s="12" t="s">
        <v>1687</v>
      </c>
      <c r="X85" s="13"/>
      <c r="Y85" s="13"/>
      <c r="Z85" s="13"/>
      <c r="AA85" s="13"/>
      <c r="AB85" s="88" t="s">
        <v>1597</v>
      </c>
      <c r="AC85" s="14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8"/>
    </row>
    <row r="86" spans="23:42" ht="15">
      <c r="W86" s="12" t="s">
        <v>1688</v>
      </c>
      <c r="X86" s="13"/>
      <c r="Y86" s="13"/>
      <c r="Z86" s="13"/>
      <c r="AA86" s="13"/>
      <c r="AB86" s="88" t="s">
        <v>1600</v>
      </c>
      <c r="AC86" s="14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6"/>
    </row>
    <row r="87" spans="23:42" ht="15">
      <c r="W87" s="12" t="s">
        <v>1689</v>
      </c>
      <c r="X87" s="87"/>
      <c r="Y87" s="13"/>
      <c r="Z87" s="13"/>
      <c r="AA87" s="13"/>
      <c r="AB87" s="88" t="s">
        <v>1690</v>
      </c>
      <c r="AC87" s="14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8"/>
    </row>
    <row r="88" spans="23:42" ht="15">
      <c r="W88" s="12" t="s">
        <v>1691</v>
      </c>
      <c r="X88" s="87"/>
      <c r="Y88" s="13"/>
      <c r="Z88" s="13"/>
      <c r="AA88" s="13"/>
      <c r="AB88" s="88" t="s">
        <v>1597</v>
      </c>
      <c r="AC88" s="14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6"/>
    </row>
    <row r="89" spans="23:42" ht="15">
      <c r="W89" s="12" t="s">
        <v>1692</v>
      </c>
      <c r="X89" s="87"/>
      <c r="Y89" s="13"/>
      <c r="Z89" s="13"/>
      <c r="AA89" s="13"/>
      <c r="AB89" s="88" t="s">
        <v>1597</v>
      </c>
      <c r="AC89" s="14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8"/>
    </row>
    <row r="90" spans="23:42" ht="15">
      <c r="W90" s="12" t="s">
        <v>1693</v>
      </c>
      <c r="X90" s="87"/>
      <c r="Y90" s="13"/>
      <c r="Z90" s="13"/>
      <c r="AA90" s="13"/>
      <c r="AB90" s="88" t="s">
        <v>1597</v>
      </c>
      <c r="AC90" s="14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6"/>
    </row>
    <row r="91" spans="23:42" ht="15">
      <c r="W91" s="12" t="s">
        <v>1694</v>
      </c>
      <c r="X91" s="87"/>
      <c r="Y91" s="13"/>
      <c r="Z91" s="13"/>
      <c r="AA91" s="13"/>
      <c r="AB91" s="88" t="s">
        <v>1597</v>
      </c>
      <c r="AC91" s="14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8"/>
    </row>
    <row r="92" spans="23:42" ht="15">
      <c r="W92" s="12" t="s">
        <v>1695</v>
      </c>
      <c r="X92" s="87"/>
      <c r="Y92" s="13"/>
      <c r="Z92" s="13"/>
      <c r="AA92" s="13"/>
      <c r="AB92" s="88" t="s">
        <v>1597</v>
      </c>
      <c r="AC92" s="14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6"/>
    </row>
    <row r="93" spans="23:42" ht="15">
      <c r="W93" s="12" t="s">
        <v>1696</v>
      </c>
      <c r="X93" s="87"/>
      <c r="Y93" s="13"/>
      <c r="Z93" s="13"/>
      <c r="AA93" s="13"/>
      <c r="AB93" s="88" t="s">
        <v>1697</v>
      </c>
      <c r="AC93" s="14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8"/>
    </row>
    <row r="94" spans="23:42" ht="15">
      <c r="W94" s="12" t="s">
        <v>1698</v>
      </c>
      <c r="X94" s="87"/>
      <c r="Y94" s="13"/>
      <c r="Z94" s="13"/>
      <c r="AA94" s="13"/>
      <c r="AB94" s="88" t="s">
        <v>1597</v>
      </c>
      <c r="AC94" s="14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6"/>
    </row>
    <row r="95" spans="23:42" ht="15">
      <c r="W95" s="12" t="s">
        <v>1699</v>
      </c>
      <c r="X95" s="87"/>
      <c r="Y95" s="13"/>
      <c r="Z95" s="13"/>
      <c r="AA95" s="13"/>
      <c r="AB95" s="88" t="s">
        <v>1597</v>
      </c>
      <c r="AC95" s="14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8"/>
    </row>
    <row r="96" spans="23:42" ht="15">
      <c r="W96" s="12" t="s">
        <v>1700</v>
      </c>
      <c r="X96" s="87"/>
      <c r="Y96" s="13"/>
      <c r="Z96" s="13"/>
      <c r="AA96" s="13"/>
      <c r="AB96" s="88" t="s">
        <v>1597</v>
      </c>
      <c r="AC96" s="14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6"/>
    </row>
    <row r="97" spans="23:42" ht="15">
      <c r="W97" s="12" t="s">
        <v>1701</v>
      </c>
      <c r="X97" s="87"/>
      <c r="Y97" s="13"/>
      <c r="Z97" s="13"/>
      <c r="AA97" s="13"/>
      <c r="AB97" s="88" t="s">
        <v>1597</v>
      </c>
      <c r="AC97" s="14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8"/>
    </row>
    <row r="98" spans="23:42" ht="15">
      <c r="W98" s="12" t="s">
        <v>1702</v>
      </c>
      <c r="X98" s="87"/>
      <c r="Y98" s="13"/>
      <c r="Z98" s="13"/>
      <c r="AA98" s="13"/>
      <c r="AB98" s="88" t="s">
        <v>1597</v>
      </c>
      <c r="AC98" s="14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6"/>
    </row>
    <row r="99" spans="23:42" ht="15">
      <c r="W99" s="12" t="s">
        <v>1703</v>
      </c>
      <c r="X99" s="87"/>
      <c r="Y99" s="13"/>
      <c r="Z99" s="13"/>
      <c r="AA99" s="13"/>
      <c r="AB99" s="88" t="s">
        <v>1597</v>
      </c>
      <c r="AC99" s="14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8"/>
    </row>
    <row r="100" spans="23:42" ht="15">
      <c r="W100" s="12" t="s">
        <v>1704</v>
      </c>
      <c r="X100" s="87"/>
      <c r="Y100" s="13"/>
      <c r="Z100" s="13"/>
      <c r="AA100" s="13"/>
      <c r="AB100" s="88" t="s">
        <v>1597</v>
      </c>
      <c r="AC100" s="14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6"/>
    </row>
    <row r="101" spans="23:42" ht="15">
      <c r="W101" s="12" t="s">
        <v>1705</v>
      </c>
      <c r="X101" s="87"/>
      <c r="Y101" s="13"/>
      <c r="Z101" s="13"/>
      <c r="AA101" s="13"/>
      <c r="AB101" s="88" t="s">
        <v>1625</v>
      </c>
      <c r="AC101" s="14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8"/>
    </row>
    <row r="102" spans="23:42" ht="15">
      <c r="W102" s="12" t="s">
        <v>1706</v>
      </c>
      <c r="X102" s="87"/>
      <c r="Y102" s="13"/>
      <c r="Z102" s="13"/>
      <c r="AA102" s="13"/>
      <c r="AB102" s="88" t="s">
        <v>1610</v>
      </c>
      <c r="AC102" s="14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6"/>
    </row>
    <row r="103" spans="23:42" ht="15">
      <c r="W103" s="12" t="s">
        <v>1707</v>
      </c>
      <c r="X103" s="87"/>
      <c r="Y103" s="13"/>
      <c r="Z103" s="13"/>
      <c r="AA103" s="13"/>
      <c r="AB103" s="88" t="s">
        <v>1600</v>
      </c>
      <c r="AC103" s="14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8"/>
    </row>
    <row r="104" spans="23:42" ht="15">
      <c r="W104" s="12" t="s">
        <v>1708</v>
      </c>
      <c r="X104" s="87"/>
      <c r="Y104" s="13"/>
      <c r="Z104" s="13"/>
      <c r="AA104" s="13"/>
      <c r="AB104" s="88" t="s">
        <v>1597</v>
      </c>
      <c r="AC104" s="14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6"/>
    </row>
    <row r="105" spans="23:42" ht="15">
      <c r="W105" s="12" t="s">
        <v>1709</v>
      </c>
      <c r="X105" s="87"/>
      <c r="Y105" s="13"/>
      <c r="Z105" s="13"/>
      <c r="AA105" s="13"/>
      <c r="AB105" s="88" t="s">
        <v>1597</v>
      </c>
      <c r="AC105" s="14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8"/>
    </row>
    <row r="106" spans="23:42" ht="15">
      <c r="W106" s="12" t="s">
        <v>1710</v>
      </c>
      <c r="X106" s="87"/>
      <c r="Y106" s="13"/>
      <c r="Z106" s="13"/>
      <c r="AA106" s="13"/>
      <c r="AB106" s="88" t="s">
        <v>1655</v>
      </c>
      <c r="AC106" s="14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6"/>
    </row>
    <row r="107" spans="23:42" ht="15">
      <c r="W107" s="12" t="s">
        <v>1711</v>
      </c>
      <c r="X107" s="87"/>
      <c r="Y107" s="13"/>
      <c r="Z107" s="13"/>
      <c r="AA107" s="13"/>
      <c r="AB107" s="88" t="s">
        <v>1597</v>
      </c>
      <c r="AC107" s="14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8"/>
    </row>
    <row r="108" spans="23:42" ht="15">
      <c r="W108" s="12" t="s">
        <v>1712</v>
      </c>
      <c r="X108" s="87"/>
      <c r="Y108" s="13"/>
      <c r="Z108" s="13"/>
      <c r="AA108" s="13"/>
      <c r="AB108" s="88" t="s">
        <v>1597</v>
      </c>
      <c r="AC108" s="14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6"/>
    </row>
    <row r="109" spans="23:42" ht="15">
      <c r="W109" s="12" t="s">
        <v>1713</v>
      </c>
      <c r="X109" s="87"/>
      <c r="Y109" s="13"/>
      <c r="Z109" s="13"/>
      <c r="AA109" s="13"/>
      <c r="AB109" s="88" t="s">
        <v>1597</v>
      </c>
      <c r="AC109" s="14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8"/>
    </row>
    <row r="110" spans="23:42" ht="15">
      <c r="W110" s="12" t="s">
        <v>1714</v>
      </c>
      <c r="X110" s="87"/>
      <c r="Y110" s="13"/>
      <c r="Z110" s="13"/>
      <c r="AA110" s="13"/>
      <c r="AB110" s="88" t="s">
        <v>1597</v>
      </c>
      <c r="AC110" s="14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6"/>
    </row>
    <row r="111" spans="23:42" ht="15">
      <c r="W111" s="12" t="s">
        <v>1715</v>
      </c>
      <c r="X111" s="87"/>
      <c r="Y111" s="13"/>
      <c r="Z111" s="13"/>
      <c r="AA111" s="13"/>
      <c r="AB111" s="88" t="s">
        <v>1597</v>
      </c>
      <c r="AC111" s="14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8"/>
    </row>
    <row r="112" spans="23:42" ht="15">
      <c r="W112" s="12" t="s">
        <v>1716</v>
      </c>
      <c r="X112" s="87"/>
      <c r="Y112" s="13"/>
      <c r="Z112" s="13"/>
      <c r="AA112" s="13"/>
      <c r="AB112" s="88" t="s">
        <v>1637</v>
      </c>
      <c r="AC112" s="14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6"/>
    </row>
    <row r="113" spans="23:42" ht="15">
      <c r="W113" s="12" t="s">
        <v>1717</v>
      </c>
      <c r="X113" s="87"/>
      <c r="Y113" s="13"/>
      <c r="Z113" s="13"/>
      <c r="AA113" s="13"/>
      <c r="AB113" s="88" t="s">
        <v>1597</v>
      </c>
      <c r="AC113" s="14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8"/>
    </row>
    <row r="114" spans="23:42" ht="15">
      <c r="W114" s="12" t="s">
        <v>1718</v>
      </c>
      <c r="X114" s="87"/>
      <c r="Y114" s="13"/>
      <c r="Z114" s="13"/>
      <c r="AA114" s="13"/>
      <c r="AB114" s="88" t="s">
        <v>1597</v>
      </c>
      <c r="AC114" s="14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6"/>
    </row>
    <row r="115" spans="23:42" ht="15">
      <c r="W115" s="12" t="s">
        <v>1719</v>
      </c>
      <c r="X115" s="87"/>
      <c r="Y115" s="13"/>
      <c r="Z115" s="13"/>
      <c r="AA115" s="13"/>
      <c r="AB115" s="88" t="s">
        <v>1637</v>
      </c>
      <c r="AC115" s="14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8"/>
    </row>
    <row r="116" spans="23:42" ht="15">
      <c r="W116" s="12" t="s">
        <v>1720</v>
      </c>
      <c r="X116" s="87"/>
      <c r="Y116" s="13"/>
      <c r="Z116" s="13"/>
      <c r="AA116" s="13"/>
      <c r="AB116" s="88" t="s">
        <v>1637</v>
      </c>
      <c r="AC116" s="14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6"/>
    </row>
    <row r="117" spans="23:42" ht="15">
      <c r="W117" s="12" t="s">
        <v>1721</v>
      </c>
      <c r="X117" s="87"/>
      <c r="Y117" s="13"/>
      <c r="Z117" s="13"/>
      <c r="AA117" s="13"/>
      <c r="AB117" s="88" t="s">
        <v>1597</v>
      </c>
      <c r="AC117" s="14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8"/>
    </row>
    <row r="118" spans="23:42" ht="15">
      <c r="W118" s="12" t="s">
        <v>1722</v>
      </c>
      <c r="X118" s="87"/>
      <c r="Y118" s="13"/>
      <c r="Z118" s="13"/>
      <c r="AA118" s="13"/>
      <c r="AB118" s="88" t="s">
        <v>1597</v>
      </c>
      <c r="AC118" s="14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6"/>
    </row>
    <row r="119" spans="23:42" ht="15">
      <c r="W119" s="12" t="s">
        <v>1723</v>
      </c>
      <c r="X119" s="87"/>
      <c r="Y119" s="13"/>
      <c r="Z119" s="13"/>
      <c r="AA119" s="13"/>
      <c r="AB119" s="88" t="s">
        <v>1597</v>
      </c>
      <c r="AC119" s="14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8"/>
    </row>
    <row r="120" spans="23:42" ht="15">
      <c r="W120" s="12" t="s">
        <v>1724</v>
      </c>
      <c r="X120" s="87"/>
      <c r="Y120" s="13"/>
      <c r="Z120" s="13"/>
      <c r="AA120" s="13"/>
      <c r="AB120" s="88" t="s">
        <v>1632</v>
      </c>
      <c r="AC120" s="14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6"/>
    </row>
    <row r="121" spans="23:42" ht="15">
      <c r="W121" s="12" t="s">
        <v>1725</v>
      </c>
      <c r="X121" s="87"/>
      <c r="Y121" s="13"/>
      <c r="Z121" s="13"/>
      <c r="AA121" s="13"/>
      <c r="AB121" s="88" t="s">
        <v>1597</v>
      </c>
      <c r="AC121" s="14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8"/>
    </row>
    <row r="122" spans="23:42" ht="15">
      <c r="W122" s="12" t="s">
        <v>1726</v>
      </c>
      <c r="X122" s="87"/>
      <c r="Y122" s="13"/>
      <c r="Z122" s="13"/>
      <c r="AA122" s="13"/>
      <c r="AB122" s="88" t="s">
        <v>1597</v>
      </c>
      <c r="AC122" s="14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6"/>
    </row>
    <row r="123" spans="23:42" ht="15">
      <c r="W123" s="12" t="s">
        <v>1727</v>
      </c>
      <c r="X123" s="87"/>
      <c r="Y123" s="13"/>
      <c r="Z123" s="13"/>
      <c r="AA123" s="13"/>
      <c r="AB123" s="88" t="s">
        <v>1597</v>
      </c>
      <c r="AC123" s="14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8"/>
    </row>
    <row r="124" spans="23:42" ht="15">
      <c r="W124" s="12" t="s">
        <v>1728</v>
      </c>
      <c r="X124" s="87"/>
      <c r="Y124" s="13"/>
      <c r="Z124" s="13"/>
      <c r="AA124" s="13"/>
      <c r="AB124" s="88" t="s">
        <v>1597</v>
      </c>
      <c r="AC124" s="14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6"/>
    </row>
    <row r="125" spans="23:42" ht="15">
      <c r="W125" s="12" t="s">
        <v>1729</v>
      </c>
      <c r="X125" s="87"/>
      <c r="Y125" s="13"/>
      <c r="Z125" s="13"/>
      <c r="AA125" s="13"/>
      <c r="AB125" s="88" t="s">
        <v>1600</v>
      </c>
      <c r="AC125" s="14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8"/>
    </row>
    <row r="126" spans="23:42" ht="15">
      <c r="W126" s="12" t="s">
        <v>1541</v>
      </c>
      <c r="X126" s="87"/>
      <c r="Y126" s="13"/>
      <c r="Z126" s="13"/>
      <c r="AA126" s="13"/>
      <c r="AB126" s="88" t="s">
        <v>1614</v>
      </c>
      <c r="AC126" s="14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6"/>
    </row>
    <row r="127" spans="23:42" ht="15">
      <c r="W127" s="12" t="s">
        <v>1730</v>
      </c>
      <c r="X127" s="87"/>
      <c r="Y127" s="13"/>
      <c r="Z127" s="13"/>
      <c r="AA127" s="13"/>
      <c r="AB127" s="88" t="s">
        <v>1597</v>
      </c>
      <c r="AC127" s="14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8"/>
    </row>
    <row r="128" spans="23:42" ht="15">
      <c r="W128" s="12" t="s">
        <v>1731</v>
      </c>
      <c r="X128" s="87"/>
      <c r="Y128" s="13"/>
      <c r="Z128" s="13"/>
      <c r="AA128" s="13"/>
      <c r="AB128" s="88" t="s">
        <v>1597</v>
      </c>
      <c r="AC128" s="14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6"/>
    </row>
    <row r="129" spans="23:42" ht="15">
      <c r="W129" s="12" t="s">
        <v>1732</v>
      </c>
      <c r="X129" s="87"/>
      <c r="Y129" s="13"/>
      <c r="Z129" s="13"/>
      <c r="AA129" s="13"/>
      <c r="AB129" s="88" t="s">
        <v>1597</v>
      </c>
      <c r="AC129" s="14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8"/>
    </row>
    <row r="130" spans="23:42" ht="15">
      <c r="W130" s="12" t="s">
        <v>1733</v>
      </c>
      <c r="X130" s="87"/>
      <c r="Y130" s="13"/>
      <c r="Z130" s="13"/>
      <c r="AA130" s="13"/>
      <c r="AB130" s="88" t="s">
        <v>1597</v>
      </c>
      <c r="AC130" s="14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6"/>
    </row>
    <row r="131" spans="23:42" ht="15">
      <c r="W131" s="12"/>
      <c r="X131" s="87"/>
      <c r="Y131" s="13"/>
      <c r="Z131" s="13"/>
      <c r="AA131" s="13"/>
      <c r="AB131" s="88"/>
      <c r="AC131" s="14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8"/>
    </row>
    <row r="132" spans="23:42" ht="15">
      <c r="W132" s="83" t="s">
        <v>2211</v>
      </c>
      <c r="X132" s="8"/>
      <c r="Y132" s="8"/>
      <c r="Z132" s="8"/>
      <c r="AA132" s="9"/>
      <c r="AB132" s="83" t="s">
        <v>2208</v>
      </c>
      <c r="AC132" s="9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6"/>
    </row>
    <row r="133" spans="23:42" ht="15">
      <c r="W133" s="85"/>
      <c r="X133" s="13"/>
      <c r="Y133" s="13"/>
      <c r="Z133" s="13"/>
      <c r="AA133" s="14"/>
      <c r="AB133" s="85"/>
      <c r="AC133" s="14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8"/>
    </row>
    <row r="134" spans="23:42" ht="15">
      <c r="W134" s="12" t="s">
        <v>1734</v>
      </c>
      <c r="X134" s="13"/>
      <c r="Y134" s="13"/>
      <c r="Z134" s="13"/>
      <c r="AA134" s="14"/>
      <c r="AB134" s="88" t="s">
        <v>1735</v>
      </c>
      <c r="AC134" s="14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6"/>
    </row>
    <row r="135" spans="23:42" ht="15">
      <c r="W135" s="12" t="s">
        <v>1736</v>
      </c>
      <c r="X135" s="13"/>
      <c r="Y135" s="13"/>
      <c r="Z135" s="13"/>
      <c r="AA135" s="14"/>
      <c r="AB135" s="88" t="s">
        <v>1543</v>
      </c>
      <c r="AC135" s="14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8"/>
    </row>
    <row r="136" spans="23:42" ht="15">
      <c r="W136" s="12" t="s">
        <v>1737</v>
      </c>
      <c r="X136" s="13"/>
      <c r="Y136" s="13"/>
      <c r="Z136" s="13"/>
      <c r="AA136" s="14"/>
      <c r="AB136" s="88" t="s">
        <v>1543</v>
      </c>
      <c r="AC136" s="14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6"/>
    </row>
    <row r="137" spans="23:42" ht="15">
      <c r="W137" s="12" t="s">
        <v>1738</v>
      </c>
      <c r="X137" s="13"/>
      <c r="Y137" s="13"/>
      <c r="Z137" s="13"/>
      <c r="AA137" s="14"/>
      <c r="AB137" s="88" t="s">
        <v>1543</v>
      </c>
      <c r="AC137" s="14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8"/>
    </row>
    <row r="138" spans="23:42" ht="15">
      <c r="W138" s="12" t="s">
        <v>1739</v>
      </c>
      <c r="X138" s="13"/>
      <c r="Y138" s="13"/>
      <c r="Z138" s="13"/>
      <c r="AA138" s="14"/>
      <c r="AB138" s="88" t="s">
        <v>1543</v>
      </c>
      <c r="AC138" s="14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6"/>
    </row>
    <row r="139" spans="23:42" ht="15">
      <c r="W139" s="12" t="s">
        <v>1740</v>
      </c>
      <c r="X139" s="13"/>
      <c r="Y139" s="13"/>
      <c r="Z139" s="13"/>
      <c r="AA139" s="14"/>
      <c r="AB139" s="88" t="s">
        <v>1543</v>
      </c>
      <c r="AC139" s="14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8"/>
    </row>
    <row r="140" spans="23:42" ht="15">
      <c r="W140" s="12" t="s">
        <v>1741</v>
      </c>
      <c r="X140" s="13"/>
      <c r="Y140" s="13"/>
      <c r="Z140" s="13"/>
      <c r="AA140" s="14"/>
      <c r="AB140" s="88" t="s">
        <v>1543</v>
      </c>
      <c r="AC140" s="14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6"/>
    </row>
    <row r="141" spans="23:42" ht="15">
      <c r="W141" s="12" t="s">
        <v>1742</v>
      </c>
      <c r="X141" s="13"/>
      <c r="Y141" s="13"/>
      <c r="Z141" s="13"/>
      <c r="AA141" s="14"/>
      <c r="AB141" s="88" t="s">
        <v>1543</v>
      </c>
      <c r="AC141" s="14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8"/>
    </row>
    <row r="142" spans="23:42" ht="15">
      <c r="W142" s="12" t="s">
        <v>1743</v>
      </c>
      <c r="X142" s="13"/>
      <c r="Y142" s="13"/>
      <c r="Z142" s="13"/>
      <c r="AA142" s="14"/>
      <c r="AB142" s="88" t="s">
        <v>1744</v>
      </c>
      <c r="AC142" s="14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6"/>
    </row>
    <row r="143" spans="23:42" ht="15">
      <c r="W143" s="12" t="s">
        <v>1745</v>
      </c>
      <c r="X143" s="13"/>
      <c r="Y143" s="13"/>
      <c r="Z143" s="13"/>
      <c r="AA143" s="14"/>
      <c r="AB143" s="88" t="s">
        <v>1744</v>
      </c>
      <c r="AC143" s="14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8"/>
    </row>
    <row r="144" spans="23:42" ht="15">
      <c r="W144" s="12" t="s">
        <v>1746</v>
      </c>
      <c r="X144" s="13"/>
      <c r="Y144" s="13"/>
      <c r="Z144" s="13"/>
      <c r="AA144" s="14"/>
      <c r="AB144" s="88" t="s">
        <v>1744</v>
      </c>
      <c r="AC144" s="14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6"/>
    </row>
    <row r="145" spans="23:42" ht="15">
      <c r="W145" s="12" t="s">
        <v>1747</v>
      </c>
      <c r="X145" s="13"/>
      <c r="Y145" s="13"/>
      <c r="Z145" s="13"/>
      <c r="AA145" s="14"/>
      <c r="AB145" s="88" t="s">
        <v>1744</v>
      </c>
      <c r="AC145" s="14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8"/>
    </row>
    <row r="146" spans="23:42" ht="15">
      <c r="W146" s="12" t="s">
        <v>1748</v>
      </c>
      <c r="X146" s="13"/>
      <c r="Y146" s="13"/>
      <c r="Z146" s="13"/>
      <c r="AA146" s="14"/>
      <c r="AB146" s="88" t="s">
        <v>1749</v>
      </c>
      <c r="AC146" s="14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6"/>
    </row>
    <row r="147" spans="23:42" ht="15">
      <c r="W147" s="12" t="s">
        <v>1750</v>
      </c>
      <c r="X147" s="13"/>
      <c r="Y147" s="13"/>
      <c r="Z147" s="13"/>
      <c r="AA147" s="14"/>
      <c r="AB147" s="88" t="s">
        <v>1749</v>
      </c>
      <c r="AC147" s="14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8"/>
    </row>
    <row r="148" spans="23:42" ht="15">
      <c r="W148" s="12" t="s">
        <v>1751</v>
      </c>
      <c r="X148" s="13"/>
      <c r="Y148" s="13"/>
      <c r="Z148" s="13"/>
      <c r="AA148" s="14"/>
      <c r="AB148" s="88" t="s">
        <v>1749</v>
      </c>
      <c r="AC148" s="14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6"/>
    </row>
    <row r="149" spans="23:42" ht="15">
      <c r="W149" s="12" t="s">
        <v>1752</v>
      </c>
      <c r="X149" s="13"/>
      <c r="Y149" s="13"/>
      <c r="Z149" s="13"/>
      <c r="AA149" s="14"/>
      <c r="AB149" s="88" t="s">
        <v>1749</v>
      </c>
      <c r="AC149" s="14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8"/>
    </row>
    <row r="150" spans="23:42" ht="15">
      <c r="W150" s="12" t="s">
        <v>1753</v>
      </c>
      <c r="X150" s="13"/>
      <c r="Y150" s="13"/>
      <c r="Z150" s="13"/>
      <c r="AA150" s="14"/>
      <c r="AB150" s="88" t="s">
        <v>1749</v>
      </c>
      <c r="AC150" s="14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6"/>
    </row>
    <row r="151" spans="23:42" ht="15">
      <c r="W151" s="12" t="s">
        <v>1754</v>
      </c>
      <c r="X151" s="13"/>
      <c r="Y151" s="13"/>
      <c r="Z151" s="13"/>
      <c r="AA151" s="14"/>
      <c r="AB151" s="88" t="s">
        <v>1755</v>
      </c>
      <c r="AC151" s="14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8"/>
    </row>
    <row r="152" spans="23:42" ht="15">
      <c r="W152" s="12" t="s">
        <v>1756</v>
      </c>
      <c r="X152" s="13"/>
      <c r="Y152" s="13"/>
      <c r="Z152" s="13"/>
      <c r="AA152" s="14"/>
      <c r="AB152" s="88" t="s">
        <v>1755</v>
      </c>
      <c r="AC152" s="14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6"/>
    </row>
    <row r="153" spans="23:42" ht="15">
      <c r="W153" s="12" t="s">
        <v>1757</v>
      </c>
      <c r="X153" s="13"/>
      <c r="Y153" s="13"/>
      <c r="Z153" s="13"/>
      <c r="AA153" s="14"/>
      <c r="AB153" s="88" t="s">
        <v>2213</v>
      </c>
      <c r="AC153" s="14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8"/>
    </row>
    <row r="154" spans="23:42" ht="15">
      <c r="W154" s="12" t="s">
        <v>1758</v>
      </c>
      <c r="X154" s="13"/>
      <c r="Y154" s="13"/>
      <c r="Z154" s="13"/>
      <c r="AA154" s="14"/>
      <c r="AB154" s="88" t="s">
        <v>2213</v>
      </c>
      <c r="AC154" s="14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6"/>
    </row>
    <row r="155" spans="23:42" ht="15">
      <c r="W155" s="12" t="s">
        <v>1759</v>
      </c>
      <c r="X155" s="13"/>
      <c r="Y155" s="13"/>
      <c r="Z155" s="13"/>
      <c r="AA155" s="14"/>
      <c r="AB155" s="88" t="s">
        <v>1544</v>
      </c>
      <c r="AC155" s="14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8"/>
    </row>
    <row r="156" spans="23:42" ht="15">
      <c r="W156" s="12" t="s">
        <v>1760</v>
      </c>
      <c r="X156" s="13"/>
      <c r="Y156" s="13"/>
      <c r="Z156" s="13"/>
      <c r="AA156" s="14"/>
      <c r="AB156" s="88" t="s">
        <v>1544</v>
      </c>
      <c r="AC156" s="14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6"/>
    </row>
    <row r="157" spans="23:42" ht="15">
      <c r="W157" s="12" t="s">
        <v>1761</v>
      </c>
      <c r="X157" s="13"/>
      <c r="Y157" s="13"/>
      <c r="Z157" s="13"/>
      <c r="AA157" s="14"/>
      <c r="AB157" s="88" t="s">
        <v>1546</v>
      </c>
      <c r="AC157" s="14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8"/>
    </row>
    <row r="158" spans="23:42" ht="15">
      <c r="W158" s="12" t="s">
        <v>1762</v>
      </c>
      <c r="X158" s="13"/>
      <c r="Y158" s="13"/>
      <c r="Z158" s="13"/>
      <c r="AA158" s="14"/>
      <c r="AB158" s="88" t="s">
        <v>1546</v>
      </c>
      <c r="AC158" s="14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6"/>
    </row>
    <row r="159" spans="23:42" ht="15">
      <c r="W159" s="12" t="s">
        <v>1763</v>
      </c>
      <c r="X159" s="13"/>
      <c r="Y159" s="13"/>
      <c r="Z159" s="13"/>
      <c r="AA159" s="14"/>
      <c r="AB159" s="88" t="s">
        <v>1546</v>
      </c>
      <c r="AC159" s="14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8"/>
    </row>
    <row r="160" spans="23:42" ht="15">
      <c r="W160" s="12" t="s">
        <v>1764</v>
      </c>
      <c r="X160" s="13"/>
      <c r="Y160" s="13"/>
      <c r="Z160" s="13"/>
      <c r="AA160" s="14"/>
      <c r="AB160" s="88" t="s">
        <v>1546</v>
      </c>
      <c r="AC160" s="14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6"/>
    </row>
    <row r="161" spans="23:42" ht="15">
      <c r="W161" s="12" t="s">
        <v>1545</v>
      </c>
      <c r="X161" s="13"/>
      <c r="Y161" s="13"/>
      <c r="Z161" s="13"/>
      <c r="AA161" s="14"/>
      <c r="AB161" s="88" t="s">
        <v>1546</v>
      </c>
      <c r="AC161" s="14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8"/>
    </row>
    <row r="162" spans="23:42" ht="15">
      <c r="W162" s="12" t="s">
        <v>1765</v>
      </c>
      <c r="X162" s="13"/>
      <c r="Y162" s="13"/>
      <c r="Z162" s="13"/>
      <c r="AA162" s="14"/>
      <c r="AB162" s="88" t="s">
        <v>1546</v>
      </c>
      <c r="AC162" s="14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6"/>
    </row>
    <row r="163" spans="23:42" ht="15">
      <c r="W163" s="12" t="s">
        <v>1547</v>
      </c>
      <c r="X163" s="13"/>
      <c r="Y163" s="13"/>
      <c r="Z163" s="13"/>
      <c r="AA163" s="14"/>
      <c r="AB163" s="88" t="s">
        <v>1546</v>
      </c>
      <c r="AC163" s="14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8"/>
    </row>
    <row r="164" spans="23:42" ht="15">
      <c r="W164" s="12" t="s">
        <v>1766</v>
      </c>
      <c r="X164" s="13"/>
      <c r="Y164" s="13"/>
      <c r="Z164" s="13"/>
      <c r="AA164" s="14"/>
      <c r="AB164" s="88" t="s">
        <v>1546</v>
      </c>
      <c r="AC164" s="14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6"/>
    </row>
    <row r="165" spans="23:42" ht="15">
      <c r="W165" s="12" t="s">
        <v>1767</v>
      </c>
      <c r="X165" s="13"/>
      <c r="Y165" s="13"/>
      <c r="Z165" s="13"/>
      <c r="AA165" s="14"/>
      <c r="AB165" s="88" t="s">
        <v>1768</v>
      </c>
      <c r="AC165" s="14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8"/>
    </row>
    <row r="166" spans="23:42" ht="15">
      <c r="W166" s="12" t="s">
        <v>1769</v>
      </c>
      <c r="X166" s="13"/>
      <c r="Y166" s="13"/>
      <c r="Z166" s="13"/>
      <c r="AA166" s="14"/>
      <c r="AB166" s="88" t="s">
        <v>1768</v>
      </c>
      <c r="AC166" s="14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6"/>
    </row>
    <row r="167" spans="23:42" ht="15">
      <c r="W167" s="12" t="s">
        <v>1770</v>
      </c>
      <c r="X167" s="13"/>
      <c r="Y167" s="13"/>
      <c r="Z167" s="13"/>
      <c r="AA167" s="14"/>
      <c r="AB167" s="88" t="s">
        <v>1768</v>
      </c>
      <c r="AC167" s="14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8"/>
    </row>
    <row r="168" spans="23:42" ht="15">
      <c r="W168" s="12" t="s">
        <v>1771</v>
      </c>
      <c r="X168" s="13"/>
      <c r="Y168" s="13"/>
      <c r="Z168" s="13"/>
      <c r="AA168" s="14"/>
      <c r="AB168" s="88" t="s">
        <v>1768</v>
      </c>
      <c r="AC168" s="14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6"/>
    </row>
    <row r="169" spans="23:42" ht="15">
      <c r="W169" s="12" t="s">
        <v>1772</v>
      </c>
      <c r="X169" s="13"/>
      <c r="Y169" s="13"/>
      <c r="Z169" s="13"/>
      <c r="AA169" s="14"/>
      <c r="AB169" s="88" t="s">
        <v>1768</v>
      </c>
      <c r="AC169" s="14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8"/>
    </row>
    <row r="170" spans="23:42" ht="15">
      <c r="W170" s="12" t="s">
        <v>1773</v>
      </c>
      <c r="X170" s="13"/>
      <c r="Y170" s="13"/>
      <c r="Z170" s="13"/>
      <c r="AA170" s="14"/>
      <c r="AB170" s="88" t="s">
        <v>1768</v>
      </c>
      <c r="AC170" s="14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6"/>
    </row>
    <row r="171" spans="23:42" ht="15">
      <c r="W171" s="12" t="s">
        <v>1774</v>
      </c>
      <c r="X171" s="13"/>
      <c r="Y171" s="13"/>
      <c r="Z171" s="13"/>
      <c r="AA171" s="14"/>
      <c r="AB171" s="88" t="s">
        <v>1768</v>
      </c>
      <c r="AC171" s="14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8"/>
    </row>
    <row r="172" spans="23:42" ht="15">
      <c r="W172" s="12" t="s">
        <v>1775</v>
      </c>
      <c r="X172" s="13"/>
      <c r="Y172" s="13"/>
      <c r="Z172" s="13"/>
      <c r="AA172" s="14"/>
      <c r="AB172" s="88" t="s">
        <v>1768</v>
      </c>
      <c r="AC172" s="14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6"/>
    </row>
    <row r="173" spans="23:42" ht="15">
      <c r="W173" s="12" t="s">
        <v>1776</v>
      </c>
      <c r="X173" s="13"/>
      <c r="Y173" s="13"/>
      <c r="Z173" s="13"/>
      <c r="AA173" s="14"/>
      <c r="AB173" s="88" t="s">
        <v>1768</v>
      </c>
      <c r="AC173" s="14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8"/>
    </row>
    <row r="174" spans="23:42" ht="15">
      <c r="W174" s="12" t="s">
        <v>1777</v>
      </c>
      <c r="X174" s="13"/>
      <c r="Y174" s="13"/>
      <c r="Z174" s="13"/>
      <c r="AA174" s="14"/>
      <c r="AB174" s="88" t="s">
        <v>1768</v>
      </c>
      <c r="AC174" s="14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6"/>
    </row>
    <row r="175" spans="23:42" ht="15">
      <c r="W175" s="12" t="s">
        <v>1778</v>
      </c>
      <c r="X175" s="13"/>
      <c r="Y175" s="13"/>
      <c r="Z175" s="13"/>
      <c r="AA175" s="14"/>
      <c r="AB175" s="88" t="s">
        <v>1768</v>
      </c>
      <c r="AC175" s="14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8"/>
    </row>
    <row r="176" spans="23:42" ht="15">
      <c r="W176" s="12" t="s">
        <v>1779</v>
      </c>
      <c r="X176" s="13"/>
      <c r="Y176" s="13"/>
      <c r="Z176" s="13"/>
      <c r="AA176" s="14"/>
      <c r="AB176" s="88" t="s">
        <v>1768</v>
      </c>
      <c r="AC176" s="14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6"/>
    </row>
    <row r="177" spans="23:42" ht="15">
      <c r="W177" s="12" t="s">
        <v>1780</v>
      </c>
      <c r="X177" s="13"/>
      <c r="Y177" s="13"/>
      <c r="Z177" s="13"/>
      <c r="AA177" s="14"/>
      <c r="AB177" s="88" t="s">
        <v>1768</v>
      </c>
      <c r="AC177" s="14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8"/>
    </row>
    <row r="178" spans="23:42" ht="15">
      <c r="W178" s="12" t="s">
        <v>1781</v>
      </c>
      <c r="X178" s="13"/>
      <c r="Y178" s="13"/>
      <c r="Z178" s="13"/>
      <c r="AA178" s="14"/>
      <c r="AB178" s="88" t="s">
        <v>1768</v>
      </c>
      <c r="AC178" s="14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6"/>
    </row>
    <row r="179" spans="23:42" ht="15">
      <c r="W179" s="12" t="s">
        <v>1782</v>
      </c>
      <c r="X179" s="13"/>
      <c r="Y179" s="13"/>
      <c r="Z179" s="13"/>
      <c r="AA179" s="14"/>
      <c r="AB179" s="88" t="s">
        <v>1768</v>
      </c>
      <c r="AC179" s="14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8"/>
    </row>
    <row r="180" spans="23:42" ht="15">
      <c r="W180" s="12" t="s">
        <v>1783</v>
      </c>
      <c r="X180" s="13"/>
      <c r="Y180" s="13"/>
      <c r="Z180" s="13"/>
      <c r="AA180" s="14"/>
      <c r="AB180" s="88" t="s">
        <v>1784</v>
      </c>
      <c r="AC180" s="14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6"/>
    </row>
    <row r="181" spans="23:42" ht="15">
      <c r="W181" s="12" t="s">
        <v>1785</v>
      </c>
      <c r="X181" s="13"/>
      <c r="Y181" s="13"/>
      <c r="Z181" s="13"/>
      <c r="AA181" s="14"/>
      <c r="AB181" s="88" t="s">
        <v>1787</v>
      </c>
      <c r="AC181" s="14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8"/>
    </row>
    <row r="182" spans="23:42" ht="15">
      <c r="W182" s="12" t="s">
        <v>1786</v>
      </c>
      <c r="X182" s="13"/>
      <c r="Y182" s="13"/>
      <c r="Z182" s="13"/>
      <c r="AA182" s="14"/>
      <c r="AB182" s="88" t="s">
        <v>1787</v>
      </c>
      <c r="AC182" s="14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6"/>
    </row>
    <row r="183" spans="23:42" ht="15">
      <c r="W183" s="12" t="s">
        <v>1788</v>
      </c>
      <c r="X183" s="13"/>
      <c r="Y183" s="13"/>
      <c r="Z183" s="13"/>
      <c r="AA183" s="14"/>
      <c r="AB183" s="88" t="s">
        <v>1787</v>
      </c>
      <c r="AC183" s="14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8"/>
    </row>
    <row r="184" spans="23:42" ht="15">
      <c r="W184" s="12" t="s">
        <v>1789</v>
      </c>
      <c r="X184" s="13"/>
      <c r="Y184" s="13"/>
      <c r="Z184" s="13"/>
      <c r="AA184" s="14"/>
      <c r="AB184" s="88" t="s">
        <v>1787</v>
      </c>
      <c r="AC184" s="14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6"/>
    </row>
    <row r="185" spans="23:42" ht="15">
      <c r="W185" s="12" t="s">
        <v>1790</v>
      </c>
      <c r="X185" s="13"/>
      <c r="Y185" s="13"/>
      <c r="Z185" s="13"/>
      <c r="AA185" s="14"/>
      <c r="AB185" s="88" t="s">
        <v>1791</v>
      </c>
      <c r="AC185" s="14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8"/>
    </row>
    <row r="186" spans="23:42" ht="15">
      <c r="W186" s="12" t="s">
        <v>1792</v>
      </c>
      <c r="X186" s="13"/>
      <c r="Y186" s="13"/>
      <c r="Z186" s="13"/>
      <c r="AA186" s="14"/>
      <c r="AB186" s="88" t="s">
        <v>1791</v>
      </c>
      <c r="AC186" s="14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6"/>
    </row>
    <row r="187" spans="23:42" ht="15">
      <c r="W187" s="12" t="s">
        <v>1793</v>
      </c>
      <c r="X187" s="13"/>
      <c r="Y187" s="13"/>
      <c r="Z187" s="13"/>
      <c r="AA187" s="14"/>
      <c r="AB187" s="88" t="s">
        <v>1794</v>
      </c>
      <c r="AC187" s="14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8"/>
    </row>
    <row r="188" spans="23:42" ht="15">
      <c r="W188" s="12" t="s">
        <v>1795</v>
      </c>
      <c r="X188" s="13"/>
      <c r="Y188" s="13"/>
      <c r="Z188" s="13"/>
      <c r="AA188" s="14"/>
      <c r="AB188" s="88" t="s">
        <v>1794</v>
      </c>
      <c r="AC188" s="14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6"/>
    </row>
    <row r="189" spans="23:42" ht="15">
      <c r="W189" s="12" t="s">
        <v>1796</v>
      </c>
      <c r="X189" s="13"/>
      <c r="Y189" s="13"/>
      <c r="Z189" s="13"/>
      <c r="AA189" s="14"/>
      <c r="AB189" s="88" t="s">
        <v>1794</v>
      </c>
      <c r="AC189" s="14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8"/>
    </row>
    <row r="190" spans="23:42" ht="15">
      <c r="W190" s="12" t="s">
        <v>1797</v>
      </c>
      <c r="X190" s="13"/>
      <c r="Y190" s="13"/>
      <c r="Z190" s="13"/>
      <c r="AA190" s="14"/>
      <c r="AB190" s="88" t="s">
        <v>1794</v>
      </c>
      <c r="AC190" s="14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6"/>
    </row>
    <row r="191" spans="23:42" ht="15">
      <c r="W191" s="12" t="s">
        <v>1798</v>
      </c>
      <c r="X191" s="13"/>
      <c r="Y191" s="13"/>
      <c r="Z191" s="13"/>
      <c r="AA191" s="14"/>
      <c r="AB191" s="88" t="s">
        <v>1794</v>
      </c>
      <c r="AC191" s="14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8"/>
    </row>
    <row r="192" spans="23:42" ht="15">
      <c r="W192" s="12" t="s">
        <v>1799</v>
      </c>
      <c r="X192" s="13"/>
      <c r="Y192" s="13"/>
      <c r="Z192" s="13"/>
      <c r="AA192" s="14"/>
      <c r="AB192" s="88" t="s">
        <v>1794</v>
      </c>
      <c r="AC192" s="14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6"/>
    </row>
    <row r="193" spans="23:42" ht="15">
      <c r="W193" s="12" t="s">
        <v>1800</v>
      </c>
      <c r="X193" s="13"/>
      <c r="Y193" s="13"/>
      <c r="Z193" s="13"/>
      <c r="AA193" s="14"/>
      <c r="AB193" s="88" t="s">
        <v>1794</v>
      </c>
      <c r="AC193" s="14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8"/>
    </row>
    <row r="194" spans="23:42" ht="15">
      <c r="W194" s="12" t="s">
        <v>1801</v>
      </c>
      <c r="X194" s="13"/>
      <c r="Y194" s="13"/>
      <c r="Z194" s="13"/>
      <c r="AA194" s="14"/>
      <c r="AB194" s="88" t="s">
        <v>1794</v>
      </c>
      <c r="AC194" s="14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6"/>
    </row>
    <row r="195" spans="23:42" ht="15">
      <c r="W195" s="12" t="s">
        <v>1802</v>
      </c>
      <c r="X195" s="13"/>
      <c r="Y195" s="13"/>
      <c r="Z195" s="13"/>
      <c r="AA195" s="14"/>
      <c r="AB195" s="88" t="s">
        <v>1548</v>
      </c>
      <c r="AC195" s="14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8"/>
    </row>
    <row r="196" spans="23:42" ht="15">
      <c r="W196" s="12" t="s">
        <v>1803</v>
      </c>
      <c r="X196" s="13"/>
      <c r="Y196" s="13"/>
      <c r="Z196" s="13"/>
      <c r="AA196" s="14"/>
      <c r="AB196" s="88" t="s">
        <v>1548</v>
      </c>
      <c r="AC196" s="14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6"/>
    </row>
    <row r="197" spans="23:42" ht="15">
      <c r="W197" s="12" t="s">
        <v>1804</v>
      </c>
      <c r="X197" s="13"/>
      <c r="Y197" s="13"/>
      <c r="Z197" s="13"/>
      <c r="AA197" s="14"/>
      <c r="AB197" s="88" t="s">
        <v>1548</v>
      </c>
      <c r="AC197" s="14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8"/>
    </row>
    <row r="198" spans="23:42" ht="15">
      <c r="W198" s="12" t="s">
        <v>1805</v>
      </c>
      <c r="X198" s="13"/>
      <c r="Y198" s="13"/>
      <c r="Z198" s="13"/>
      <c r="AA198" s="14"/>
      <c r="AB198" s="88" t="s">
        <v>1548</v>
      </c>
      <c r="AC198" s="14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6"/>
    </row>
    <row r="199" spans="23:42" ht="15">
      <c r="W199" s="12" t="s">
        <v>1806</v>
      </c>
      <c r="X199" s="13"/>
      <c r="Y199" s="13"/>
      <c r="Z199" s="13"/>
      <c r="AA199" s="14"/>
      <c r="AB199" s="88" t="s">
        <v>1548</v>
      </c>
      <c r="AC199" s="14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8"/>
    </row>
    <row r="200" spans="23:42" ht="15">
      <c r="W200" s="12" t="s">
        <v>1807</v>
      </c>
      <c r="X200" s="13"/>
      <c r="Y200" s="13"/>
      <c r="Z200" s="13"/>
      <c r="AA200" s="14"/>
      <c r="AB200" s="88" t="s">
        <v>1548</v>
      </c>
      <c r="AC200" s="14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6"/>
    </row>
    <row r="201" spans="23:42" ht="15">
      <c r="W201" s="12" t="s">
        <v>1808</v>
      </c>
      <c r="X201" s="13"/>
      <c r="Y201" s="13"/>
      <c r="Z201" s="13"/>
      <c r="AA201" s="14"/>
      <c r="AB201" s="88" t="s">
        <v>1548</v>
      </c>
      <c r="AC201" s="14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8"/>
    </row>
    <row r="202" spans="23:42" ht="15">
      <c r="W202" s="12" t="s">
        <v>1809</v>
      </c>
      <c r="X202" s="13"/>
      <c r="Y202" s="13"/>
      <c r="Z202" s="13"/>
      <c r="AA202" s="14"/>
      <c r="AB202" s="88" t="s">
        <v>1548</v>
      </c>
      <c r="AC202" s="14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6"/>
    </row>
    <row r="203" spans="23:42" ht="15">
      <c r="W203" s="12" t="s">
        <v>1810</v>
      </c>
      <c r="X203" s="13"/>
      <c r="Y203" s="13"/>
      <c r="Z203" s="13"/>
      <c r="AA203" s="14"/>
      <c r="AB203" s="88" t="s">
        <v>1548</v>
      </c>
      <c r="AC203" s="14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8"/>
    </row>
    <row r="204" spans="23:42" ht="15">
      <c r="W204" s="12" t="s">
        <v>1811</v>
      </c>
      <c r="X204" s="13"/>
      <c r="Y204" s="13"/>
      <c r="Z204" s="13"/>
      <c r="AA204" s="14"/>
      <c r="AB204" s="88" t="s">
        <v>1548</v>
      </c>
      <c r="AC204" s="14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6"/>
    </row>
    <row r="205" spans="23:42" ht="15">
      <c r="W205" s="12" t="s">
        <v>1812</v>
      </c>
      <c r="X205" s="13"/>
      <c r="Y205" s="13"/>
      <c r="Z205" s="13"/>
      <c r="AA205" s="14"/>
      <c r="AB205" s="88" t="s">
        <v>1548</v>
      </c>
      <c r="AC205" s="14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8"/>
    </row>
    <row r="206" spans="23:42" ht="15">
      <c r="W206" s="12" t="s">
        <v>1813</v>
      </c>
      <c r="X206" s="13"/>
      <c r="Y206" s="13"/>
      <c r="Z206" s="13"/>
      <c r="AA206" s="14"/>
      <c r="AB206" s="88" t="s">
        <v>1548</v>
      </c>
      <c r="AC206" s="14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6"/>
    </row>
    <row r="207" spans="23:42" ht="15">
      <c r="W207" s="12" t="s">
        <v>1814</v>
      </c>
      <c r="X207" s="13"/>
      <c r="Y207" s="13"/>
      <c r="Z207" s="13"/>
      <c r="AA207" s="14"/>
      <c r="AB207" s="88" t="s">
        <v>1548</v>
      </c>
      <c r="AC207" s="14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8"/>
    </row>
    <row r="208" spans="23:42" ht="15">
      <c r="W208" s="12" t="s">
        <v>1815</v>
      </c>
      <c r="X208" s="13"/>
      <c r="Y208" s="13"/>
      <c r="Z208" s="13"/>
      <c r="AA208" s="14"/>
      <c r="AB208" s="88" t="s">
        <v>1548</v>
      </c>
      <c r="AC208" s="14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6"/>
    </row>
    <row r="209" spans="23:42" ht="15">
      <c r="W209" s="12" t="s">
        <v>1816</v>
      </c>
      <c r="X209" s="13"/>
      <c r="Y209" s="13"/>
      <c r="Z209" s="13"/>
      <c r="AA209" s="14"/>
      <c r="AB209" s="88" t="s">
        <v>1548</v>
      </c>
      <c r="AC209" s="14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8"/>
    </row>
    <row r="210" spans="23:42" ht="15">
      <c r="W210" s="12" t="s">
        <v>1817</v>
      </c>
      <c r="X210" s="13"/>
      <c r="Y210" s="13"/>
      <c r="Z210" s="13"/>
      <c r="AA210" s="14"/>
      <c r="AB210" s="88" t="s">
        <v>1548</v>
      </c>
      <c r="AC210" s="14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6"/>
    </row>
    <row r="211" spans="23:42" ht="15">
      <c r="W211" s="12" t="s">
        <v>1549</v>
      </c>
      <c r="X211" s="13"/>
      <c r="Y211" s="13"/>
      <c r="Z211" s="13"/>
      <c r="AA211" s="14"/>
      <c r="AB211" s="88" t="s">
        <v>1548</v>
      </c>
      <c r="AC211" s="14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8"/>
    </row>
    <row r="212" spans="23:42" ht="15">
      <c r="W212" s="12" t="s">
        <v>1818</v>
      </c>
      <c r="X212" s="13"/>
      <c r="Y212" s="13"/>
      <c r="Z212" s="13"/>
      <c r="AA212" s="14"/>
      <c r="AB212" s="88" t="s">
        <v>1548</v>
      </c>
      <c r="AC212" s="14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6"/>
    </row>
    <row r="213" spans="23:42" ht="15">
      <c r="W213" s="12" t="s">
        <v>1819</v>
      </c>
      <c r="X213" s="13"/>
      <c r="Y213" s="13"/>
      <c r="Z213" s="13"/>
      <c r="AA213" s="14"/>
      <c r="AB213" s="88" t="s">
        <v>1548</v>
      </c>
      <c r="AC213" s="14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8"/>
    </row>
    <row r="214" spans="23:42" ht="15">
      <c r="W214" s="12" t="s">
        <v>1550</v>
      </c>
      <c r="X214" s="13"/>
      <c r="Y214" s="13"/>
      <c r="Z214" s="13"/>
      <c r="AA214" s="14"/>
      <c r="AB214" s="88" t="s">
        <v>1548</v>
      </c>
      <c r="AC214" s="14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6"/>
    </row>
    <row r="215" spans="23:42" ht="15">
      <c r="W215" s="12" t="s">
        <v>1820</v>
      </c>
      <c r="X215" s="13"/>
      <c r="Y215" s="13"/>
      <c r="Z215" s="13"/>
      <c r="AA215" s="14"/>
      <c r="AB215" s="88" t="s">
        <v>1548</v>
      </c>
      <c r="AC215" s="14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8"/>
    </row>
    <row r="216" spans="23:42" ht="15">
      <c r="W216" s="12" t="s">
        <v>1821</v>
      </c>
      <c r="X216" s="13"/>
      <c r="Y216" s="13"/>
      <c r="Z216" s="13"/>
      <c r="AA216" s="14"/>
      <c r="AB216" s="88" t="s">
        <v>1548</v>
      </c>
      <c r="AC216" s="14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6"/>
    </row>
    <row r="217" spans="23:42" ht="15">
      <c r="W217" s="12" t="s">
        <v>1822</v>
      </c>
      <c r="X217" s="13"/>
      <c r="Y217" s="13"/>
      <c r="Z217" s="13"/>
      <c r="AA217" s="14"/>
      <c r="AB217" s="88" t="s">
        <v>1823</v>
      </c>
      <c r="AC217" s="14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8"/>
    </row>
    <row r="218" spans="23:42" ht="15">
      <c r="W218" s="12" t="s">
        <v>1824</v>
      </c>
      <c r="X218" s="13"/>
      <c r="Y218" s="13"/>
      <c r="Z218" s="13"/>
      <c r="AA218" s="14"/>
      <c r="AB218" s="88" t="s">
        <v>1823</v>
      </c>
      <c r="AC218" s="14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6"/>
    </row>
    <row r="219" spans="23:42" ht="15">
      <c r="W219" s="12" t="s">
        <v>1825</v>
      </c>
      <c r="X219" s="13"/>
      <c r="Y219" s="13"/>
      <c r="Z219" s="13"/>
      <c r="AA219" s="14"/>
      <c r="AB219" s="88" t="s">
        <v>1823</v>
      </c>
      <c r="AC219" s="14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8"/>
    </row>
    <row r="220" spans="23:42" ht="15">
      <c r="W220" s="12" t="s">
        <v>1826</v>
      </c>
      <c r="X220" s="13"/>
      <c r="Y220" s="13"/>
      <c r="Z220" s="13"/>
      <c r="AA220" s="14"/>
      <c r="AB220" s="88" t="s">
        <v>1823</v>
      </c>
      <c r="AC220" s="14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6"/>
    </row>
    <row r="221" spans="23:42" ht="15">
      <c r="W221" s="12" t="s">
        <v>1827</v>
      </c>
      <c r="X221" s="13"/>
      <c r="Y221" s="13"/>
      <c r="Z221" s="13"/>
      <c r="AA221" s="14"/>
      <c r="AB221" s="88" t="s">
        <v>1823</v>
      </c>
      <c r="AC221" s="14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8"/>
    </row>
    <row r="222" spans="23:42" ht="15">
      <c r="W222" s="12" t="s">
        <v>1828</v>
      </c>
      <c r="X222" s="13"/>
      <c r="Y222" s="13"/>
      <c r="Z222" s="13"/>
      <c r="AA222" s="14"/>
      <c r="AB222" s="88" t="s">
        <v>1823</v>
      </c>
      <c r="AC222" s="14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6"/>
    </row>
    <row r="223" spans="23:42" ht="15">
      <c r="W223" s="12" t="s">
        <v>1829</v>
      </c>
      <c r="X223" s="13"/>
      <c r="Y223" s="13"/>
      <c r="Z223" s="13"/>
      <c r="AA223" s="14"/>
      <c r="AB223" s="88" t="s">
        <v>1823</v>
      </c>
      <c r="AC223" s="14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8"/>
    </row>
    <row r="224" spans="23:42" ht="15">
      <c r="W224" s="12" t="s">
        <v>1830</v>
      </c>
      <c r="X224" s="13"/>
      <c r="Y224" s="13"/>
      <c r="Z224" s="13"/>
      <c r="AA224" s="14"/>
      <c r="AB224" s="88" t="s">
        <v>1823</v>
      </c>
      <c r="AC224" s="14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6"/>
    </row>
    <row r="225" spans="23:42" ht="15">
      <c r="W225" s="12" t="s">
        <v>1831</v>
      </c>
      <c r="X225" s="13"/>
      <c r="Y225" s="13"/>
      <c r="Z225" s="13"/>
      <c r="AA225" s="14"/>
      <c r="AB225" s="88" t="s">
        <v>1823</v>
      </c>
      <c r="AC225" s="14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8"/>
    </row>
    <row r="226" spans="23:42" ht="15">
      <c r="W226" s="12" t="s">
        <v>1832</v>
      </c>
      <c r="X226" s="13"/>
      <c r="Y226" s="13"/>
      <c r="Z226" s="13"/>
      <c r="AA226" s="14"/>
      <c r="AB226" s="88" t="s">
        <v>1823</v>
      </c>
      <c r="AC226" s="14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6"/>
    </row>
    <row r="227" spans="23:42" ht="15">
      <c r="W227" s="12" t="s">
        <v>1833</v>
      </c>
      <c r="X227" s="13"/>
      <c r="Y227" s="13"/>
      <c r="Z227" s="13"/>
      <c r="AA227" s="14"/>
      <c r="AB227" s="88" t="s">
        <v>1823</v>
      </c>
      <c r="AC227" s="14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8"/>
    </row>
    <row r="228" spans="23:42" ht="15">
      <c r="W228" s="12" t="s">
        <v>1834</v>
      </c>
      <c r="X228" s="13"/>
      <c r="Y228" s="13"/>
      <c r="Z228" s="13"/>
      <c r="AA228" s="14"/>
      <c r="AB228" s="88" t="s">
        <v>1823</v>
      </c>
      <c r="AC228" s="14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6"/>
    </row>
    <row r="229" spans="23:42" ht="15">
      <c r="W229" s="12" t="s">
        <v>1835</v>
      </c>
      <c r="X229" s="13"/>
      <c r="Y229" s="13"/>
      <c r="Z229" s="13"/>
      <c r="AA229" s="14"/>
      <c r="AB229" s="88" t="s">
        <v>1823</v>
      </c>
      <c r="AC229" s="14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8"/>
    </row>
    <row r="230" spans="23:42" ht="15">
      <c r="W230" s="12" t="s">
        <v>1836</v>
      </c>
      <c r="X230" s="13"/>
      <c r="Y230" s="13"/>
      <c r="Z230" s="13"/>
      <c r="AA230" s="14"/>
      <c r="AB230" s="88" t="s">
        <v>1823</v>
      </c>
      <c r="AC230" s="14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6"/>
    </row>
    <row r="231" spans="23:42" ht="15">
      <c r="W231" s="12" t="s">
        <v>1837</v>
      </c>
      <c r="X231" s="13"/>
      <c r="Y231" s="13"/>
      <c r="Z231" s="13"/>
      <c r="AA231" s="14"/>
      <c r="AB231" s="88" t="s">
        <v>1823</v>
      </c>
      <c r="AC231" s="14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8"/>
    </row>
    <row r="232" spans="23:42" ht="15">
      <c r="W232" s="12" t="s">
        <v>1838</v>
      </c>
      <c r="X232" s="13"/>
      <c r="Y232" s="13"/>
      <c r="Z232" s="13"/>
      <c r="AA232" s="14"/>
      <c r="AB232" s="88" t="s">
        <v>1551</v>
      </c>
      <c r="AC232" s="14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6"/>
    </row>
    <row r="233" spans="23:42" ht="15">
      <c r="W233" s="12" t="s">
        <v>1839</v>
      </c>
      <c r="X233" s="13"/>
      <c r="Y233" s="13"/>
      <c r="Z233" s="13"/>
      <c r="AA233" s="14"/>
      <c r="AB233" s="88" t="s">
        <v>1551</v>
      </c>
      <c r="AC233" s="14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8"/>
    </row>
    <row r="234" spans="23:42" ht="15">
      <c r="W234" s="12" t="s">
        <v>1840</v>
      </c>
      <c r="X234" s="13"/>
      <c r="Y234" s="13"/>
      <c r="Z234" s="13"/>
      <c r="AA234" s="14"/>
      <c r="AB234" s="88" t="s">
        <v>1551</v>
      </c>
      <c r="AC234" s="14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6"/>
    </row>
    <row r="235" spans="23:42" ht="15">
      <c r="W235" s="12" t="s">
        <v>1841</v>
      </c>
      <c r="X235" s="13"/>
      <c r="Y235" s="13"/>
      <c r="Z235" s="13"/>
      <c r="AA235" s="14"/>
      <c r="AB235" s="88" t="s">
        <v>1551</v>
      </c>
      <c r="AC235" s="14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8"/>
    </row>
    <row r="236" spans="23:42" ht="15">
      <c r="W236" s="12" t="s">
        <v>1842</v>
      </c>
      <c r="X236" s="13"/>
      <c r="Y236" s="13"/>
      <c r="Z236" s="13"/>
      <c r="AA236" s="14"/>
      <c r="AB236" s="88" t="s">
        <v>1551</v>
      </c>
      <c r="AC236" s="14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6"/>
    </row>
    <row r="237" spans="23:42" ht="15">
      <c r="W237" s="12" t="s">
        <v>1843</v>
      </c>
      <c r="X237" s="13"/>
      <c r="Y237" s="13"/>
      <c r="Z237" s="13"/>
      <c r="AA237" s="14"/>
      <c r="AB237" s="88" t="s">
        <v>1551</v>
      </c>
      <c r="AC237" s="14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8"/>
    </row>
    <row r="238" spans="23:42" ht="15">
      <c r="W238" s="12" t="s">
        <v>1844</v>
      </c>
      <c r="X238" s="13"/>
      <c r="Y238" s="13"/>
      <c r="Z238" s="13"/>
      <c r="AA238" s="14"/>
      <c r="AB238" s="88" t="s">
        <v>1551</v>
      </c>
      <c r="AC238" s="14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6"/>
    </row>
    <row r="239" spans="23:42" ht="15">
      <c r="W239" s="12" t="s">
        <v>1845</v>
      </c>
      <c r="X239" s="13"/>
      <c r="Y239" s="13"/>
      <c r="Z239" s="13"/>
      <c r="AA239" s="14"/>
      <c r="AB239" s="88" t="s">
        <v>1551</v>
      </c>
      <c r="AC239" s="14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8"/>
    </row>
    <row r="240" spans="23:42" ht="15">
      <c r="W240" s="12" t="s">
        <v>1846</v>
      </c>
      <c r="X240" s="13"/>
      <c r="Y240" s="13"/>
      <c r="Z240" s="13"/>
      <c r="AA240" s="14"/>
      <c r="AB240" s="88" t="s">
        <v>1551</v>
      </c>
      <c r="AC240" s="14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6"/>
    </row>
    <row r="241" spans="23:42" ht="15">
      <c r="W241" s="12" t="s">
        <v>1847</v>
      </c>
      <c r="X241" s="13"/>
      <c r="Y241" s="13"/>
      <c r="Z241" s="13"/>
      <c r="AA241" s="14"/>
      <c r="AB241" s="88" t="s">
        <v>1551</v>
      </c>
      <c r="AC241" s="14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8"/>
    </row>
    <row r="242" spans="23:42" ht="15">
      <c r="W242" s="12" t="s">
        <v>1848</v>
      </c>
      <c r="X242" s="13"/>
      <c r="Y242" s="13"/>
      <c r="Z242" s="13"/>
      <c r="AA242" s="14"/>
      <c r="AB242" s="88" t="s">
        <v>1551</v>
      </c>
      <c r="AC242" s="14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6"/>
    </row>
    <row r="243" spans="23:42" ht="15">
      <c r="W243" s="12" t="s">
        <v>1849</v>
      </c>
      <c r="X243" s="13"/>
      <c r="Y243" s="13"/>
      <c r="Z243" s="13"/>
      <c r="AA243" s="14"/>
      <c r="AB243" s="88" t="s">
        <v>1850</v>
      </c>
      <c r="AC243" s="14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8"/>
    </row>
    <row r="244" spans="23:42" ht="15">
      <c r="W244" s="12" t="s">
        <v>1851</v>
      </c>
      <c r="X244" s="13"/>
      <c r="Y244" s="13"/>
      <c r="Z244" s="13"/>
      <c r="AA244" s="14"/>
      <c r="AB244" s="88" t="s">
        <v>1850</v>
      </c>
      <c r="AC244" s="14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6"/>
    </row>
    <row r="245" spans="23:42" ht="15">
      <c r="W245" s="12" t="s">
        <v>1852</v>
      </c>
      <c r="X245" s="13"/>
      <c r="Y245" s="13"/>
      <c r="Z245" s="13"/>
      <c r="AA245" s="14"/>
      <c r="AB245" s="88" t="s">
        <v>1850</v>
      </c>
      <c r="AC245" s="14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8"/>
    </row>
    <row r="246" spans="23:42" ht="15">
      <c r="W246" s="12" t="s">
        <v>1853</v>
      </c>
      <c r="X246" s="13"/>
      <c r="Y246" s="13"/>
      <c r="Z246" s="13"/>
      <c r="AA246" s="14"/>
      <c r="AB246" s="88" t="s">
        <v>1850</v>
      </c>
      <c r="AC246" s="14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6"/>
    </row>
    <row r="247" spans="23:42" ht="15">
      <c r="W247" s="12" t="s">
        <v>1854</v>
      </c>
      <c r="X247" s="13"/>
      <c r="Y247" s="13"/>
      <c r="Z247" s="13"/>
      <c r="AA247" s="14"/>
      <c r="AB247" s="88" t="s">
        <v>1855</v>
      </c>
      <c r="AC247" s="14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8"/>
    </row>
    <row r="248" spans="23:42" ht="15">
      <c r="W248" s="12" t="s">
        <v>1856</v>
      </c>
      <c r="X248" s="13"/>
      <c r="Y248" s="13"/>
      <c r="Z248" s="13"/>
      <c r="AA248" s="14"/>
      <c r="AB248" s="88" t="s">
        <v>1857</v>
      </c>
      <c r="AC248" s="14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6"/>
    </row>
    <row r="249" spans="23:42" ht="15">
      <c r="W249" s="12" t="s">
        <v>1858</v>
      </c>
      <c r="X249" s="13"/>
      <c r="Y249" s="13"/>
      <c r="Z249" s="13"/>
      <c r="AA249" s="14"/>
      <c r="AB249" s="88" t="s">
        <v>1857</v>
      </c>
      <c r="AC249" s="14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8"/>
    </row>
    <row r="250" spans="23:42" ht="15">
      <c r="W250" s="12" t="s">
        <v>1859</v>
      </c>
      <c r="X250" s="13"/>
      <c r="Y250" s="13"/>
      <c r="Z250" s="13"/>
      <c r="AA250" s="14"/>
      <c r="AB250" s="88" t="s">
        <v>1857</v>
      </c>
      <c r="AC250" s="14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6"/>
    </row>
    <row r="251" spans="23:42" ht="15">
      <c r="W251" s="12" t="s">
        <v>1860</v>
      </c>
      <c r="X251" s="13"/>
      <c r="Y251" s="13"/>
      <c r="Z251" s="13"/>
      <c r="AA251" s="14"/>
      <c r="AB251" s="88" t="s">
        <v>1861</v>
      </c>
      <c r="AC251" s="14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8"/>
    </row>
    <row r="252" spans="23:42" ht="15">
      <c r="W252" s="12" t="s">
        <v>1862</v>
      </c>
      <c r="X252" s="13"/>
      <c r="Y252" s="13"/>
      <c r="Z252" s="13"/>
      <c r="AA252" s="14"/>
      <c r="AB252" s="88" t="s">
        <v>1861</v>
      </c>
      <c r="AC252" s="14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6"/>
    </row>
    <row r="253" spans="23:42" ht="15">
      <c r="W253" s="12" t="s">
        <v>1863</v>
      </c>
      <c r="X253" s="13"/>
      <c r="Y253" s="13"/>
      <c r="Z253" s="13"/>
      <c r="AA253" s="14"/>
      <c r="AB253" s="88" t="s">
        <v>1864</v>
      </c>
      <c r="AC253" s="14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8"/>
    </row>
    <row r="254" spans="23:42" ht="15">
      <c r="W254" s="12" t="s">
        <v>1865</v>
      </c>
      <c r="X254" s="13"/>
      <c r="Y254" s="13"/>
      <c r="Z254" s="13"/>
      <c r="AA254" s="14"/>
      <c r="AB254" s="88" t="s">
        <v>1864</v>
      </c>
      <c r="AC254" s="14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6"/>
    </row>
    <row r="255" spans="23:42" ht="15">
      <c r="W255" s="12" t="s">
        <v>1866</v>
      </c>
      <c r="X255" s="13"/>
      <c r="Y255" s="13"/>
      <c r="Z255" s="13"/>
      <c r="AA255" s="14"/>
      <c r="AB255" s="88" t="s">
        <v>1864</v>
      </c>
      <c r="AC255" s="14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8"/>
    </row>
    <row r="256" spans="23:42" ht="15">
      <c r="W256" s="12" t="s">
        <v>1867</v>
      </c>
      <c r="X256" s="13"/>
      <c r="Y256" s="13"/>
      <c r="Z256" s="13"/>
      <c r="AA256" s="14"/>
      <c r="AB256" s="88" t="s">
        <v>1868</v>
      </c>
      <c r="AC256" s="14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6"/>
    </row>
    <row r="257" spans="23:42" ht="15">
      <c r="W257" s="12" t="s">
        <v>1869</v>
      </c>
      <c r="X257" s="13"/>
      <c r="Y257" s="13"/>
      <c r="Z257" s="13"/>
      <c r="AA257" s="14"/>
      <c r="AB257" s="88" t="s">
        <v>1868</v>
      </c>
      <c r="AC257" s="14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8"/>
    </row>
    <row r="258" spans="23:42" ht="15">
      <c r="W258" s="12" t="s">
        <v>1870</v>
      </c>
      <c r="X258" s="13"/>
      <c r="Y258" s="13"/>
      <c r="Z258" s="13"/>
      <c r="AA258" s="14"/>
      <c r="AB258" s="88" t="s">
        <v>1871</v>
      </c>
      <c r="AC258" s="14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6"/>
    </row>
    <row r="259" spans="23:42" ht="15">
      <c r="W259" s="12" t="s">
        <v>1872</v>
      </c>
      <c r="X259" s="13"/>
      <c r="Y259" s="13"/>
      <c r="Z259" s="13"/>
      <c r="AA259" s="14"/>
      <c r="AB259" s="88" t="s">
        <v>1871</v>
      </c>
      <c r="AC259" s="14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8"/>
    </row>
    <row r="260" spans="23:42" ht="15">
      <c r="W260" s="12" t="s">
        <v>1873</v>
      </c>
      <c r="X260" s="13"/>
      <c r="Y260" s="13"/>
      <c r="Z260" s="13"/>
      <c r="AA260" s="14"/>
      <c r="AB260" s="88" t="s">
        <v>1871</v>
      </c>
      <c r="AC260" s="14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6"/>
    </row>
    <row r="261" spans="23:42" ht="15">
      <c r="W261" s="12" t="s">
        <v>1874</v>
      </c>
      <c r="X261" s="13"/>
      <c r="Y261" s="13"/>
      <c r="Z261" s="13"/>
      <c r="AA261" s="14"/>
      <c r="AB261" s="88" t="s">
        <v>1875</v>
      </c>
      <c r="AC261" s="14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8"/>
    </row>
    <row r="262" spans="23:42" ht="15">
      <c r="W262" s="12" t="s">
        <v>1876</v>
      </c>
      <c r="X262" s="13"/>
      <c r="Y262" s="13"/>
      <c r="Z262" s="13"/>
      <c r="AA262" s="14"/>
      <c r="AB262" s="88" t="s">
        <v>1875</v>
      </c>
      <c r="AC262" s="14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6"/>
    </row>
    <row r="263" spans="23:42" ht="15">
      <c r="W263" s="12" t="s">
        <v>1877</v>
      </c>
      <c r="X263" s="13"/>
      <c r="Y263" s="13"/>
      <c r="Z263" s="13"/>
      <c r="AA263" s="14"/>
      <c r="AB263" s="88" t="s">
        <v>1875</v>
      </c>
      <c r="AC263" s="14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8"/>
    </row>
    <row r="264" spans="23:42" ht="15">
      <c r="W264" s="12" t="s">
        <v>1878</v>
      </c>
      <c r="X264" s="13"/>
      <c r="Y264" s="13"/>
      <c r="Z264" s="13"/>
      <c r="AA264" s="14"/>
      <c r="AB264" s="88" t="s">
        <v>1879</v>
      </c>
      <c r="AC264" s="14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6"/>
    </row>
    <row r="265" spans="23:42" ht="15">
      <c r="W265" s="12" t="s">
        <v>1880</v>
      </c>
      <c r="X265" s="13"/>
      <c r="Y265" s="13"/>
      <c r="Z265" s="13"/>
      <c r="AA265" s="14"/>
      <c r="AB265" s="88" t="s">
        <v>1879</v>
      </c>
      <c r="AC265" s="14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8"/>
    </row>
    <row r="266" spans="23:42" ht="15">
      <c r="W266" s="12" t="s">
        <v>1881</v>
      </c>
      <c r="X266" s="13"/>
      <c r="Y266" s="13"/>
      <c r="Z266" s="13"/>
      <c r="AA266" s="14"/>
      <c r="AB266" s="88" t="s">
        <v>1882</v>
      </c>
      <c r="AC266" s="14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6"/>
    </row>
    <row r="267" spans="23:42" ht="15">
      <c r="W267" s="12" t="s">
        <v>1883</v>
      </c>
      <c r="X267" s="13"/>
      <c r="Y267" s="13"/>
      <c r="Z267" s="13"/>
      <c r="AA267" s="14"/>
      <c r="AB267" s="88" t="s">
        <v>1884</v>
      </c>
      <c r="AC267" s="14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8"/>
    </row>
    <row r="268" spans="23:42" ht="15">
      <c r="W268" s="12" t="s">
        <v>1885</v>
      </c>
      <c r="X268" s="13"/>
      <c r="Y268" s="13"/>
      <c r="Z268" s="13"/>
      <c r="AA268" s="14"/>
      <c r="AB268" s="88" t="s">
        <v>1884</v>
      </c>
      <c r="AC268" s="14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6"/>
    </row>
    <row r="269" spans="23:42" ht="15">
      <c r="W269" s="12" t="s">
        <v>1886</v>
      </c>
      <c r="X269" s="13"/>
      <c r="Y269" s="13"/>
      <c r="Z269" s="13"/>
      <c r="AA269" s="14"/>
      <c r="AB269" s="88" t="s">
        <v>1884</v>
      </c>
      <c r="AC269" s="14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8"/>
    </row>
    <row r="270" spans="23:42" ht="15">
      <c r="W270" s="12" t="s">
        <v>1887</v>
      </c>
      <c r="X270" s="13"/>
      <c r="Y270" s="13"/>
      <c r="Z270" s="13"/>
      <c r="AA270" s="14"/>
      <c r="AB270" s="88" t="s">
        <v>1553</v>
      </c>
      <c r="AC270" s="14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6"/>
    </row>
    <row r="271" spans="23:42" ht="15">
      <c r="W271" s="12" t="s">
        <v>1888</v>
      </c>
      <c r="X271" s="13"/>
      <c r="Y271" s="13"/>
      <c r="Z271" s="13"/>
      <c r="AA271" s="14"/>
      <c r="AB271" s="88" t="s">
        <v>1553</v>
      </c>
      <c r="AC271" s="14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8"/>
    </row>
    <row r="272" spans="23:42" ht="15">
      <c r="W272" s="12" t="s">
        <v>1889</v>
      </c>
      <c r="X272" s="13"/>
      <c r="Y272" s="13"/>
      <c r="Z272" s="13"/>
      <c r="AA272" s="14"/>
      <c r="AB272" s="88" t="s">
        <v>1553</v>
      </c>
      <c r="AC272" s="14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6"/>
    </row>
    <row r="273" spans="23:42" ht="15">
      <c r="W273" s="12" t="s">
        <v>1890</v>
      </c>
      <c r="X273" s="13"/>
      <c r="Y273" s="13"/>
      <c r="Z273" s="13"/>
      <c r="AA273" s="14"/>
      <c r="AB273" s="88" t="s">
        <v>1553</v>
      </c>
      <c r="AC273" s="14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8"/>
    </row>
    <row r="274" spans="23:42" ht="15">
      <c r="W274" s="12" t="s">
        <v>1891</v>
      </c>
      <c r="X274" s="13"/>
      <c r="Y274" s="13"/>
      <c r="Z274" s="13"/>
      <c r="AA274" s="14"/>
      <c r="AB274" s="88" t="s">
        <v>1553</v>
      </c>
      <c r="AC274" s="14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6"/>
    </row>
    <row r="275" spans="23:42" ht="15">
      <c r="W275" s="12" t="s">
        <v>1892</v>
      </c>
      <c r="X275" s="13"/>
      <c r="Y275" s="13"/>
      <c r="Z275" s="13"/>
      <c r="AA275" s="14"/>
      <c r="AB275" s="88" t="s">
        <v>1553</v>
      </c>
      <c r="AC275" s="14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8"/>
    </row>
    <row r="276" spans="23:42" ht="15">
      <c r="W276" s="12" t="s">
        <v>1552</v>
      </c>
      <c r="X276" s="13"/>
      <c r="Y276" s="13"/>
      <c r="Z276" s="13"/>
      <c r="AA276" s="14"/>
      <c r="AB276" s="88" t="s">
        <v>1553</v>
      </c>
      <c r="AC276" s="14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6"/>
    </row>
    <row r="277" spans="23:42" ht="15">
      <c r="W277" s="12" t="s">
        <v>1893</v>
      </c>
      <c r="X277" s="13"/>
      <c r="Y277" s="13"/>
      <c r="Z277" s="13"/>
      <c r="AA277" s="14"/>
      <c r="AB277" s="88" t="s">
        <v>1554</v>
      </c>
      <c r="AC277" s="14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8"/>
    </row>
    <row r="278" spans="23:42" ht="15">
      <c r="W278" s="12" t="s">
        <v>1894</v>
      </c>
      <c r="X278" s="13"/>
      <c r="Y278" s="13"/>
      <c r="Z278" s="13"/>
      <c r="AA278" s="14"/>
      <c r="AB278" s="88" t="s">
        <v>1554</v>
      </c>
      <c r="AC278" s="14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6"/>
    </row>
    <row r="279" spans="23:42" ht="15">
      <c r="W279" s="12" t="s">
        <v>1895</v>
      </c>
      <c r="X279" s="13"/>
      <c r="Y279" s="13"/>
      <c r="Z279" s="13"/>
      <c r="AA279" s="14"/>
      <c r="AB279" s="88" t="s">
        <v>1554</v>
      </c>
      <c r="AC279" s="14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8"/>
    </row>
    <row r="280" spans="23:42" ht="15">
      <c r="W280" s="12" t="s">
        <v>1896</v>
      </c>
      <c r="X280" s="13"/>
      <c r="Y280" s="13"/>
      <c r="Z280" s="13"/>
      <c r="AA280" s="14"/>
      <c r="AB280" s="88" t="s">
        <v>1554</v>
      </c>
      <c r="AC280" s="14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6"/>
    </row>
    <row r="281" spans="23:42" ht="15">
      <c r="W281" s="12" t="s">
        <v>1897</v>
      </c>
      <c r="X281" s="13"/>
      <c r="Y281" s="13"/>
      <c r="Z281" s="13"/>
      <c r="AA281" s="14"/>
      <c r="AB281" s="88" t="s">
        <v>1554</v>
      </c>
      <c r="AC281" s="14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8"/>
    </row>
    <row r="282" spans="23:42" ht="15">
      <c r="W282" s="12" t="s">
        <v>1898</v>
      </c>
      <c r="X282" s="13"/>
      <c r="Y282" s="13"/>
      <c r="Z282" s="13"/>
      <c r="AA282" s="14"/>
      <c r="AB282" s="88" t="s">
        <v>1554</v>
      </c>
      <c r="AC282" s="14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6"/>
    </row>
    <row r="283" spans="23:42" ht="15">
      <c r="W283" s="12" t="s">
        <v>1899</v>
      </c>
      <c r="X283" s="13"/>
      <c r="Y283" s="13"/>
      <c r="Z283" s="13"/>
      <c r="AA283" s="14"/>
      <c r="AB283" s="88" t="s">
        <v>1554</v>
      </c>
      <c r="AC283" s="14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8"/>
    </row>
    <row r="284" spans="23:42" ht="15">
      <c r="W284" s="12" t="s">
        <v>1900</v>
      </c>
      <c r="X284" s="13"/>
      <c r="Y284" s="13"/>
      <c r="Z284" s="13"/>
      <c r="AA284" s="14"/>
      <c r="AB284" s="88" t="s">
        <v>1554</v>
      </c>
      <c r="AC284" s="14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6"/>
    </row>
    <row r="285" spans="23:42" ht="15">
      <c r="W285" s="12" t="s">
        <v>1901</v>
      </c>
      <c r="X285" s="13"/>
      <c r="Y285" s="13"/>
      <c r="Z285" s="13"/>
      <c r="AA285" s="14"/>
      <c r="AB285" s="88" t="s">
        <v>1554</v>
      </c>
      <c r="AC285" s="14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8"/>
    </row>
    <row r="286" spans="23:42" ht="15">
      <c r="W286" s="12" t="s">
        <v>1902</v>
      </c>
      <c r="X286" s="13"/>
      <c r="Y286" s="13"/>
      <c r="Z286" s="13"/>
      <c r="AA286" s="14"/>
      <c r="AB286" s="88" t="s">
        <v>1554</v>
      </c>
      <c r="AC286" s="14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6"/>
    </row>
    <row r="287" spans="23:42" ht="15">
      <c r="W287" s="12" t="s">
        <v>1903</v>
      </c>
      <c r="X287" s="13"/>
      <c r="Y287" s="13"/>
      <c r="Z287" s="13"/>
      <c r="AA287" s="14"/>
      <c r="AB287" s="88" t="s">
        <v>1554</v>
      </c>
      <c r="AC287" s="14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8"/>
    </row>
    <row r="288" spans="23:42" ht="15">
      <c r="W288" s="12" t="s">
        <v>1904</v>
      </c>
      <c r="X288" s="13"/>
      <c r="Y288" s="13"/>
      <c r="Z288" s="13"/>
      <c r="AA288" s="14"/>
      <c r="AB288" s="88" t="s">
        <v>1554</v>
      </c>
      <c r="AC288" s="14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6"/>
    </row>
    <row r="289" spans="23:42" ht="15">
      <c r="W289" s="12" t="s">
        <v>1905</v>
      </c>
      <c r="X289" s="13"/>
      <c r="Y289" s="13"/>
      <c r="Z289" s="13"/>
      <c r="AA289" s="14"/>
      <c r="AB289" s="88" t="s">
        <v>1554</v>
      </c>
      <c r="AC289" s="14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8"/>
    </row>
    <row r="290" spans="23:42" ht="15">
      <c r="W290" s="12" t="s">
        <v>1906</v>
      </c>
      <c r="X290" s="13"/>
      <c r="Y290" s="13"/>
      <c r="Z290" s="13"/>
      <c r="AA290" s="14"/>
      <c r="AB290" s="88" t="s">
        <v>1554</v>
      </c>
      <c r="AC290" s="14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6"/>
    </row>
    <row r="291" spans="23:42" ht="15">
      <c r="W291" s="12" t="s">
        <v>1907</v>
      </c>
      <c r="X291" s="13"/>
      <c r="Y291" s="13"/>
      <c r="Z291" s="13"/>
      <c r="AA291" s="14"/>
      <c r="AB291" s="88" t="s">
        <v>1554</v>
      </c>
      <c r="AC291" s="14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8"/>
    </row>
    <row r="292" spans="23:42" ht="15">
      <c r="W292" s="12" t="s">
        <v>1908</v>
      </c>
      <c r="X292" s="13"/>
      <c r="Y292" s="13"/>
      <c r="Z292" s="13"/>
      <c r="AA292" s="14"/>
      <c r="AB292" s="88" t="s">
        <v>1554</v>
      </c>
      <c r="AC292" s="14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6"/>
    </row>
    <row r="293" spans="23:42" ht="15">
      <c r="W293" s="12" t="s">
        <v>1909</v>
      </c>
      <c r="X293" s="13"/>
      <c r="Y293" s="13"/>
      <c r="Z293" s="13"/>
      <c r="AA293" s="14"/>
      <c r="AB293" s="88" t="s">
        <v>1554</v>
      </c>
      <c r="AC293" s="14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8"/>
    </row>
    <row r="294" spans="23:42" ht="15">
      <c r="W294" s="12" t="s">
        <v>1910</v>
      </c>
      <c r="X294" s="13"/>
      <c r="Y294" s="13"/>
      <c r="Z294" s="13"/>
      <c r="AA294" s="14"/>
      <c r="AB294" s="88" t="s">
        <v>1554</v>
      </c>
      <c r="AC294" s="14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6"/>
    </row>
    <row r="295" spans="23:42" ht="15">
      <c r="W295" s="12" t="s">
        <v>1911</v>
      </c>
      <c r="X295" s="13"/>
      <c r="Y295" s="13"/>
      <c r="Z295" s="13"/>
      <c r="AA295" s="14"/>
      <c r="AB295" s="88" t="s">
        <v>1912</v>
      </c>
      <c r="AC295" s="14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8"/>
    </row>
    <row r="296" spans="23:42" ht="15">
      <c r="W296" s="12" t="s">
        <v>1913</v>
      </c>
      <c r="X296" s="13"/>
      <c r="Y296" s="13"/>
      <c r="Z296" s="13"/>
      <c r="AA296" s="14"/>
      <c r="AB296" s="88" t="s">
        <v>1912</v>
      </c>
      <c r="AC296" s="14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6"/>
    </row>
    <row r="297" spans="23:42" ht="15">
      <c r="W297" s="12" t="s">
        <v>1914</v>
      </c>
      <c r="X297" s="13"/>
      <c r="Y297" s="13"/>
      <c r="Z297" s="13"/>
      <c r="AA297" s="14"/>
      <c r="AB297" s="88" t="s">
        <v>1912</v>
      </c>
      <c r="AC297" s="14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8"/>
    </row>
    <row r="298" spans="23:42" ht="15">
      <c r="W298" s="12" t="s">
        <v>1915</v>
      </c>
      <c r="X298" s="13"/>
      <c r="Y298" s="13"/>
      <c r="Z298" s="13"/>
      <c r="AA298" s="14"/>
      <c r="AB298" s="88" t="s">
        <v>1916</v>
      </c>
      <c r="AC298" s="14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6"/>
    </row>
    <row r="299" spans="23:42" ht="15">
      <c r="W299" s="12" t="s">
        <v>1917</v>
      </c>
      <c r="X299" s="13"/>
      <c r="Y299" s="13"/>
      <c r="Z299" s="13"/>
      <c r="AA299" s="14"/>
      <c r="AB299" s="88" t="s">
        <v>1916</v>
      </c>
      <c r="AC299" s="14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8"/>
    </row>
    <row r="300" spans="23:42" ht="15">
      <c r="W300" s="12" t="s">
        <v>1918</v>
      </c>
      <c r="X300" s="13"/>
      <c r="Y300" s="13"/>
      <c r="Z300" s="13"/>
      <c r="AA300" s="14"/>
      <c r="AB300" s="88" t="s">
        <v>1555</v>
      </c>
      <c r="AC300" s="14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6"/>
    </row>
    <row r="301" spans="23:42" ht="15">
      <c r="W301" s="12" t="s">
        <v>1919</v>
      </c>
      <c r="X301" s="13"/>
      <c r="Y301" s="13"/>
      <c r="Z301" s="13"/>
      <c r="AA301" s="14"/>
      <c r="AB301" s="88" t="s">
        <v>1555</v>
      </c>
      <c r="AC301" s="14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8"/>
    </row>
    <row r="302" spans="23:42" ht="15">
      <c r="W302" s="12" t="s">
        <v>1920</v>
      </c>
      <c r="X302" s="13"/>
      <c r="Y302" s="13"/>
      <c r="Z302" s="13"/>
      <c r="AA302" s="14"/>
      <c r="AB302" s="88" t="s">
        <v>1555</v>
      </c>
      <c r="AC302" s="14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6"/>
    </row>
    <row r="303" spans="23:42" ht="15">
      <c r="W303" s="12" t="s">
        <v>1921</v>
      </c>
      <c r="X303" s="13"/>
      <c r="Y303" s="13"/>
      <c r="Z303" s="13"/>
      <c r="AA303" s="14"/>
      <c r="AB303" s="88" t="s">
        <v>1922</v>
      </c>
      <c r="AC303" s="14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8"/>
    </row>
    <row r="304" spans="23:42" ht="15">
      <c r="W304" s="12" t="s">
        <v>1923</v>
      </c>
      <c r="X304" s="13"/>
      <c r="Y304" s="13"/>
      <c r="Z304" s="13"/>
      <c r="AA304" s="14"/>
      <c r="AB304" s="88" t="s">
        <v>1924</v>
      </c>
      <c r="AC304" s="14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6"/>
    </row>
    <row r="305" spans="23:42" ht="15">
      <c r="W305" s="12" t="s">
        <v>1925</v>
      </c>
      <c r="X305" s="13"/>
      <c r="Y305" s="13"/>
      <c r="Z305" s="13"/>
      <c r="AA305" s="14"/>
      <c r="AB305" s="88" t="s">
        <v>1924</v>
      </c>
      <c r="AC305" s="14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8"/>
    </row>
    <row r="306" spans="23:42" ht="15">
      <c r="W306" s="12" t="s">
        <v>1926</v>
      </c>
      <c r="X306" s="13"/>
      <c r="Y306" s="13"/>
      <c r="Z306" s="13"/>
      <c r="AA306" s="14"/>
      <c r="AB306" s="88" t="s">
        <v>1924</v>
      </c>
      <c r="AC306" s="14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6"/>
    </row>
    <row r="307" spans="23:42" ht="15">
      <c r="W307" s="12" t="s">
        <v>1927</v>
      </c>
      <c r="X307" s="13"/>
      <c r="Y307" s="13"/>
      <c r="Z307" s="13"/>
      <c r="AA307" s="14"/>
      <c r="AB307" s="88" t="s">
        <v>1924</v>
      </c>
      <c r="AC307" s="14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8"/>
    </row>
    <row r="308" spans="23:42" ht="15">
      <c r="W308" s="12" t="s">
        <v>1928</v>
      </c>
      <c r="X308" s="13"/>
      <c r="Y308" s="13"/>
      <c r="Z308" s="13"/>
      <c r="AA308" s="14"/>
      <c r="AB308" s="88" t="s">
        <v>1924</v>
      </c>
      <c r="AC308" s="14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6"/>
    </row>
    <row r="309" spans="23:42" ht="15">
      <c r="W309" s="12" t="s">
        <v>1929</v>
      </c>
      <c r="X309" s="13"/>
      <c r="Y309" s="13"/>
      <c r="Z309" s="13"/>
      <c r="AA309" s="14"/>
      <c r="AB309" s="88" t="s">
        <v>1924</v>
      </c>
      <c r="AC309" s="14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8"/>
    </row>
    <row r="310" spans="23:42" ht="15">
      <c r="W310" s="12" t="s">
        <v>1930</v>
      </c>
      <c r="X310" s="13"/>
      <c r="Y310" s="13"/>
      <c r="Z310" s="13"/>
      <c r="AA310" s="14"/>
      <c r="AB310" s="88" t="s">
        <v>1924</v>
      </c>
      <c r="AC310" s="14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6"/>
    </row>
    <row r="311" spans="23:42" ht="15">
      <c r="W311" s="12" t="s">
        <v>1931</v>
      </c>
      <c r="X311" s="13"/>
      <c r="Y311" s="13"/>
      <c r="Z311" s="13"/>
      <c r="AA311" s="14"/>
      <c r="AB311" s="88" t="s">
        <v>1924</v>
      </c>
      <c r="AC311" s="14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8"/>
    </row>
    <row r="312" spans="23:42" ht="15">
      <c r="W312" s="12" t="s">
        <v>1932</v>
      </c>
      <c r="X312" s="13"/>
      <c r="Y312" s="13"/>
      <c r="Z312" s="13"/>
      <c r="AA312" s="14"/>
      <c r="AB312" s="88" t="s">
        <v>1933</v>
      </c>
      <c r="AC312" s="14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6"/>
    </row>
    <row r="313" spans="23:42" ht="15">
      <c r="W313" s="12" t="s">
        <v>1934</v>
      </c>
      <c r="X313" s="13"/>
      <c r="Y313" s="13"/>
      <c r="Z313" s="13"/>
      <c r="AA313" s="14"/>
      <c r="AB313" s="88" t="s">
        <v>1557</v>
      </c>
      <c r="AC313" s="14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8"/>
    </row>
    <row r="314" spans="23:42" ht="15">
      <c r="W314" s="12" t="s">
        <v>1935</v>
      </c>
      <c r="X314" s="13"/>
      <c r="Y314" s="13"/>
      <c r="Z314" s="13"/>
      <c r="AA314" s="14"/>
      <c r="AB314" s="88" t="s">
        <v>1557</v>
      </c>
      <c r="AC314" s="14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6"/>
    </row>
    <row r="315" spans="23:42" ht="15">
      <c r="W315" s="12" t="s">
        <v>1558</v>
      </c>
      <c r="X315" s="13"/>
      <c r="Y315" s="13"/>
      <c r="Z315" s="13"/>
      <c r="AA315" s="14"/>
      <c r="AB315" s="88" t="s">
        <v>1557</v>
      </c>
      <c r="AC315" s="14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8"/>
    </row>
    <row r="316" spans="23:42" ht="15">
      <c r="W316" s="12" t="s">
        <v>1556</v>
      </c>
      <c r="X316" s="13"/>
      <c r="Y316" s="13"/>
      <c r="Z316" s="13"/>
      <c r="AA316" s="14"/>
      <c r="AB316" s="88" t="s">
        <v>1557</v>
      </c>
      <c r="AC316" s="14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6"/>
    </row>
    <row r="317" spans="23:42" ht="15">
      <c r="W317" s="12" t="s">
        <v>1936</v>
      </c>
      <c r="X317" s="13"/>
      <c r="Y317" s="13"/>
      <c r="Z317" s="13"/>
      <c r="AA317" s="14"/>
      <c r="AB317" s="88" t="s">
        <v>1557</v>
      </c>
      <c r="AC317" s="14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8"/>
    </row>
    <row r="318" spans="23:42" ht="15">
      <c r="W318" s="12" t="s">
        <v>1937</v>
      </c>
      <c r="X318" s="13"/>
      <c r="Y318" s="13"/>
      <c r="Z318" s="13"/>
      <c r="AA318" s="14"/>
      <c r="AB318" s="88" t="s">
        <v>1559</v>
      </c>
      <c r="AC318" s="14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6"/>
    </row>
    <row r="319" spans="23:42" ht="15">
      <c r="W319" s="12" t="s">
        <v>1938</v>
      </c>
      <c r="X319" s="13"/>
      <c r="Y319" s="13"/>
      <c r="Z319" s="13"/>
      <c r="AA319" s="14"/>
      <c r="AB319" s="88" t="s">
        <v>1559</v>
      </c>
      <c r="AC319" s="14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8"/>
    </row>
    <row r="320" spans="23:42" ht="15">
      <c r="W320" s="12" t="s">
        <v>1939</v>
      </c>
      <c r="X320" s="13"/>
      <c r="Y320" s="13"/>
      <c r="Z320" s="13"/>
      <c r="AA320" s="14"/>
      <c r="AB320" s="88" t="s">
        <v>1559</v>
      </c>
      <c r="AC320" s="14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6"/>
    </row>
    <row r="321" spans="23:42" ht="15">
      <c r="W321" s="12" t="s">
        <v>1562</v>
      </c>
      <c r="X321" s="13"/>
      <c r="Y321" s="13"/>
      <c r="Z321" s="13"/>
      <c r="AA321" s="14"/>
      <c r="AB321" s="88" t="s">
        <v>1561</v>
      </c>
      <c r="AC321" s="14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8"/>
    </row>
    <row r="322" spans="23:42" ht="15">
      <c r="W322" s="12" t="s">
        <v>1940</v>
      </c>
      <c r="X322" s="13"/>
      <c r="Y322" s="13"/>
      <c r="Z322" s="13"/>
      <c r="AA322" s="14"/>
      <c r="AB322" s="88" t="s">
        <v>1561</v>
      </c>
      <c r="AC322" s="14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6"/>
    </row>
    <row r="323" spans="23:42" ht="15">
      <c r="W323" s="12" t="s">
        <v>1941</v>
      </c>
      <c r="X323" s="13"/>
      <c r="Y323" s="13"/>
      <c r="Z323" s="13"/>
      <c r="AA323" s="14"/>
      <c r="AB323" s="88" t="s">
        <v>1561</v>
      </c>
      <c r="AC323" s="14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8"/>
    </row>
    <row r="324" spans="23:42" ht="15">
      <c r="W324" s="12" t="s">
        <v>1942</v>
      </c>
      <c r="X324" s="13"/>
      <c r="Y324" s="13"/>
      <c r="Z324" s="13"/>
      <c r="AA324" s="14"/>
      <c r="AB324" s="88" t="s">
        <v>1561</v>
      </c>
      <c r="AC324" s="14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6"/>
    </row>
    <row r="325" spans="23:42" ht="15">
      <c r="W325" s="12" t="s">
        <v>1943</v>
      </c>
      <c r="X325" s="13"/>
      <c r="Y325" s="13"/>
      <c r="Z325" s="13"/>
      <c r="AA325" s="14"/>
      <c r="AB325" s="88" t="s">
        <v>1561</v>
      </c>
      <c r="AC325" s="14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8"/>
    </row>
    <row r="326" spans="23:42" ht="15">
      <c r="W326" s="12" t="s">
        <v>1944</v>
      </c>
      <c r="X326" s="13"/>
      <c r="Y326" s="13"/>
      <c r="Z326" s="13"/>
      <c r="AA326" s="14"/>
      <c r="AB326" s="88" t="s">
        <v>1561</v>
      </c>
      <c r="AC326" s="14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6"/>
    </row>
    <row r="327" spans="23:42" ht="15">
      <c r="W327" s="12" t="s">
        <v>1945</v>
      </c>
      <c r="X327" s="13"/>
      <c r="Y327" s="13"/>
      <c r="Z327" s="13"/>
      <c r="AA327" s="14"/>
      <c r="AB327" s="88" t="s">
        <v>1561</v>
      </c>
      <c r="AC327" s="14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8"/>
    </row>
    <row r="328" spans="23:42" ht="15">
      <c r="W328" s="12" t="s">
        <v>1946</v>
      </c>
      <c r="X328" s="13"/>
      <c r="Y328" s="13"/>
      <c r="Z328" s="13"/>
      <c r="AA328" s="14"/>
      <c r="AB328" s="88" t="s">
        <v>1561</v>
      </c>
      <c r="AC328" s="14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6"/>
    </row>
    <row r="329" spans="23:42" ht="15">
      <c r="W329" s="12" t="s">
        <v>1947</v>
      </c>
      <c r="X329" s="13"/>
      <c r="Y329" s="13"/>
      <c r="Z329" s="13"/>
      <c r="AA329" s="14"/>
      <c r="AB329" s="88" t="s">
        <v>1561</v>
      </c>
      <c r="AC329" s="14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8"/>
    </row>
    <row r="330" spans="23:42" ht="15">
      <c r="W330" s="12" t="s">
        <v>1948</v>
      </c>
      <c r="X330" s="13"/>
      <c r="Y330" s="13"/>
      <c r="Z330" s="13"/>
      <c r="AA330" s="14"/>
      <c r="AB330" s="88" t="s">
        <v>1561</v>
      </c>
      <c r="AC330" s="14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6"/>
    </row>
    <row r="331" spans="23:42" ht="15">
      <c r="W331" s="12" t="s">
        <v>1949</v>
      </c>
      <c r="X331" s="13"/>
      <c r="Y331" s="13"/>
      <c r="Z331" s="13"/>
      <c r="AA331" s="14"/>
      <c r="AB331" s="88" t="s">
        <v>1561</v>
      </c>
      <c r="AC331" s="14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8"/>
    </row>
    <row r="332" spans="23:42" ht="15">
      <c r="W332" s="12" t="s">
        <v>1950</v>
      </c>
      <c r="X332" s="13"/>
      <c r="Y332" s="13"/>
      <c r="Z332" s="13"/>
      <c r="AA332" s="14"/>
      <c r="AB332" s="88" t="s">
        <v>1561</v>
      </c>
      <c r="AC332" s="14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6"/>
    </row>
    <row r="333" spans="23:42" ht="15">
      <c r="W333" s="12" t="s">
        <v>1951</v>
      </c>
      <c r="X333" s="13"/>
      <c r="Y333" s="13"/>
      <c r="Z333" s="13"/>
      <c r="AA333" s="14"/>
      <c r="AB333" s="88" t="s">
        <v>1561</v>
      </c>
      <c r="AC333" s="14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8"/>
    </row>
    <row r="334" spans="23:42" ht="15">
      <c r="W334" s="12" t="s">
        <v>1952</v>
      </c>
      <c r="X334" s="13"/>
      <c r="Y334" s="13"/>
      <c r="Z334" s="13"/>
      <c r="AA334" s="14"/>
      <c r="AB334" s="88" t="s">
        <v>1561</v>
      </c>
      <c r="AC334" s="14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6"/>
    </row>
    <row r="335" spans="23:42" ht="15">
      <c r="W335" s="12" t="s">
        <v>1953</v>
      </c>
      <c r="X335" s="13"/>
      <c r="Y335" s="13"/>
      <c r="Z335" s="13"/>
      <c r="AA335" s="14"/>
      <c r="AB335" s="88" t="s">
        <v>1561</v>
      </c>
      <c r="AC335" s="14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8"/>
    </row>
    <row r="336" spans="23:42" ht="15">
      <c r="W336" s="12" t="s">
        <v>1954</v>
      </c>
      <c r="X336" s="13"/>
      <c r="Y336" s="13"/>
      <c r="Z336" s="13"/>
      <c r="AA336" s="14"/>
      <c r="AB336" s="88" t="s">
        <v>1561</v>
      </c>
      <c r="AC336" s="14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6"/>
    </row>
    <row r="337" spans="23:42" ht="15">
      <c r="W337" s="12" t="s">
        <v>1955</v>
      </c>
      <c r="X337" s="13"/>
      <c r="Y337" s="13"/>
      <c r="Z337" s="13"/>
      <c r="AA337" s="14"/>
      <c r="AB337" s="88" t="s">
        <v>1561</v>
      </c>
      <c r="AC337" s="14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8"/>
    </row>
    <row r="338" spans="23:42" ht="15">
      <c r="W338" s="12" t="s">
        <v>1560</v>
      </c>
      <c r="X338" s="13"/>
      <c r="Y338" s="13"/>
      <c r="Z338" s="13"/>
      <c r="AA338" s="14"/>
      <c r="AB338" s="88" t="s">
        <v>1561</v>
      </c>
      <c r="AC338" s="14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6"/>
    </row>
    <row r="339" spans="23:42" ht="15">
      <c r="W339" s="12" t="s">
        <v>1956</v>
      </c>
      <c r="X339" s="13"/>
      <c r="Y339" s="13"/>
      <c r="Z339" s="13"/>
      <c r="AA339" s="14"/>
      <c r="AB339" s="88" t="s">
        <v>1564</v>
      </c>
      <c r="AC339" s="14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8"/>
    </row>
    <row r="340" spans="23:42" ht="15">
      <c r="W340" s="12" t="s">
        <v>1957</v>
      </c>
      <c r="X340" s="13"/>
      <c r="Y340" s="13"/>
      <c r="Z340" s="13"/>
      <c r="AA340" s="14"/>
      <c r="AB340" s="88" t="s">
        <v>1564</v>
      </c>
      <c r="AC340" s="14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6"/>
    </row>
    <row r="341" spans="23:42" ht="15">
      <c r="W341" s="12" t="s">
        <v>1958</v>
      </c>
      <c r="X341" s="13"/>
      <c r="Y341" s="13"/>
      <c r="Z341" s="13"/>
      <c r="AA341" s="14"/>
      <c r="AB341" s="88" t="s">
        <v>1564</v>
      </c>
      <c r="AC341" s="14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8"/>
    </row>
    <row r="342" spans="23:42" ht="15">
      <c r="W342" s="12" t="s">
        <v>1959</v>
      </c>
      <c r="X342" s="13"/>
      <c r="Y342" s="13"/>
      <c r="Z342" s="13"/>
      <c r="AA342" s="14"/>
      <c r="AB342" s="88" t="s">
        <v>1564</v>
      </c>
      <c r="AC342" s="14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6"/>
    </row>
    <row r="343" spans="23:42" ht="15">
      <c r="W343" s="12" t="s">
        <v>1563</v>
      </c>
      <c r="X343" s="13"/>
      <c r="Y343" s="13"/>
      <c r="Z343" s="13"/>
      <c r="AA343" s="14"/>
      <c r="AB343" s="88" t="s">
        <v>1564</v>
      </c>
      <c r="AC343" s="14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8"/>
    </row>
    <row r="344" spans="23:42" ht="15">
      <c r="W344" s="12" t="s">
        <v>1960</v>
      </c>
      <c r="X344" s="13"/>
      <c r="Y344" s="13"/>
      <c r="Z344" s="13"/>
      <c r="AA344" s="14"/>
      <c r="AB344" s="88" t="s">
        <v>1961</v>
      </c>
      <c r="AC344" s="14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6"/>
    </row>
    <row r="345" spans="23:42" ht="15">
      <c r="W345" s="12" t="s">
        <v>1962</v>
      </c>
      <c r="X345" s="13"/>
      <c r="Y345" s="13"/>
      <c r="Z345" s="13"/>
      <c r="AA345" s="14"/>
      <c r="AB345" s="88" t="s">
        <v>1961</v>
      </c>
      <c r="AC345" s="14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8"/>
    </row>
    <row r="346" spans="23:42" ht="15">
      <c r="W346" s="12" t="s">
        <v>1963</v>
      </c>
      <c r="X346" s="13"/>
      <c r="Y346" s="13"/>
      <c r="Z346" s="13"/>
      <c r="AA346" s="14"/>
      <c r="AB346" s="88" t="s">
        <v>1961</v>
      </c>
      <c r="AC346" s="14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6"/>
    </row>
    <row r="347" spans="23:42" ht="15">
      <c r="W347" s="12" t="s">
        <v>1964</v>
      </c>
      <c r="X347" s="13"/>
      <c r="Y347" s="13"/>
      <c r="Z347" s="13"/>
      <c r="AA347" s="14"/>
      <c r="AB347" s="88" t="s">
        <v>1961</v>
      </c>
      <c r="AC347" s="14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8"/>
    </row>
    <row r="348" spans="23:42" ht="15">
      <c r="W348" s="12" t="s">
        <v>1965</v>
      </c>
      <c r="X348" s="13"/>
      <c r="Y348" s="13"/>
      <c r="Z348" s="13"/>
      <c r="AA348" s="14"/>
      <c r="AB348" s="88" t="s">
        <v>2214</v>
      </c>
      <c r="AC348" s="14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6"/>
    </row>
    <row r="349" spans="23:42" ht="15">
      <c r="W349" s="12" t="s">
        <v>1966</v>
      </c>
      <c r="X349" s="13"/>
      <c r="Y349" s="13"/>
      <c r="Z349" s="13"/>
      <c r="AA349" s="14"/>
      <c r="AB349" s="88" t="s">
        <v>1967</v>
      </c>
      <c r="AC349" s="14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8"/>
    </row>
    <row r="350" spans="23:42" ht="15">
      <c r="W350" s="12" t="s">
        <v>1968</v>
      </c>
      <c r="X350" s="13"/>
      <c r="Y350" s="13"/>
      <c r="Z350" s="13"/>
      <c r="AA350" s="14"/>
      <c r="AB350" s="88" t="s">
        <v>1967</v>
      </c>
      <c r="AC350" s="14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6"/>
    </row>
    <row r="351" spans="23:42" ht="15">
      <c r="W351" s="12" t="s">
        <v>1969</v>
      </c>
      <c r="X351" s="13"/>
      <c r="Y351" s="13"/>
      <c r="Z351" s="13"/>
      <c r="AA351" s="14"/>
      <c r="AB351" s="88" t="s">
        <v>1967</v>
      </c>
      <c r="AC351" s="14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8"/>
    </row>
    <row r="352" spans="23:42" ht="15">
      <c r="W352" s="12" t="s">
        <v>1970</v>
      </c>
      <c r="X352" s="13"/>
      <c r="Y352" s="13"/>
      <c r="Z352" s="13"/>
      <c r="AA352" s="14"/>
      <c r="AB352" s="88" t="s">
        <v>1967</v>
      </c>
      <c r="AC352" s="14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6"/>
    </row>
    <row r="353" spans="23:42" ht="15">
      <c r="W353" s="12" t="s">
        <v>1971</v>
      </c>
      <c r="X353" s="13"/>
      <c r="Y353" s="13"/>
      <c r="Z353" s="13"/>
      <c r="AA353" s="14"/>
      <c r="AB353" s="88" t="s">
        <v>1972</v>
      </c>
      <c r="AC353" s="14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8"/>
    </row>
    <row r="354" spans="23:42" ht="15">
      <c r="W354" s="12" t="s">
        <v>1973</v>
      </c>
      <c r="X354" s="13"/>
      <c r="Y354" s="13"/>
      <c r="Z354" s="13"/>
      <c r="AA354" s="14"/>
      <c r="AB354" s="88" t="s">
        <v>1972</v>
      </c>
      <c r="AC354" s="14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6"/>
    </row>
    <row r="355" spans="23:42" ht="15">
      <c r="W355" s="12" t="s">
        <v>1974</v>
      </c>
      <c r="X355" s="13"/>
      <c r="Y355" s="13"/>
      <c r="Z355" s="13"/>
      <c r="AA355" s="14"/>
      <c r="AB355" s="88" t="s">
        <v>1975</v>
      </c>
      <c r="AC355" s="14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8"/>
    </row>
    <row r="356" spans="23:42" ht="15">
      <c r="W356" s="12" t="s">
        <v>1976</v>
      </c>
      <c r="X356" s="13"/>
      <c r="Y356" s="13"/>
      <c r="Z356" s="13"/>
      <c r="AA356" s="14"/>
      <c r="AB356" s="88" t="s">
        <v>1977</v>
      </c>
      <c r="AC356" s="14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6"/>
    </row>
    <row r="357" spans="23:42" ht="15">
      <c r="W357" s="12" t="s">
        <v>1978</v>
      </c>
      <c r="X357" s="13"/>
      <c r="Y357" s="13"/>
      <c r="Z357" s="13"/>
      <c r="AA357" s="14"/>
      <c r="AB357" s="88" t="s">
        <v>1977</v>
      </c>
      <c r="AC357" s="14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8"/>
    </row>
    <row r="358" spans="23:42" ht="15">
      <c r="W358" s="12" t="s">
        <v>1979</v>
      </c>
      <c r="X358" s="13"/>
      <c r="Y358" s="13"/>
      <c r="Z358" s="13"/>
      <c r="AA358" s="14"/>
      <c r="AB358" s="88" t="s">
        <v>1977</v>
      </c>
      <c r="AC358" s="14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6"/>
    </row>
    <row r="359" spans="23:42" ht="15">
      <c r="W359" s="12" t="s">
        <v>1980</v>
      </c>
      <c r="X359" s="13"/>
      <c r="Y359" s="13"/>
      <c r="Z359" s="13"/>
      <c r="AA359" s="14"/>
      <c r="AB359" s="88" t="s">
        <v>1977</v>
      </c>
      <c r="AC359" s="14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8"/>
    </row>
    <row r="360" spans="23:42" ht="15">
      <c r="W360" s="12" t="s">
        <v>1981</v>
      </c>
      <c r="X360" s="13"/>
      <c r="Y360" s="13"/>
      <c r="Z360" s="13"/>
      <c r="AA360" s="14"/>
      <c r="AB360" s="88" t="s">
        <v>1977</v>
      </c>
      <c r="AC360" s="14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6"/>
    </row>
    <row r="361" spans="23:42" ht="15">
      <c r="W361" s="12" t="s">
        <v>1982</v>
      </c>
      <c r="X361" s="13"/>
      <c r="Y361" s="13"/>
      <c r="Z361" s="13"/>
      <c r="AA361" s="14"/>
      <c r="AB361" s="88" t="s">
        <v>1983</v>
      </c>
      <c r="AC361" s="14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8"/>
    </row>
    <row r="362" spans="23:42" ht="15">
      <c r="W362" s="12" t="s">
        <v>1984</v>
      </c>
      <c r="X362" s="13"/>
      <c r="Y362" s="13"/>
      <c r="Z362" s="13"/>
      <c r="AA362" s="14"/>
      <c r="AB362" s="88" t="s">
        <v>1985</v>
      </c>
      <c r="AC362" s="14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6"/>
    </row>
    <row r="363" spans="23:42" ht="15">
      <c r="W363" s="12" t="s">
        <v>1986</v>
      </c>
      <c r="X363" s="13"/>
      <c r="Y363" s="13"/>
      <c r="Z363" s="13"/>
      <c r="AA363" s="14"/>
      <c r="AB363" s="88" t="s">
        <v>1565</v>
      </c>
      <c r="AC363" s="14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8"/>
    </row>
    <row r="364" spans="23:42" ht="15">
      <c r="W364" s="12" t="s">
        <v>1987</v>
      </c>
      <c r="X364" s="13"/>
      <c r="Y364" s="13"/>
      <c r="Z364" s="13"/>
      <c r="AA364" s="14"/>
      <c r="AB364" s="88" t="s">
        <v>1565</v>
      </c>
      <c r="AC364" s="14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6"/>
    </row>
    <row r="365" spans="23:42" ht="15">
      <c r="W365" s="12" t="s">
        <v>1988</v>
      </c>
      <c r="X365" s="13"/>
      <c r="Y365" s="13"/>
      <c r="Z365" s="13"/>
      <c r="AA365" s="14"/>
      <c r="AB365" s="88" t="s">
        <v>1565</v>
      </c>
      <c r="AC365" s="14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8"/>
    </row>
    <row r="366" spans="23:42" ht="15">
      <c r="W366" s="12" t="s">
        <v>1989</v>
      </c>
      <c r="X366" s="13"/>
      <c r="Y366" s="13"/>
      <c r="Z366" s="13"/>
      <c r="AA366" s="14"/>
      <c r="AB366" s="88" t="s">
        <v>1565</v>
      </c>
      <c r="AC366" s="14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6"/>
    </row>
    <row r="367" spans="23:42" ht="15">
      <c r="W367" s="12" t="s">
        <v>1990</v>
      </c>
      <c r="X367" s="13"/>
      <c r="Y367" s="13"/>
      <c r="Z367" s="13"/>
      <c r="AA367" s="14"/>
      <c r="AB367" s="88" t="s">
        <v>1565</v>
      </c>
      <c r="AC367" s="14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8"/>
    </row>
    <row r="368" spans="23:42" ht="15">
      <c r="W368" s="12" t="s">
        <v>1991</v>
      </c>
      <c r="X368" s="13"/>
      <c r="Y368" s="13"/>
      <c r="Z368" s="13"/>
      <c r="AA368" s="14"/>
      <c r="AB368" s="88" t="s">
        <v>1565</v>
      </c>
      <c r="AC368" s="14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6"/>
    </row>
    <row r="369" spans="23:42" ht="15">
      <c r="W369" s="12" t="s">
        <v>1992</v>
      </c>
      <c r="X369" s="13"/>
      <c r="Y369" s="13"/>
      <c r="Z369" s="13"/>
      <c r="AA369" s="14"/>
      <c r="AB369" s="88" t="s">
        <v>1565</v>
      </c>
      <c r="AC369" s="14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8"/>
    </row>
    <row r="370" spans="23:42" ht="15">
      <c r="W370" s="12" t="s">
        <v>1993</v>
      </c>
      <c r="X370" s="13"/>
      <c r="Y370" s="13"/>
      <c r="Z370" s="13"/>
      <c r="AA370" s="14"/>
      <c r="AB370" s="88" t="s">
        <v>1565</v>
      </c>
      <c r="AC370" s="14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6"/>
    </row>
    <row r="371" spans="23:42" ht="15">
      <c r="W371" s="12" t="s">
        <v>1994</v>
      </c>
      <c r="X371" s="13"/>
      <c r="Y371" s="13"/>
      <c r="Z371" s="13"/>
      <c r="AA371" s="14"/>
      <c r="AB371" s="88" t="s">
        <v>1565</v>
      </c>
      <c r="AC371" s="14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8"/>
    </row>
    <row r="372" spans="23:42" ht="15">
      <c r="W372" s="12" t="s">
        <v>1995</v>
      </c>
      <c r="X372" s="13"/>
      <c r="Y372" s="13"/>
      <c r="Z372" s="13"/>
      <c r="AA372" s="14"/>
      <c r="AB372" s="88" t="s">
        <v>1565</v>
      </c>
      <c r="AC372" s="14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6"/>
    </row>
    <row r="373" spans="23:42" ht="15">
      <c r="W373" s="12" t="s">
        <v>1996</v>
      </c>
      <c r="X373" s="13"/>
      <c r="Y373" s="13"/>
      <c r="Z373" s="13"/>
      <c r="AA373" s="14"/>
      <c r="AB373" s="88" t="s">
        <v>1565</v>
      </c>
      <c r="AC373" s="14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8"/>
    </row>
    <row r="374" spans="23:42" ht="15">
      <c r="W374" s="12" t="s">
        <v>1997</v>
      </c>
      <c r="X374" s="13"/>
      <c r="Y374" s="13"/>
      <c r="Z374" s="13"/>
      <c r="AA374" s="14"/>
      <c r="AB374" s="88" t="s">
        <v>1565</v>
      </c>
      <c r="AC374" s="14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6"/>
    </row>
    <row r="375" spans="23:42" ht="15">
      <c r="W375" s="12" t="s">
        <v>1998</v>
      </c>
      <c r="X375" s="13"/>
      <c r="Y375" s="13"/>
      <c r="Z375" s="13"/>
      <c r="AA375" s="14"/>
      <c r="AB375" s="88" t="s">
        <v>1565</v>
      </c>
      <c r="AC375" s="14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8"/>
    </row>
    <row r="376" spans="23:42" ht="15">
      <c r="W376" s="12" t="s">
        <v>1999</v>
      </c>
      <c r="X376" s="13"/>
      <c r="Y376" s="13"/>
      <c r="Z376" s="13"/>
      <c r="AA376" s="14"/>
      <c r="AB376" s="88" t="s">
        <v>1565</v>
      </c>
      <c r="AC376" s="14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6"/>
    </row>
    <row r="377" spans="23:42" ht="15">
      <c r="W377" s="12" t="s">
        <v>2000</v>
      </c>
      <c r="X377" s="13"/>
      <c r="Y377" s="13"/>
      <c r="Z377" s="13"/>
      <c r="AA377" s="14"/>
      <c r="AB377" s="88" t="s">
        <v>1565</v>
      </c>
      <c r="AC377" s="14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8"/>
    </row>
    <row r="378" spans="23:42" ht="15">
      <c r="W378" s="12" t="s">
        <v>2001</v>
      </c>
      <c r="X378" s="13"/>
      <c r="Y378" s="13"/>
      <c r="Z378" s="13"/>
      <c r="AA378" s="14"/>
      <c r="AB378" s="88" t="s">
        <v>1565</v>
      </c>
      <c r="AC378" s="14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6"/>
    </row>
    <row r="379" spans="23:42" ht="15">
      <c r="W379" s="12" t="s">
        <v>2002</v>
      </c>
      <c r="X379" s="13"/>
      <c r="Y379" s="13"/>
      <c r="Z379" s="13"/>
      <c r="AA379" s="14"/>
      <c r="AB379" s="88" t="s">
        <v>1565</v>
      </c>
      <c r="AC379" s="14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8"/>
    </row>
    <row r="380" spans="23:42" ht="15">
      <c r="W380" s="12" t="s">
        <v>2003</v>
      </c>
      <c r="X380" s="13"/>
      <c r="Y380" s="13"/>
      <c r="Z380" s="13"/>
      <c r="AA380" s="14"/>
      <c r="AB380" s="88" t="s">
        <v>1566</v>
      </c>
      <c r="AC380" s="14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6"/>
    </row>
    <row r="381" spans="23:42" ht="15">
      <c r="W381" s="12" t="s">
        <v>2004</v>
      </c>
      <c r="X381" s="13"/>
      <c r="Y381" s="13"/>
      <c r="Z381" s="13"/>
      <c r="AA381" s="14"/>
      <c r="AB381" s="88" t="s">
        <v>1566</v>
      </c>
      <c r="AC381" s="14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8"/>
    </row>
    <row r="382" spans="23:42" ht="15">
      <c r="W382" s="12" t="s">
        <v>2005</v>
      </c>
      <c r="X382" s="13"/>
      <c r="Y382" s="13"/>
      <c r="Z382" s="13"/>
      <c r="AA382" s="14"/>
      <c r="AB382" s="88" t="s">
        <v>1566</v>
      </c>
      <c r="AC382" s="14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6"/>
    </row>
    <row r="383" spans="23:42" ht="15">
      <c r="W383" s="12" t="s">
        <v>2006</v>
      </c>
      <c r="X383" s="13"/>
      <c r="Y383" s="13"/>
      <c r="Z383" s="13"/>
      <c r="AA383" s="14"/>
      <c r="AB383" s="88" t="s">
        <v>1566</v>
      </c>
      <c r="AC383" s="14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8"/>
    </row>
    <row r="384" spans="23:42" ht="15">
      <c r="W384" s="12" t="s">
        <v>1567</v>
      </c>
      <c r="X384" s="13"/>
      <c r="Y384" s="13"/>
      <c r="Z384" s="13"/>
      <c r="AA384" s="14"/>
      <c r="AB384" s="88" t="s">
        <v>1568</v>
      </c>
      <c r="AC384" s="14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6"/>
    </row>
    <row r="385" spans="23:42" ht="15">
      <c r="W385" s="12" t="s">
        <v>2007</v>
      </c>
      <c r="X385" s="13"/>
      <c r="Y385" s="13"/>
      <c r="Z385" s="13"/>
      <c r="AA385" s="14"/>
      <c r="AB385" s="88" t="s">
        <v>2008</v>
      </c>
      <c r="AC385" s="14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8"/>
    </row>
    <row r="386" spans="23:42" ht="15">
      <c r="W386" s="12" t="s">
        <v>2009</v>
      </c>
      <c r="X386" s="13"/>
      <c r="Y386" s="13"/>
      <c r="Z386" s="13"/>
      <c r="AA386" s="14"/>
      <c r="AB386" s="88" t="s">
        <v>2008</v>
      </c>
      <c r="AC386" s="14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6"/>
    </row>
    <row r="387" spans="23:42" ht="15">
      <c r="W387" s="12" t="s">
        <v>2010</v>
      </c>
      <c r="X387" s="13"/>
      <c r="Y387" s="13"/>
      <c r="Z387" s="13"/>
      <c r="AA387" s="14"/>
      <c r="AB387" s="88" t="s">
        <v>2011</v>
      </c>
      <c r="AC387" s="14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8"/>
    </row>
    <row r="388" spans="23:42" ht="15">
      <c r="W388" s="12" t="s">
        <v>2012</v>
      </c>
      <c r="X388" s="13"/>
      <c r="Y388" s="13"/>
      <c r="Z388" s="13"/>
      <c r="AA388" s="14"/>
      <c r="AB388" s="88" t="s">
        <v>1569</v>
      </c>
      <c r="AC388" s="14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6"/>
    </row>
    <row r="389" spans="23:42" ht="15">
      <c r="W389" s="12" t="s">
        <v>2013</v>
      </c>
      <c r="X389" s="13"/>
      <c r="Y389" s="13"/>
      <c r="Z389" s="13"/>
      <c r="AA389" s="14"/>
      <c r="AB389" s="88" t="s">
        <v>1569</v>
      </c>
      <c r="AC389" s="14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8"/>
    </row>
    <row r="390" spans="23:42" ht="15">
      <c r="W390" s="12" t="s">
        <v>2014</v>
      </c>
      <c r="X390" s="13"/>
      <c r="Y390" s="13"/>
      <c r="Z390" s="13"/>
      <c r="AA390" s="14"/>
      <c r="AB390" s="88" t="s">
        <v>1569</v>
      </c>
      <c r="AC390" s="14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6"/>
    </row>
    <row r="391" spans="23:42" ht="15">
      <c r="W391" s="12" t="s">
        <v>2015</v>
      </c>
      <c r="X391" s="13"/>
      <c r="Y391" s="13"/>
      <c r="Z391" s="13"/>
      <c r="AA391" s="14"/>
      <c r="AB391" s="88" t="s">
        <v>1569</v>
      </c>
      <c r="AC391" s="14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8"/>
    </row>
    <row r="392" spans="23:42" ht="15">
      <c r="W392" s="12" t="s">
        <v>2016</v>
      </c>
      <c r="X392" s="13"/>
      <c r="Y392" s="13"/>
      <c r="Z392" s="13"/>
      <c r="AA392" s="14"/>
      <c r="AB392" s="88" t="s">
        <v>1569</v>
      </c>
      <c r="AC392" s="14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6"/>
    </row>
    <row r="393" spans="23:42" ht="15">
      <c r="W393" s="12" t="s">
        <v>2017</v>
      </c>
      <c r="X393" s="13"/>
      <c r="Y393" s="13"/>
      <c r="Z393" s="13"/>
      <c r="AA393" s="14"/>
      <c r="AB393" s="88" t="s">
        <v>1569</v>
      </c>
      <c r="AC393" s="14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8"/>
    </row>
    <row r="394" spans="23:42" ht="15">
      <c r="W394" s="12" t="s">
        <v>2018</v>
      </c>
      <c r="X394" s="13"/>
      <c r="Y394" s="13"/>
      <c r="Z394" s="13"/>
      <c r="AA394" s="14"/>
      <c r="AB394" s="88" t="s">
        <v>1569</v>
      </c>
      <c r="AC394" s="14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6"/>
    </row>
    <row r="395" spans="23:42" ht="15">
      <c r="W395" s="12" t="s">
        <v>2019</v>
      </c>
      <c r="X395" s="13"/>
      <c r="Y395" s="13"/>
      <c r="Z395" s="13"/>
      <c r="AA395" s="14"/>
      <c r="AB395" s="88" t="s">
        <v>1569</v>
      </c>
      <c r="AC395" s="14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8"/>
    </row>
    <row r="396" spans="23:42" ht="15">
      <c r="W396" s="12" t="s">
        <v>2020</v>
      </c>
      <c r="X396" s="13"/>
      <c r="Y396" s="13"/>
      <c r="Z396" s="13"/>
      <c r="AA396" s="14"/>
      <c r="AB396" s="88" t="s">
        <v>1569</v>
      </c>
      <c r="AC396" s="14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6"/>
    </row>
    <row r="397" spans="23:42" ht="15">
      <c r="W397" s="12" t="s">
        <v>2021</v>
      </c>
      <c r="X397" s="13"/>
      <c r="Y397" s="13"/>
      <c r="Z397" s="13"/>
      <c r="AA397" s="14"/>
      <c r="AB397" s="88" t="s">
        <v>1569</v>
      </c>
      <c r="AC397" s="14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8"/>
    </row>
    <row r="398" spans="23:42" ht="15">
      <c r="W398" s="12" t="s">
        <v>2022</v>
      </c>
      <c r="X398" s="13"/>
      <c r="Y398" s="13"/>
      <c r="Z398" s="13"/>
      <c r="AA398" s="14"/>
      <c r="AB398" s="88" t="s">
        <v>1569</v>
      </c>
      <c r="AC398" s="14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6"/>
    </row>
    <row r="399" spans="23:42" ht="15">
      <c r="W399" s="12" t="s">
        <v>2023</v>
      </c>
      <c r="X399" s="13"/>
      <c r="Y399" s="13"/>
      <c r="Z399" s="13"/>
      <c r="AA399" s="14"/>
      <c r="AB399" s="88" t="s">
        <v>1569</v>
      </c>
      <c r="AC399" s="14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8"/>
    </row>
    <row r="400" spans="23:42" ht="15">
      <c r="W400" s="12" t="s">
        <v>2024</v>
      </c>
      <c r="X400" s="13"/>
      <c r="Y400" s="13"/>
      <c r="Z400" s="13"/>
      <c r="AA400" s="14"/>
      <c r="AB400" s="88" t="s">
        <v>1569</v>
      </c>
      <c r="AC400" s="14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6"/>
    </row>
    <row r="401" spans="23:42" ht="15">
      <c r="W401" s="12" t="s">
        <v>2025</v>
      </c>
      <c r="X401" s="13"/>
      <c r="Y401" s="13"/>
      <c r="Z401" s="13"/>
      <c r="AA401" s="14"/>
      <c r="AB401" s="88" t="s">
        <v>1569</v>
      </c>
      <c r="AC401" s="14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8"/>
    </row>
    <row r="402" spans="23:42" ht="15">
      <c r="W402" s="12" t="s">
        <v>2026</v>
      </c>
      <c r="X402" s="13"/>
      <c r="Y402" s="13"/>
      <c r="Z402" s="13"/>
      <c r="AA402" s="14"/>
      <c r="AB402" s="88" t="s">
        <v>1569</v>
      </c>
      <c r="AC402" s="14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6"/>
    </row>
    <row r="403" spans="23:42" ht="15">
      <c r="W403" s="12" t="s">
        <v>2027</v>
      </c>
      <c r="X403" s="13"/>
      <c r="Y403" s="13"/>
      <c r="Z403" s="13"/>
      <c r="AA403" s="14"/>
      <c r="AB403" s="88" t="s">
        <v>1569</v>
      </c>
      <c r="AC403" s="14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8"/>
    </row>
    <row r="404" spans="23:42" ht="15">
      <c r="W404" s="12" t="s">
        <v>2028</v>
      </c>
      <c r="X404" s="13"/>
      <c r="Y404" s="13"/>
      <c r="Z404" s="13"/>
      <c r="AA404" s="14"/>
      <c r="AB404" s="88" t="s">
        <v>1569</v>
      </c>
      <c r="AC404" s="14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6"/>
    </row>
    <row r="405" spans="23:42" ht="15">
      <c r="W405" s="12" t="s">
        <v>2029</v>
      </c>
      <c r="X405" s="13"/>
      <c r="Y405" s="13"/>
      <c r="Z405" s="13"/>
      <c r="AA405" s="14"/>
      <c r="AB405" s="88" t="s">
        <v>1569</v>
      </c>
      <c r="AC405" s="14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8"/>
    </row>
    <row r="406" spans="23:42" ht="15">
      <c r="W406" s="12" t="s">
        <v>2030</v>
      </c>
      <c r="X406" s="13"/>
      <c r="Y406" s="13"/>
      <c r="Z406" s="13"/>
      <c r="AA406" s="14"/>
      <c r="AB406" s="88" t="s">
        <v>1569</v>
      </c>
      <c r="AC406" s="14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6"/>
    </row>
    <row r="407" spans="23:42" ht="15">
      <c r="W407" s="12" t="s">
        <v>2031</v>
      </c>
      <c r="X407" s="13"/>
      <c r="Y407" s="13"/>
      <c r="Z407" s="13"/>
      <c r="AA407" s="14"/>
      <c r="AB407" s="88" t="s">
        <v>1569</v>
      </c>
      <c r="AC407" s="14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8"/>
    </row>
    <row r="408" spans="23:42" ht="15">
      <c r="W408" s="12" t="s">
        <v>2032</v>
      </c>
      <c r="X408" s="13"/>
      <c r="Y408" s="13"/>
      <c r="Z408" s="13"/>
      <c r="AA408" s="14"/>
      <c r="AB408" s="88" t="s">
        <v>1569</v>
      </c>
      <c r="AC408" s="14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6"/>
    </row>
    <row r="409" spans="23:42" ht="15">
      <c r="W409" s="12" t="s">
        <v>2033</v>
      </c>
      <c r="X409" s="13"/>
      <c r="Y409" s="13"/>
      <c r="Z409" s="13"/>
      <c r="AA409" s="14"/>
      <c r="AB409" s="88" t="s">
        <v>1569</v>
      </c>
      <c r="AC409" s="14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8"/>
    </row>
    <row r="410" spans="23:42" ht="15">
      <c r="W410" s="12" t="s">
        <v>2034</v>
      </c>
      <c r="X410" s="13"/>
      <c r="Y410" s="13"/>
      <c r="Z410" s="13"/>
      <c r="AA410" s="14"/>
      <c r="AB410" s="88" t="s">
        <v>1569</v>
      </c>
      <c r="AC410" s="14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6"/>
    </row>
    <row r="411" spans="23:42" ht="15">
      <c r="W411" s="12" t="s">
        <v>2035</v>
      </c>
      <c r="X411" s="13"/>
      <c r="Y411" s="13"/>
      <c r="Z411" s="13"/>
      <c r="AA411" s="14"/>
      <c r="AB411" s="88" t="s">
        <v>1569</v>
      </c>
      <c r="AC411" s="14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8"/>
    </row>
    <row r="412" spans="23:42" ht="15">
      <c r="W412" s="12" t="s">
        <v>2036</v>
      </c>
      <c r="X412" s="13"/>
      <c r="Y412" s="13"/>
      <c r="Z412" s="13"/>
      <c r="AA412" s="14"/>
      <c r="AB412" s="88" t="s">
        <v>1569</v>
      </c>
      <c r="AC412" s="14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6"/>
    </row>
    <row r="413" spans="23:42" ht="15">
      <c r="W413" s="12" t="s">
        <v>2037</v>
      </c>
      <c r="X413" s="13"/>
      <c r="Y413" s="13"/>
      <c r="Z413" s="13"/>
      <c r="AA413" s="14"/>
      <c r="AB413" s="88" t="s">
        <v>1569</v>
      </c>
      <c r="AC413" s="14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8"/>
    </row>
    <row r="414" spans="23:42" ht="15">
      <c r="W414" s="12" t="s">
        <v>2038</v>
      </c>
      <c r="X414" s="13"/>
      <c r="Y414" s="13"/>
      <c r="Z414" s="13"/>
      <c r="AA414" s="14"/>
      <c r="AB414" s="88" t="s">
        <v>1569</v>
      </c>
      <c r="AC414" s="14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6"/>
    </row>
    <row r="415" spans="23:42" ht="15">
      <c r="W415" s="12" t="s">
        <v>2039</v>
      </c>
      <c r="X415" s="13"/>
      <c r="Y415" s="13"/>
      <c r="Z415" s="13"/>
      <c r="AA415" s="14"/>
      <c r="AB415" s="88" t="s">
        <v>2040</v>
      </c>
      <c r="AC415" s="14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8"/>
    </row>
    <row r="416" spans="23:42" ht="15">
      <c r="W416" s="12" t="s">
        <v>2041</v>
      </c>
      <c r="X416" s="13"/>
      <c r="Y416" s="13"/>
      <c r="Z416" s="13"/>
      <c r="AA416" s="14"/>
      <c r="AB416" s="88" t="s">
        <v>2040</v>
      </c>
      <c r="AC416" s="14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6"/>
    </row>
    <row r="417" spans="23:42" ht="15">
      <c r="W417" s="12" t="s">
        <v>2042</v>
      </c>
      <c r="X417" s="13"/>
      <c r="Y417" s="13"/>
      <c r="Z417" s="13"/>
      <c r="AA417" s="14"/>
      <c r="AB417" s="88" t="s">
        <v>2040</v>
      </c>
      <c r="AC417" s="14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8"/>
    </row>
    <row r="418" spans="23:42" ht="15">
      <c r="W418" s="12" t="s">
        <v>2043</v>
      </c>
      <c r="X418" s="13"/>
      <c r="Y418" s="13"/>
      <c r="Z418" s="13"/>
      <c r="AA418" s="14"/>
      <c r="AB418" s="88" t="s">
        <v>2044</v>
      </c>
      <c r="AC418" s="14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6"/>
    </row>
    <row r="419" spans="23:42" ht="15">
      <c r="W419" s="12" t="s">
        <v>2045</v>
      </c>
      <c r="X419" s="13"/>
      <c r="Y419" s="13"/>
      <c r="Z419" s="13"/>
      <c r="AA419" s="14"/>
      <c r="AB419" s="88" t="s">
        <v>2046</v>
      </c>
      <c r="AC419" s="14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8"/>
    </row>
    <row r="420" spans="23:42" ht="15">
      <c r="W420" s="12" t="s">
        <v>2047</v>
      </c>
      <c r="X420" s="13"/>
      <c r="Y420" s="13"/>
      <c r="Z420" s="13"/>
      <c r="AA420" s="14"/>
      <c r="AB420" s="88" t="s">
        <v>2048</v>
      </c>
      <c r="AC420" s="14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6"/>
    </row>
    <row r="421" spans="23:42" ht="15">
      <c r="W421" s="12" t="s">
        <v>2049</v>
      </c>
      <c r="X421" s="13"/>
      <c r="Y421" s="13"/>
      <c r="Z421" s="13"/>
      <c r="AA421" s="14"/>
      <c r="AB421" s="88" t="s">
        <v>2048</v>
      </c>
      <c r="AC421" s="14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8"/>
    </row>
    <row r="422" spans="23:42" ht="15">
      <c r="W422" s="12" t="s">
        <v>2050</v>
      </c>
      <c r="X422" s="13"/>
      <c r="Y422" s="13"/>
      <c r="Z422" s="13"/>
      <c r="AA422" s="14"/>
      <c r="AB422" s="88" t="s">
        <v>2048</v>
      </c>
      <c r="AC422" s="14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6"/>
    </row>
    <row r="423" spans="23:42" ht="15">
      <c r="W423" s="12" t="s">
        <v>2051</v>
      </c>
      <c r="X423" s="13"/>
      <c r="Y423" s="13"/>
      <c r="Z423" s="13"/>
      <c r="AA423" s="14"/>
      <c r="AB423" s="88" t="s">
        <v>2048</v>
      </c>
      <c r="AC423" s="14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8"/>
    </row>
    <row r="424" spans="23:42" ht="15">
      <c r="W424" s="12" t="s">
        <v>2052</v>
      </c>
      <c r="X424" s="13"/>
      <c r="Y424" s="13"/>
      <c r="Z424" s="13"/>
      <c r="AA424" s="14"/>
      <c r="AB424" s="88" t="s">
        <v>2048</v>
      </c>
      <c r="AC424" s="14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6"/>
    </row>
    <row r="425" spans="23:42" ht="15">
      <c r="W425" s="12" t="s">
        <v>2053</v>
      </c>
      <c r="X425" s="13"/>
      <c r="Y425" s="13"/>
      <c r="Z425" s="13"/>
      <c r="AA425" s="14"/>
      <c r="AB425" s="88" t="s">
        <v>2055</v>
      </c>
      <c r="AC425" s="14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8"/>
    </row>
    <row r="426" spans="23:42" ht="15">
      <c r="W426" s="12" t="s">
        <v>2054</v>
      </c>
      <c r="X426" s="13"/>
      <c r="Y426" s="13"/>
      <c r="Z426" s="13"/>
      <c r="AA426" s="14"/>
      <c r="AB426" s="88" t="s">
        <v>2055</v>
      </c>
      <c r="AC426" s="14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6"/>
    </row>
    <row r="427" spans="23:42" ht="15">
      <c r="W427" s="12" t="s">
        <v>2056</v>
      </c>
      <c r="X427" s="13"/>
      <c r="Y427" s="13"/>
      <c r="Z427" s="13"/>
      <c r="AA427" s="14"/>
      <c r="AB427" s="88" t="s">
        <v>2057</v>
      </c>
      <c r="AC427" s="14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8"/>
    </row>
    <row r="428" spans="23:42" ht="15">
      <c r="W428" s="12" t="s">
        <v>2058</v>
      </c>
      <c r="X428" s="13"/>
      <c r="Y428" s="13"/>
      <c r="Z428" s="13"/>
      <c r="AA428" s="14"/>
      <c r="AB428" s="88" t="s">
        <v>2057</v>
      </c>
      <c r="AC428" s="14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6"/>
    </row>
    <row r="429" spans="23:42" ht="15">
      <c r="W429" s="12" t="s">
        <v>2059</v>
      </c>
      <c r="X429" s="13"/>
      <c r="Y429" s="13"/>
      <c r="Z429" s="13"/>
      <c r="AA429" s="14"/>
      <c r="AB429" s="88" t="s">
        <v>2057</v>
      </c>
      <c r="AC429" s="14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8"/>
    </row>
    <row r="430" spans="23:42" ht="15">
      <c r="W430" s="12" t="s">
        <v>2060</v>
      </c>
      <c r="X430" s="13"/>
      <c r="Y430" s="13"/>
      <c r="Z430" s="13"/>
      <c r="AA430" s="14"/>
      <c r="AB430" s="88" t="s">
        <v>2057</v>
      </c>
      <c r="AC430" s="14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6"/>
    </row>
    <row r="431" spans="23:42" ht="15">
      <c r="W431" s="12" t="s">
        <v>2061</v>
      </c>
      <c r="X431" s="13"/>
      <c r="Y431" s="13"/>
      <c r="Z431" s="13"/>
      <c r="AA431" s="14"/>
      <c r="AB431" s="88" t="s">
        <v>2057</v>
      </c>
      <c r="AC431" s="14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8"/>
    </row>
    <row r="432" spans="23:42" ht="15">
      <c r="W432" s="12" t="s">
        <v>2062</v>
      </c>
      <c r="X432" s="13"/>
      <c r="Y432" s="13"/>
      <c r="Z432" s="13"/>
      <c r="AA432" s="14"/>
      <c r="AB432" s="88" t="s">
        <v>2057</v>
      </c>
      <c r="AC432" s="14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6"/>
    </row>
    <row r="433" spans="23:42" ht="15">
      <c r="W433" s="12" t="s">
        <v>2063</v>
      </c>
      <c r="X433" s="13"/>
      <c r="Y433" s="13"/>
      <c r="Z433" s="13"/>
      <c r="AA433" s="14"/>
      <c r="AB433" s="88" t="s">
        <v>2057</v>
      </c>
      <c r="AC433" s="14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8"/>
    </row>
    <row r="434" spans="23:42" ht="15">
      <c r="W434" s="12" t="s">
        <v>2064</v>
      </c>
      <c r="X434" s="13"/>
      <c r="Y434" s="13"/>
      <c r="Z434" s="13"/>
      <c r="AA434" s="14"/>
      <c r="AB434" s="88" t="s">
        <v>2057</v>
      </c>
      <c r="AC434" s="14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6"/>
    </row>
    <row r="435" spans="23:42" ht="15">
      <c r="W435" s="12" t="s">
        <v>2065</v>
      </c>
      <c r="X435" s="13"/>
      <c r="Y435" s="13"/>
      <c r="Z435" s="13"/>
      <c r="AA435" s="14"/>
      <c r="AB435" s="88" t="s">
        <v>2057</v>
      </c>
      <c r="AC435" s="14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8"/>
    </row>
    <row r="436" spans="23:42" ht="15">
      <c r="W436" s="12" t="s">
        <v>2066</v>
      </c>
      <c r="X436" s="13"/>
      <c r="Y436" s="13"/>
      <c r="Z436" s="13"/>
      <c r="AA436" s="14"/>
      <c r="AB436" s="88" t="s">
        <v>2067</v>
      </c>
      <c r="AC436" s="14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6"/>
    </row>
    <row r="437" spans="23:42" ht="15">
      <c r="W437" s="12" t="s">
        <v>2068</v>
      </c>
      <c r="X437" s="13"/>
      <c r="Y437" s="13"/>
      <c r="Z437" s="13"/>
      <c r="AA437" s="14"/>
      <c r="AB437" s="88" t="s">
        <v>2067</v>
      </c>
      <c r="AC437" s="14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8"/>
    </row>
    <row r="438" spans="23:42" ht="15">
      <c r="W438" s="12" t="s">
        <v>2069</v>
      </c>
      <c r="X438" s="13"/>
      <c r="Y438" s="13"/>
      <c r="Z438" s="13"/>
      <c r="AA438" s="14"/>
      <c r="AB438" s="88" t="s">
        <v>2070</v>
      </c>
      <c r="AC438" s="14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6"/>
    </row>
    <row r="439" spans="23:42" ht="15">
      <c r="W439" s="12" t="s">
        <v>2071</v>
      </c>
      <c r="X439" s="13"/>
      <c r="Y439" s="13"/>
      <c r="Z439" s="13"/>
      <c r="AA439" s="14"/>
      <c r="AB439" s="88" t="s">
        <v>2070</v>
      </c>
      <c r="AC439" s="14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8"/>
    </row>
    <row r="440" spans="23:42" ht="15">
      <c r="W440" s="12" t="s">
        <v>2072</v>
      </c>
      <c r="X440" s="13"/>
      <c r="Y440" s="13"/>
      <c r="Z440" s="13"/>
      <c r="AA440" s="14"/>
      <c r="AB440" s="88" t="s">
        <v>2070</v>
      </c>
      <c r="AC440" s="14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6"/>
    </row>
    <row r="441" spans="23:42" ht="15">
      <c r="W441" s="12" t="s">
        <v>2073</v>
      </c>
      <c r="X441" s="13"/>
      <c r="Y441" s="13"/>
      <c r="Z441" s="13"/>
      <c r="AA441" s="14"/>
      <c r="AB441" s="88" t="s">
        <v>2070</v>
      </c>
      <c r="AC441" s="14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8"/>
    </row>
    <row r="442" spans="23:42" ht="15">
      <c r="W442" s="12" t="s">
        <v>2074</v>
      </c>
      <c r="X442" s="13"/>
      <c r="Y442" s="13"/>
      <c r="Z442" s="13"/>
      <c r="AA442" s="14"/>
      <c r="AB442" s="88" t="s">
        <v>2075</v>
      </c>
      <c r="AC442" s="14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6"/>
    </row>
    <row r="443" spans="23:42" ht="15">
      <c r="W443" s="12" t="s">
        <v>2076</v>
      </c>
      <c r="X443" s="13"/>
      <c r="Y443" s="13"/>
      <c r="Z443" s="13"/>
      <c r="AA443" s="14"/>
      <c r="AB443" s="88" t="s">
        <v>2075</v>
      </c>
      <c r="AC443" s="14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8"/>
    </row>
    <row r="444" spans="23:42" ht="15">
      <c r="W444" s="12" t="s">
        <v>2077</v>
      </c>
      <c r="X444" s="13"/>
      <c r="Y444" s="13"/>
      <c r="Z444" s="13"/>
      <c r="AA444" s="14"/>
      <c r="AB444" s="88" t="s">
        <v>2075</v>
      </c>
      <c r="AC444" s="14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6"/>
    </row>
    <row r="445" spans="23:42" ht="15">
      <c r="W445" s="12" t="s">
        <v>2078</v>
      </c>
      <c r="X445" s="13"/>
      <c r="Y445" s="13"/>
      <c r="Z445" s="13"/>
      <c r="AA445" s="14"/>
      <c r="AB445" s="88" t="s">
        <v>2075</v>
      </c>
      <c r="AC445" s="14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8"/>
    </row>
    <row r="446" spans="23:42" ht="15">
      <c r="W446" s="12" t="s">
        <v>2079</v>
      </c>
      <c r="X446" s="13"/>
      <c r="Y446" s="13"/>
      <c r="Z446" s="13"/>
      <c r="AA446" s="14"/>
      <c r="AB446" s="88" t="s">
        <v>2080</v>
      </c>
      <c r="AC446" s="14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6"/>
    </row>
    <row r="447" spans="23:42" ht="15">
      <c r="W447" s="12" t="s">
        <v>2081</v>
      </c>
      <c r="X447" s="13"/>
      <c r="Y447" s="13"/>
      <c r="Z447" s="13"/>
      <c r="AA447" s="14"/>
      <c r="AB447" s="88" t="s">
        <v>2080</v>
      </c>
      <c r="AC447" s="14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8"/>
    </row>
    <row r="448" spans="23:42" ht="15">
      <c r="W448" s="12" t="s">
        <v>2082</v>
      </c>
      <c r="X448" s="13"/>
      <c r="Y448" s="13"/>
      <c r="Z448" s="13"/>
      <c r="AA448" s="14"/>
      <c r="AB448" s="88" t="s">
        <v>2080</v>
      </c>
      <c r="AC448" s="14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6"/>
    </row>
    <row r="449" spans="23:42" ht="15">
      <c r="W449" s="12" t="s">
        <v>2083</v>
      </c>
      <c r="X449" s="13"/>
      <c r="Y449" s="13"/>
      <c r="Z449" s="13"/>
      <c r="AA449" s="14"/>
      <c r="AB449" s="88" t="s">
        <v>2084</v>
      </c>
      <c r="AC449" s="14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8"/>
    </row>
    <row r="450" spans="23:42" ht="15">
      <c r="W450" s="12" t="s">
        <v>2085</v>
      </c>
      <c r="X450" s="13"/>
      <c r="Y450" s="13"/>
      <c r="Z450" s="13"/>
      <c r="AA450" s="14"/>
      <c r="AB450" s="88" t="s">
        <v>2084</v>
      </c>
      <c r="AC450" s="14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6"/>
    </row>
    <row r="451" spans="23:42" ht="15">
      <c r="W451" s="12" t="s">
        <v>2086</v>
      </c>
      <c r="X451" s="13"/>
      <c r="Y451" s="13"/>
      <c r="Z451" s="13"/>
      <c r="AA451" s="14"/>
      <c r="AB451" s="88" t="s">
        <v>2084</v>
      </c>
      <c r="AC451" s="14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8"/>
    </row>
    <row r="452" spans="23:42" ht="15">
      <c r="W452" s="12" t="s">
        <v>2087</v>
      </c>
      <c r="X452" s="13"/>
      <c r="Y452" s="13"/>
      <c r="Z452" s="13"/>
      <c r="AA452" s="14"/>
      <c r="AB452" s="88" t="s">
        <v>2088</v>
      </c>
      <c r="AC452" s="14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6"/>
    </row>
    <row r="453" spans="23:42" ht="15">
      <c r="W453" s="12" t="s">
        <v>2089</v>
      </c>
      <c r="X453" s="13"/>
      <c r="Y453" s="13"/>
      <c r="Z453" s="13"/>
      <c r="AA453" s="14"/>
      <c r="AB453" s="88" t="s">
        <v>2088</v>
      </c>
      <c r="AC453" s="14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8"/>
    </row>
    <row r="454" spans="23:42" ht="15">
      <c r="W454" s="12" t="s">
        <v>2090</v>
      </c>
      <c r="X454" s="13"/>
      <c r="Y454" s="13"/>
      <c r="Z454" s="13"/>
      <c r="AA454" s="14"/>
      <c r="AB454" s="88" t="s">
        <v>2088</v>
      </c>
      <c r="AC454" s="14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6"/>
    </row>
    <row r="455" spans="23:42" ht="15">
      <c r="W455" s="12" t="s">
        <v>2091</v>
      </c>
      <c r="X455" s="13"/>
      <c r="Y455" s="13"/>
      <c r="Z455" s="13"/>
      <c r="AA455" s="14"/>
      <c r="AB455" s="88" t="s">
        <v>1570</v>
      </c>
      <c r="AC455" s="14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8"/>
    </row>
    <row r="456" spans="23:42" ht="15">
      <c r="W456" s="12" t="s">
        <v>2092</v>
      </c>
      <c r="X456" s="13"/>
      <c r="Y456" s="13"/>
      <c r="Z456" s="13"/>
      <c r="AA456" s="14"/>
      <c r="AB456" s="88" t="s">
        <v>2093</v>
      </c>
      <c r="AC456" s="14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6"/>
    </row>
    <row r="457" spans="23:42" ht="15">
      <c r="W457" s="12" t="s">
        <v>2094</v>
      </c>
      <c r="X457" s="13"/>
      <c r="Y457" s="13"/>
      <c r="Z457" s="13"/>
      <c r="AA457" s="14"/>
      <c r="AB457" s="88" t="s">
        <v>2093</v>
      </c>
      <c r="AC457" s="14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8"/>
    </row>
    <row r="458" spans="23:42" ht="15">
      <c r="W458" s="12" t="s">
        <v>2095</v>
      </c>
      <c r="X458" s="13"/>
      <c r="Y458" s="13"/>
      <c r="Z458" s="13"/>
      <c r="AA458" s="14"/>
      <c r="AB458" s="88" t="s">
        <v>2093</v>
      </c>
      <c r="AC458" s="14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6"/>
    </row>
    <row r="459" spans="23:42" ht="15">
      <c r="W459" s="12" t="s">
        <v>2096</v>
      </c>
      <c r="X459" s="13"/>
      <c r="Y459" s="13"/>
      <c r="Z459" s="13"/>
      <c r="AA459" s="14"/>
      <c r="AB459" s="88" t="s">
        <v>2093</v>
      </c>
      <c r="AC459" s="14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8"/>
    </row>
    <row r="460" spans="23:42" ht="15">
      <c r="W460" s="12" t="s">
        <v>2097</v>
      </c>
      <c r="X460" s="13"/>
      <c r="Y460" s="13"/>
      <c r="Z460" s="13"/>
      <c r="AA460" s="14"/>
      <c r="AB460" s="88" t="s">
        <v>2093</v>
      </c>
      <c r="AC460" s="14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6"/>
    </row>
    <row r="461" spans="23:42" ht="15">
      <c r="W461" s="12" t="s">
        <v>2098</v>
      </c>
      <c r="X461" s="13"/>
      <c r="Y461" s="13"/>
      <c r="Z461" s="13"/>
      <c r="AA461" s="14"/>
      <c r="AB461" s="88" t="s">
        <v>1571</v>
      </c>
      <c r="AC461" s="14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8"/>
    </row>
    <row r="462" spans="23:42" ht="15">
      <c r="W462" s="12" t="s">
        <v>2099</v>
      </c>
      <c r="X462" s="13"/>
      <c r="Y462" s="13"/>
      <c r="Z462" s="13"/>
      <c r="AA462" s="14"/>
      <c r="AB462" s="88" t="s">
        <v>1572</v>
      </c>
      <c r="AC462" s="14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6"/>
    </row>
    <row r="463" spans="23:42" ht="15">
      <c r="W463" s="12" t="s">
        <v>2100</v>
      </c>
      <c r="X463" s="13"/>
      <c r="Y463" s="13"/>
      <c r="Z463" s="13"/>
      <c r="AA463" s="14"/>
      <c r="AB463" s="88" t="s">
        <v>1573</v>
      </c>
      <c r="AC463" s="14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8"/>
    </row>
    <row r="464" spans="23:42" ht="15">
      <c r="W464" s="12" t="s">
        <v>2101</v>
      </c>
      <c r="X464" s="13"/>
      <c r="Y464" s="13"/>
      <c r="Z464" s="13"/>
      <c r="AA464" s="14"/>
      <c r="AB464" s="88" t="s">
        <v>1573</v>
      </c>
      <c r="AC464" s="14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6"/>
    </row>
    <row r="465" spans="23:42" ht="15">
      <c r="W465" s="12" t="s">
        <v>2102</v>
      </c>
      <c r="X465" s="13"/>
      <c r="Y465" s="13"/>
      <c r="Z465" s="13"/>
      <c r="AA465" s="14"/>
      <c r="AB465" s="88" t="s">
        <v>1573</v>
      </c>
      <c r="AC465" s="14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8"/>
    </row>
    <row r="466" spans="23:42" ht="15">
      <c r="W466" s="12" t="s">
        <v>2103</v>
      </c>
      <c r="X466" s="13"/>
      <c r="Y466" s="13"/>
      <c r="Z466" s="13"/>
      <c r="AA466" s="14"/>
      <c r="AB466" s="88" t="s">
        <v>1573</v>
      </c>
      <c r="AC466" s="14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6"/>
    </row>
    <row r="467" spans="23:42" ht="15">
      <c r="W467" s="12" t="s">
        <v>2104</v>
      </c>
      <c r="X467" s="13"/>
      <c r="Y467" s="13"/>
      <c r="Z467" s="13"/>
      <c r="AA467" s="14"/>
      <c r="AB467" s="88" t="s">
        <v>1573</v>
      </c>
      <c r="AC467" s="14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8"/>
    </row>
    <row r="468" spans="23:42" ht="15">
      <c r="W468" s="12" t="s">
        <v>2105</v>
      </c>
      <c r="X468" s="13"/>
      <c r="Y468" s="13"/>
      <c r="Z468" s="13"/>
      <c r="AA468" s="14"/>
      <c r="AB468" s="88" t="s">
        <v>1573</v>
      </c>
      <c r="AC468" s="14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6"/>
    </row>
    <row r="469" spans="23:42" ht="15">
      <c r="W469" s="12" t="s">
        <v>2106</v>
      </c>
      <c r="X469" s="13"/>
      <c r="Y469" s="13"/>
      <c r="Z469" s="13"/>
      <c r="AA469" s="14"/>
      <c r="AB469" s="88" t="s">
        <v>1573</v>
      </c>
      <c r="AC469" s="14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8"/>
    </row>
    <row r="470" spans="23:42" ht="15">
      <c r="W470" s="12" t="s">
        <v>2107</v>
      </c>
      <c r="X470" s="13"/>
      <c r="Y470" s="13"/>
      <c r="Z470" s="13"/>
      <c r="AA470" s="14"/>
      <c r="AB470" s="88" t="s">
        <v>1574</v>
      </c>
      <c r="AC470" s="14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6"/>
    </row>
    <row r="471" spans="23:42" ht="15">
      <c r="W471" s="12" t="s">
        <v>2108</v>
      </c>
      <c r="X471" s="13"/>
      <c r="Y471" s="13"/>
      <c r="Z471" s="13"/>
      <c r="AA471" s="14"/>
      <c r="AB471" s="88" t="s">
        <v>1575</v>
      </c>
      <c r="AC471" s="14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8"/>
    </row>
    <row r="472" spans="23:42" ht="15">
      <c r="W472" s="12" t="s">
        <v>2109</v>
      </c>
      <c r="X472" s="13"/>
      <c r="Y472" s="13"/>
      <c r="Z472" s="13"/>
      <c r="AA472" s="14"/>
      <c r="AB472" s="88" t="s">
        <v>1577</v>
      </c>
      <c r="AC472" s="14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6"/>
    </row>
    <row r="473" spans="23:42" ht="15">
      <c r="W473" s="12" t="s">
        <v>2110</v>
      </c>
      <c r="X473" s="13"/>
      <c r="Y473" s="13"/>
      <c r="Z473" s="13"/>
      <c r="AA473" s="14"/>
      <c r="AB473" s="88" t="s">
        <v>1577</v>
      </c>
      <c r="AC473" s="14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8"/>
    </row>
    <row r="474" spans="23:42" ht="15">
      <c r="W474" s="12" t="s">
        <v>1576</v>
      </c>
      <c r="X474" s="13"/>
      <c r="Y474" s="13"/>
      <c r="Z474" s="13"/>
      <c r="AA474" s="14"/>
      <c r="AB474" s="88" t="s">
        <v>1577</v>
      </c>
      <c r="AC474" s="14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6"/>
    </row>
    <row r="475" spans="23:42" ht="15">
      <c r="W475" s="12" t="s">
        <v>2111</v>
      </c>
      <c r="X475" s="13"/>
      <c r="Y475" s="13"/>
      <c r="Z475" s="13"/>
      <c r="AA475" s="14"/>
      <c r="AB475" s="88" t="s">
        <v>1577</v>
      </c>
      <c r="AC475" s="14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8"/>
    </row>
    <row r="476" spans="23:42" ht="15">
      <c r="W476" s="12" t="s">
        <v>2112</v>
      </c>
      <c r="X476" s="13"/>
      <c r="Y476" s="13"/>
      <c r="Z476" s="13"/>
      <c r="AA476" s="14"/>
      <c r="AB476" s="88" t="s">
        <v>1578</v>
      </c>
      <c r="AC476" s="14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6"/>
    </row>
    <row r="477" spans="23:42" ht="15">
      <c r="W477" s="12" t="s">
        <v>2113</v>
      </c>
      <c r="X477" s="13"/>
      <c r="Y477" s="13"/>
      <c r="Z477" s="13"/>
      <c r="AA477" s="14"/>
      <c r="AB477" s="88" t="s">
        <v>1578</v>
      </c>
      <c r="AC477" s="14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8"/>
    </row>
    <row r="478" spans="23:42" ht="15">
      <c r="W478" s="12" t="s">
        <v>2114</v>
      </c>
      <c r="X478" s="13"/>
      <c r="Y478" s="13"/>
      <c r="Z478" s="13"/>
      <c r="AA478" s="14"/>
      <c r="AB478" s="88" t="s">
        <v>1578</v>
      </c>
      <c r="AC478" s="14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6"/>
    </row>
    <row r="479" spans="23:42" ht="15">
      <c r="W479" s="12" t="s">
        <v>2115</v>
      </c>
      <c r="X479" s="13"/>
      <c r="Y479" s="13"/>
      <c r="Z479" s="13"/>
      <c r="AA479" s="14"/>
      <c r="AB479" s="88" t="s">
        <v>1578</v>
      </c>
      <c r="AC479" s="14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8"/>
    </row>
    <row r="480" spans="23:42" ht="15">
      <c r="W480" s="12" t="s">
        <v>2116</v>
      </c>
      <c r="X480" s="13"/>
      <c r="Y480" s="13"/>
      <c r="Z480" s="13"/>
      <c r="AA480" s="14"/>
      <c r="AB480" s="88" t="s">
        <v>1578</v>
      </c>
      <c r="AC480" s="14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6"/>
    </row>
    <row r="481" spans="23:42" ht="15">
      <c r="W481" s="12" t="s">
        <v>2117</v>
      </c>
      <c r="X481" s="13"/>
      <c r="Y481" s="13"/>
      <c r="Z481" s="13"/>
      <c r="AA481" s="14"/>
      <c r="AB481" s="88" t="s">
        <v>1578</v>
      </c>
      <c r="AC481" s="14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8"/>
    </row>
    <row r="482" spans="23:42" ht="15">
      <c r="W482" s="12" t="s">
        <v>2118</v>
      </c>
      <c r="X482" s="13"/>
      <c r="Y482" s="13"/>
      <c r="Z482" s="13"/>
      <c r="AA482" s="14"/>
      <c r="AB482" s="88" t="s">
        <v>1578</v>
      </c>
      <c r="AC482" s="14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6"/>
    </row>
    <row r="483" spans="23:42" ht="15">
      <c r="W483" s="12" t="s">
        <v>2119</v>
      </c>
      <c r="X483" s="13"/>
      <c r="Y483" s="13"/>
      <c r="Z483" s="13"/>
      <c r="AA483" s="14"/>
      <c r="AB483" s="88" t="s">
        <v>1578</v>
      </c>
      <c r="AC483" s="14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8"/>
    </row>
    <row r="484" spans="23:42" ht="15">
      <c r="W484" s="12" t="s">
        <v>2120</v>
      </c>
      <c r="X484" s="13"/>
      <c r="Y484" s="13"/>
      <c r="Z484" s="13"/>
      <c r="AA484" s="14"/>
      <c r="AB484" s="88" t="s">
        <v>1578</v>
      </c>
      <c r="AC484" s="14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6"/>
    </row>
    <row r="485" spans="23:42" ht="15">
      <c r="W485" s="12" t="s">
        <v>2121</v>
      </c>
      <c r="X485" s="13"/>
      <c r="Y485" s="13"/>
      <c r="Z485" s="13"/>
      <c r="AA485" s="14"/>
      <c r="AB485" s="88" t="s">
        <v>1579</v>
      </c>
      <c r="AC485" s="14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8"/>
    </row>
    <row r="486" spans="23:42" ht="15">
      <c r="W486" s="12" t="s">
        <v>2122</v>
      </c>
      <c r="X486" s="13"/>
      <c r="Y486" s="13"/>
      <c r="Z486" s="13"/>
      <c r="AA486" s="14"/>
      <c r="AB486" s="88" t="s">
        <v>1579</v>
      </c>
      <c r="AC486" s="14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6"/>
    </row>
    <row r="487" spans="23:42" ht="15">
      <c r="W487" s="12" t="s">
        <v>1580</v>
      </c>
      <c r="X487" s="13"/>
      <c r="Y487" s="13"/>
      <c r="Z487" s="13"/>
      <c r="AA487" s="14"/>
      <c r="AB487" s="88" t="s">
        <v>1579</v>
      </c>
      <c r="AC487" s="14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8"/>
    </row>
    <row r="488" spans="23:42" ht="15">
      <c r="W488" s="12" t="s">
        <v>2123</v>
      </c>
      <c r="X488" s="13"/>
      <c r="Y488" s="13"/>
      <c r="Z488" s="13"/>
      <c r="AA488" s="14"/>
      <c r="AB488" s="88" t="s">
        <v>1579</v>
      </c>
      <c r="AC488" s="14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6"/>
    </row>
    <row r="489" spans="23:42" ht="15">
      <c r="W489" s="12" t="s">
        <v>2124</v>
      </c>
      <c r="X489" s="13"/>
      <c r="Y489" s="13"/>
      <c r="Z489" s="13"/>
      <c r="AA489" s="14"/>
      <c r="AB489" s="88" t="s">
        <v>1579</v>
      </c>
      <c r="AC489" s="14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8"/>
    </row>
    <row r="490" spans="23:42" ht="15">
      <c r="W490" s="12" t="s">
        <v>2125</v>
      </c>
      <c r="X490" s="13"/>
      <c r="Y490" s="13"/>
      <c r="Z490" s="13"/>
      <c r="AA490" s="14"/>
      <c r="AB490" s="88" t="s">
        <v>1579</v>
      </c>
      <c r="AC490" s="14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6"/>
    </row>
    <row r="491" spans="23:42" ht="15">
      <c r="W491" s="12" t="s">
        <v>2126</v>
      </c>
      <c r="X491" s="13"/>
      <c r="Y491" s="13"/>
      <c r="Z491" s="13"/>
      <c r="AA491" s="14"/>
      <c r="AB491" s="88" t="s">
        <v>1581</v>
      </c>
      <c r="AC491" s="14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8"/>
    </row>
    <row r="492" spans="23:42" ht="15">
      <c r="W492" s="12" t="s">
        <v>2127</v>
      </c>
      <c r="X492" s="13"/>
      <c r="Y492" s="13"/>
      <c r="Z492" s="13"/>
      <c r="AA492" s="14"/>
      <c r="AB492" s="88" t="s">
        <v>1581</v>
      </c>
      <c r="AC492" s="14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6"/>
    </row>
    <row r="493" spans="23:42" ht="15">
      <c r="W493" s="12" t="s">
        <v>1901</v>
      </c>
      <c r="X493" s="13"/>
      <c r="Y493" s="13"/>
      <c r="Z493" s="13"/>
      <c r="AA493" s="14"/>
      <c r="AB493" s="88" t="s">
        <v>1581</v>
      </c>
      <c r="AC493" s="14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8"/>
    </row>
    <row r="494" spans="23:42" ht="15">
      <c r="W494" s="12" t="s">
        <v>2128</v>
      </c>
      <c r="X494" s="13"/>
      <c r="Y494" s="13"/>
      <c r="Z494" s="13"/>
      <c r="AA494" s="14"/>
      <c r="AB494" s="88" t="s">
        <v>1581</v>
      </c>
      <c r="AC494" s="14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6"/>
    </row>
    <row r="495" spans="23:42" ht="15">
      <c r="W495" s="12" t="s">
        <v>2129</v>
      </c>
      <c r="X495" s="13"/>
      <c r="Y495" s="13"/>
      <c r="Z495" s="13"/>
      <c r="AA495" s="14"/>
      <c r="AB495" s="88" t="s">
        <v>1581</v>
      </c>
      <c r="AC495" s="14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8"/>
    </row>
    <row r="496" spans="23:42" ht="15">
      <c r="W496" s="12" t="s">
        <v>2130</v>
      </c>
      <c r="X496" s="13"/>
      <c r="Y496" s="13"/>
      <c r="Z496" s="13"/>
      <c r="AA496" s="14"/>
      <c r="AB496" s="88" t="s">
        <v>1581</v>
      </c>
      <c r="AC496" s="14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6"/>
    </row>
    <row r="497" spans="23:42" ht="15">
      <c r="W497" s="12" t="s">
        <v>2131</v>
      </c>
      <c r="X497" s="13"/>
      <c r="Y497" s="13"/>
      <c r="Z497" s="13"/>
      <c r="AA497" s="14"/>
      <c r="AB497" s="88" t="s">
        <v>1581</v>
      </c>
      <c r="AC497" s="14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8"/>
    </row>
    <row r="498" spans="23:42" ht="15">
      <c r="W498" s="12" t="s">
        <v>2132</v>
      </c>
      <c r="X498" s="13"/>
      <c r="Y498" s="13"/>
      <c r="Z498" s="13"/>
      <c r="AA498" s="14"/>
      <c r="AB498" s="88" t="s">
        <v>1581</v>
      </c>
      <c r="AC498" s="14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6"/>
    </row>
    <row r="499" spans="23:42" ht="15">
      <c r="W499" s="12" t="s">
        <v>2133</v>
      </c>
      <c r="X499" s="13"/>
      <c r="Y499" s="13"/>
      <c r="Z499" s="13"/>
      <c r="AA499" s="14"/>
      <c r="AB499" s="88" t="s">
        <v>1581</v>
      </c>
      <c r="AC499" s="14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8"/>
    </row>
    <row r="500" spans="23:42" ht="15">
      <c r="W500" s="12" t="s">
        <v>2134</v>
      </c>
      <c r="X500" s="13"/>
      <c r="Y500" s="13"/>
      <c r="Z500" s="13"/>
      <c r="AA500" s="14"/>
      <c r="AB500" s="88" t="s">
        <v>1581</v>
      </c>
      <c r="AC500" s="14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6"/>
    </row>
    <row r="501" spans="23:42" ht="15">
      <c r="W501" s="12" t="s">
        <v>2135</v>
      </c>
      <c r="X501" s="13"/>
      <c r="Y501" s="13"/>
      <c r="Z501" s="13"/>
      <c r="AA501" s="14"/>
      <c r="AB501" s="88" t="s">
        <v>1581</v>
      </c>
      <c r="AC501" s="14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8"/>
    </row>
    <row r="502" spans="23:42" ht="15">
      <c r="W502" s="12" t="s">
        <v>2136</v>
      </c>
      <c r="X502" s="13"/>
      <c r="Y502" s="13"/>
      <c r="Z502" s="13"/>
      <c r="AA502" s="14"/>
      <c r="AB502" s="88" t="s">
        <v>2137</v>
      </c>
      <c r="AC502" s="14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6"/>
    </row>
    <row r="503" spans="23:42" ht="15">
      <c r="W503" s="12" t="s">
        <v>2138</v>
      </c>
      <c r="X503" s="13"/>
      <c r="Y503" s="13"/>
      <c r="Z503" s="13"/>
      <c r="AA503" s="14"/>
      <c r="AB503" s="88" t="s">
        <v>2137</v>
      </c>
      <c r="AC503" s="14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8"/>
    </row>
    <row r="504" spans="23:42" ht="15">
      <c r="W504" s="12" t="s">
        <v>2139</v>
      </c>
      <c r="X504" s="13"/>
      <c r="Y504" s="13"/>
      <c r="Z504" s="13"/>
      <c r="AA504" s="14"/>
      <c r="AB504" s="88" t="s">
        <v>2140</v>
      </c>
      <c r="AC504" s="14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6"/>
    </row>
    <row r="505" spans="23:42" ht="15">
      <c r="W505" s="12" t="s">
        <v>1926</v>
      </c>
      <c r="X505" s="13"/>
      <c r="Y505" s="13"/>
      <c r="Z505" s="13"/>
      <c r="AA505" s="14"/>
      <c r="AB505" s="88" t="s">
        <v>1582</v>
      </c>
      <c r="AC505" s="14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8"/>
    </row>
    <row r="506" spans="23:42" ht="15">
      <c r="W506" s="12" t="s">
        <v>2141</v>
      </c>
      <c r="X506" s="13"/>
      <c r="Y506" s="13"/>
      <c r="Z506" s="13"/>
      <c r="AA506" s="14"/>
      <c r="AB506" s="88" t="s">
        <v>1582</v>
      </c>
      <c r="AC506" s="14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6"/>
    </row>
    <row r="507" spans="23:42" ht="15">
      <c r="W507" s="12" t="s">
        <v>2142</v>
      </c>
      <c r="X507" s="13"/>
      <c r="Y507" s="13"/>
      <c r="Z507" s="13"/>
      <c r="AA507" s="14"/>
      <c r="AB507" s="88" t="s">
        <v>1583</v>
      </c>
      <c r="AC507" s="14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8"/>
    </row>
    <row r="508" spans="23:42" ht="15">
      <c r="W508" s="12" t="s">
        <v>2143</v>
      </c>
      <c r="X508" s="13"/>
      <c r="Y508" s="13"/>
      <c r="Z508" s="13"/>
      <c r="AA508" s="14"/>
      <c r="AB508" s="88" t="s">
        <v>2144</v>
      </c>
      <c r="AC508" s="14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6"/>
    </row>
    <row r="509" spans="23:42" ht="15">
      <c r="W509" s="12" t="s">
        <v>2145</v>
      </c>
      <c r="X509" s="13"/>
      <c r="Y509" s="13"/>
      <c r="Z509" s="13"/>
      <c r="AA509" s="14"/>
      <c r="AB509" s="88" t="s">
        <v>2144</v>
      </c>
      <c r="AC509" s="14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8"/>
    </row>
    <row r="510" spans="23:42" ht="15">
      <c r="W510" s="12" t="s">
        <v>2146</v>
      </c>
      <c r="X510" s="13"/>
      <c r="Y510" s="13"/>
      <c r="Z510" s="13"/>
      <c r="AA510" s="14"/>
      <c r="AB510" s="88" t="s">
        <v>2147</v>
      </c>
      <c r="AC510" s="14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6"/>
    </row>
    <row r="511" spans="23:42" ht="15">
      <c r="W511" s="12" t="s">
        <v>2148</v>
      </c>
      <c r="X511" s="13"/>
      <c r="Y511" s="13"/>
      <c r="Z511" s="13"/>
      <c r="AA511" s="14"/>
      <c r="AB511" s="88" t="s">
        <v>2147</v>
      </c>
      <c r="AC511" s="14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8"/>
    </row>
    <row r="512" spans="23:42" ht="15">
      <c r="W512" s="12" t="s">
        <v>2149</v>
      </c>
      <c r="X512" s="13"/>
      <c r="Y512" s="13"/>
      <c r="Z512" s="13"/>
      <c r="AA512" s="14"/>
      <c r="AB512" s="88" t="s">
        <v>2150</v>
      </c>
      <c r="AC512" s="14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6"/>
    </row>
    <row r="513" spans="23:42" ht="15">
      <c r="W513" s="12" t="s">
        <v>2151</v>
      </c>
      <c r="X513" s="13"/>
      <c r="Y513" s="13"/>
      <c r="Z513" s="13"/>
      <c r="AA513" s="14"/>
      <c r="AB513" s="88" t="s">
        <v>1585</v>
      </c>
      <c r="AC513" s="14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8"/>
    </row>
    <row r="514" spans="23:42" ht="15">
      <c r="W514" s="12" t="s">
        <v>2152</v>
      </c>
      <c r="X514" s="13"/>
      <c r="Y514" s="13"/>
      <c r="Z514" s="13"/>
      <c r="AA514" s="14"/>
      <c r="AB514" s="88" t="s">
        <v>1585</v>
      </c>
      <c r="AC514" s="14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6"/>
    </row>
    <row r="515" spans="23:42" ht="15">
      <c r="W515" s="12" t="s">
        <v>2153</v>
      </c>
      <c r="X515" s="13"/>
      <c r="Y515" s="13"/>
      <c r="Z515" s="13"/>
      <c r="AA515" s="14"/>
      <c r="AB515" s="88" t="s">
        <v>1585</v>
      </c>
      <c r="AC515" s="14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8"/>
    </row>
    <row r="516" spans="23:42" ht="15">
      <c r="W516" s="12" t="s">
        <v>2154</v>
      </c>
      <c r="X516" s="13"/>
      <c r="Y516" s="13"/>
      <c r="Z516" s="13"/>
      <c r="AA516" s="14"/>
      <c r="AB516" s="88" t="s">
        <v>1585</v>
      </c>
      <c r="AC516" s="14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6"/>
    </row>
    <row r="517" spans="23:42" ht="15">
      <c r="W517" s="12" t="s">
        <v>2155</v>
      </c>
      <c r="X517" s="13"/>
      <c r="Y517" s="13"/>
      <c r="Z517" s="13"/>
      <c r="AA517" s="14"/>
      <c r="AB517" s="88" t="s">
        <v>1585</v>
      </c>
      <c r="AC517" s="14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8"/>
    </row>
    <row r="518" spans="23:42" ht="15">
      <c r="W518" s="12" t="s">
        <v>2156</v>
      </c>
      <c r="X518" s="13"/>
      <c r="Y518" s="13"/>
      <c r="Z518" s="13"/>
      <c r="AA518" s="14"/>
      <c r="AB518" s="88" t="s">
        <v>1585</v>
      </c>
      <c r="AC518" s="14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6"/>
    </row>
    <row r="519" spans="23:42" ht="15">
      <c r="W519" s="12" t="s">
        <v>2157</v>
      </c>
      <c r="X519" s="13"/>
      <c r="Y519" s="13"/>
      <c r="Z519" s="13"/>
      <c r="AA519" s="14"/>
      <c r="AB519" s="88" t="s">
        <v>1585</v>
      </c>
      <c r="AC519" s="14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8"/>
    </row>
    <row r="520" spans="23:42" ht="15">
      <c r="W520" s="12" t="s">
        <v>2158</v>
      </c>
      <c r="X520" s="13"/>
      <c r="Y520" s="13"/>
      <c r="Z520" s="13"/>
      <c r="AA520" s="14"/>
      <c r="AB520" s="88" t="s">
        <v>1585</v>
      </c>
      <c r="AC520" s="14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6"/>
    </row>
    <row r="521" spans="23:42" ht="15">
      <c r="W521" s="12" t="s">
        <v>2159</v>
      </c>
      <c r="X521" s="13"/>
      <c r="Y521" s="13"/>
      <c r="Z521" s="13"/>
      <c r="AA521" s="14"/>
      <c r="AB521" s="88" t="s">
        <v>1585</v>
      </c>
      <c r="AC521" s="14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8"/>
    </row>
    <row r="522" spans="23:42" ht="15">
      <c r="W522" s="12" t="s">
        <v>2160</v>
      </c>
      <c r="X522" s="13"/>
      <c r="Y522" s="13"/>
      <c r="Z522" s="13"/>
      <c r="AA522" s="14"/>
      <c r="AB522" s="88" t="s">
        <v>1585</v>
      </c>
      <c r="AC522" s="14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6"/>
    </row>
    <row r="523" spans="23:42" ht="15">
      <c r="W523" s="12" t="s">
        <v>2161</v>
      </c>
      <c r="X523" s="13"/>
      <c r="Y523" s="13"/>
      <c r="Z523" s="13"/>
      <c r="AA523" s="14"/>
      <c r="AB523" s="88" t="s">
        <v>1585</v>
      </c>
      <c r="AC523" s="14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8"/>
    </row>
    <row r="524" spans="23:42" ht="15">
      <c r="W524" s="12" t="s">
        <v>1926</v>
      </c>
      <c r="X524" s="13"/>
      <c r="Y524" s="13"/>
      <c r="Z524" s="13"/>
      <c r="AA524" s="14"/>
      <c r="AB524" s="88" t="s">
        <v>1585</v>
      </c>
      <c r="AC524" s="14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6"/>
    </row>
    <row r="525" spans="23:42" ht="15">
      <c r="W525" s="12" t="s">
        <v>2162</v>
      </c>
      <c r="X525" s="13"/>
      <c r="Y525" s="13"/>
      <c r="Z525" s="13"/>
      <c r="AA525" s="14"/>
      <c r="AB525" s="88" t="s">
        <v>1585</v>
      </c>
      <c r="AC525" s="14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8"/>
    </row>
    <row r="526" spans="23:42" ht="15">
      <c r="W526" s="12" t="s">
        <v>2163</v>
      </c>
      <c r="X526" s="13"/>
      <c r="Y526" s="13"/>
      <c r="Z526" s="13"/>
      <c r="AA526" s="14"/>
      <c r="AB526" s="88" t="s">
        <v>1585</v>
      </c>
      <c r="AC526" s="14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6"/>
    </row>
    <row r="527" spans="23:42" ht="15">
      <c r="W527" s="12" t="s">
        <v>2042</v>
      </c>
      <c r="X527" s="13"/>
      <c r="Y527" s="13"/>
      <c r="Z527" s="13"/>
      <c r="AA527" s="14"/>
      <c r="AB527" s="88" t="s">
        <v>1585</v>
      </c>
      <c r="AC527" s="14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8"/>
    </row>
    <row r="528" spans="23:42" ht="15">
      <c r="W528" s="12" t="s">
        <v>2164</v>
      </c>
      <c r="X528" s="13"/>
      <c r="Y528" s="13"/>
      <c r="Z528" s="13"/>
      <c r="AA528" s="14"/>
      <c r="AB528" s="88" t="s">
        <v>1585</v>
      </c>
      <c r="AC528" s="14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6"/>
    </row>
    <row r="529" spans="23:42" ht="15">
      <c r="W529" s="12" t="s">
        <v>2165</v>
      </c>
      <c r="X529" s="13"/>
      <c r="Y529" s="13"/>
      <c r="Z529" s="13"/>
      <c r="AA529" s="14"/>
      <c r="AB529" s="88" t="s">
        <v>1585</v>
      </c>
      <c r="AC529" s="14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8"/>
    </row>
    <row r="530" spans="23:42" ht="15">
      <c r="W530" s="12" t="s">
        <v>2166</v>
      </c>
      <c r="X530" s="13"/>
      <c r="Y530" s="13"/>
      <c r="Z530" s="13"/>
      <c r="AA530" s="14"/>
      <c r="AB530" s="88" t="s">
        <v>1585</v>
      </c>
      <c r="AC530" s="14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6"/>
    </row>
    <row r="531" spans="23:42" ht="15">
      <c r="W531" s="12" t="s">
        <v>2167</v>
      </c>
      <c r="X531" s="13"/>
      <c r="Y531" s="13"/>
      <c r="Z531" s="13"/>
      <c r="AA531" s="14"/>
      <c r="AB531" s="88" t="s">
        <v>1585</v>
      </c>
      <c r="AC531" s="14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8"/>
    </row>
    <row r="532" spans="23:42" ht="15">
      <c r="W532" s="12" t="s">
        <v>2168</v>
      </c>
      <c r="X532" s="13"/>
      <c r="Y532" s="13"/>
      <c r="Z532" s="13"/>
      <c r="AA532" s="14"/>
      <c r="AB532" s="88" t="s">
        <v>1585</v>
      </c>
      <c r="AC532" s="14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6"/>
    </row>
    <row r="533" spans="23:42" ht="15">
      <c r="W533" s="12" t="s">
        <v>2169</v>
      </c>
      <c r="X533" s="13"/>
      <c r="Y533" s="13"/>
      <c r="Z533" s="13"/>
      <c r="AA533" s="14"/>
      <c r="AB533" s="88" t="s">
        <v>1585</v>
      </c>
      <c r="AC533" s="14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8"/>
    </row>
    <row r="534" spans="23:42" ht="15">
      <c r="W534" s="12" t="s">
        <v>2170</v>
      </c>
      <c r="X534" s="13"/>
      <c r="Y534" s="13"/>
      <c r="Z534" s="13"/>
      <c r="AA534" s="14"/>
      <c r="AB534" s="88" t="s">
        <v>1585</v>
      </c>
      <c r="AC534" s="14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6"/>
    </row>
    <row r="535" spans="23:42" ht="15">
      <c r="W535" s="12" t="s">
        <v>2171</v>
      </c>
      <c r="X535" s="13"/>
      <c r="Y535" s="13"/>
      <c r="Z535" s="13"/>
      <c r="AA535" s="14"/>
      <c r="AB535" s="88" t="s">
        <v>1585</v>
      </c>
      <c r="AC535" s="14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8"/>
    </row>
    <row r="536" spans="23:42" ht="15">
      <c r="W536" s="12" t="s">
        <v>2172</v>
      </c>
      <c r="X536" s="13"/>
      <c r="Y536" s="13"/>
      <c r="Z536" s="13"/>
      <c r="AA536" s="14"/>
      <c r="AB536" s="88" t="s">
        <v>1585</v>
      </c>
      <c r="AC536" s="14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6"/>
    </row>
    <row r="537" spans="23:42" ht="15">
      <c r="W537" s="12" t="s">
        <v>2173</v>
      </c>
      <c r="X537" s="13"/>
      <c r="Y537" s="13"/>
      <c r="Z537" s="13"/>
      <c r="AA537" s="14"/>
      <c r="AB537" s="88" t="s">
        <v>1585</v>
      </c>
      <c r="AC537" s="14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8"/>
    </row>
    <row r="538" spans="23:42" ht="15">
      <c r="W538" s="12" t="s">
        <v>2174</v>
      </c>
      <c r="X538" s="13"/>
      <c r="Y538" s="13"/>
      <c r="Z538" s="13"/>
      <c r="AA538" s="14"/>
      <c r="AB538" s="88" t="s">
        <v>1585</v>
      </c>
      <c r="AC538" s="14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6"/>
    </row>
    <row r="539" spans="23:42" ht="15">
      <c r="W539" s="12" t="s">
        <v>2175</v>
      </c>
      <c r="X539" s="13"/>
      <c r="Y539" s="13"/>
      <c r="Z539" s="13"/>
      <c r="AA539" s="14"/>
      <c r="AB539" s="88" t="s">
        <v>1585</v>
      </c>
      <c r="AC539" s="14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8"/>
    </row>
    <row r="540" spans="23:42" ht="15">
      <c r="W540" s="12" t="s">
        <v>2176</v>
      </c>
      <c r="X540" s="13"/>
      <c r="Y540" s="13"/>
      <c r="Z540" s="13"/>
      <c r="AA540" s="14"/>
      <c r="AB540" s="88" t="s">
        <v>1585</v>
      </c>
      <c r="AC540" s="14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6"/>
    </row>
    <row r="541" spans="23:42" ht="15">
      <c r="W541" s="12" t="s">
        <v>2177</v>
      </c>
      <c r="X541" s="13"/>
      <c r="Y541" s="13"/>
      <c r="Z541" s="13"/>
      <c r="AA541" s="14"/>
      <c r="AB541" s="88" t="s">
        <v>1585</v>
      </c>
      <c r="AC541" s="14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8"/>
    </row>
    <row r="542" spans="23:42" ht="15">
      <c r="W542" s="12" t="s">
        <v>2178</v>
      </c>
      <c r="X542" s="13"/>
      <c r="Y542" s="13"/>
      <c r="Z542" s="13"/>
      <c r="AA542" s="14"/>
      <c r="AB542" s="88" t="s">
        <v>1585</v>
      </c>
      <c r="AC542" s="14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6"/>
    </row>
    <row r="543" spans="23:42" ht="15">
      <c r="W543" s="12" t="s">
        <v>1592</v>
      </c>
      <c r="X543" s="13"/>
      <c r="Y543" s="13"/>
      <c r="Z543" s="13"/>
      <c r="AA543" s="14"/>
      <c r="AB543" s="88" t="s">
        <v>1585</v>
      </c>
      <c r="AC543" s="14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8"/>
    </row>
    <row r="544" spans="23:42" ht="15">
      <c r="W544" s="12" t="s">
        <v>2179</v>
      </c>
      <c r="X544" s="13"/>
      <c r="Y544" s="13"/>
      <c r="Z544" s="13"/>
      <c r="AA544" s="14"/>
      <c r="AB544" s="88" t="s">
        <v>1585</v>
      </c>
      <c r="AC544" s="14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6"/>
    </row>
    <row r="545" spans="23:42" ht="15">
      <c r="W545" s="12" t="s">
        <v>2180</v>
      </c>
      <c r="X545" s="13"/>
      <c r="Y545" s="13"/>
      <c r="Z545" s="13"/>
      <c r="AA545" s="14"/>
      <c r="AB545" s="88" t="s">
        <v>1585</v>
      </c>
      <c r="AC545" s="14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8"/>
    </row>
    <row r="546" spans="23:42" ht="15">
      <c r="W546" s="12" t="s">
        <v>1591</v>
      </c>
      <c r="X546" s="13"/>
      <c r="Y546" s="13"/>
      <c r="Z546" s="13"/>
      <c r="AA546" s="14"/>
      <c r="AB546" s="88" t="s">
        <v>1585</v>
      </c>
      <c r="AC546" s="14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6"/>
    </row>
    <row r="547" spans="23:42" ht="15">
      <c r="W547" s="12" t="s">
        <v>2181</v>
      </c>
      <c r="X547" s="13"/>
      <c r="Y547" s="13"/>
      <c r="Z547" s="13"/>
      <c r="AA547" s="14"/>
      <c r="AB547" s="88" t="s">
        <v>1585</v>
      </c>
      <c r="AC547" s="14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8"/>
    </row>
    <row r="548" spans="23:42" ht="15">
      <c r="W548" s="12" t="s">
        <v>1590</v>
      </c>
      <c r="X548" s="13"/>
      <c r="Y548" s="13"/>
      <c r="Z548" s="13"/>
      <c r="AA548" s="14"/>
      <c r="AB548" s="88" t="s">
        <v>1585</v>
      </c>
      <c r="AC548" s="14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6"/>
    </row>
    <row r="549" spans="23:42" ht="15">
      <c r="W549" s="12" t="s">
        <v>2182</v>
      </c>
      <c r="X549" s="13"/>
      <c r="Y549" s="13"/>
      <c r="Z549" s="13"/>
      <c r="AA549" s="14"/>
      <c r="AB549" s="88" t="s">
        <v>1585</v>
      </c>
      <c r="AC549" s="14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8"/>
    </row>
    <row r="550" spans="23:42" ht="15">
      <c r="W550" s="12" t="s">
        <v>2183</v>
      </c>
      <c r="X550" s="13"/>
      <c r="Y550" s="13"/>
      <c r="Z550" s="13"/>
      <c r="AA550" s="14"/>
      <c r="AB550" s="88" t="s">
        <v>1585</v>
      </c>
      <c r="AC550" s="14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6"/>
    </row>
    <row r="551" spans="23:42" ht="15">
      <c r="W551" s="12" t="s">
        <v>1589</v>
      </c>
      <c r="X551" s="13"/>
      <c r="Y551" s="13"/>
      <c r="Z551" s="13"/>
      <c r="AA551" s="14"/>
      <c r="AB551" s="88" t="s">
        <v>1585</v>
      </c>
      <c r="AC551" s="14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8"/>
    </row>
    <row r="552" spans="23:42" ht="15">
      <c r="W552" s="12" t="s">
        <v>2184</v>
      </c>
      <c r="X552" s="13"/>
      <c r="Y552" s="13"/>
      <c r="Z552" s="13"/>
      <c r="AA552" s="14"/>
      <c r="AB552" s="88" t="s">
        <v>1585</v>
      </c>
      <c r="AC552" s="14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6"/>
    </row>
    <row r="553" spans="23:42" ht="15">
      <c r="W553" s="12" t="s">
        <v>2185</v>
      </c>
      <c r="X553" s="13"/>
      <c r="Y553" s="13"/>
      <c r="Z553" s="13"/>
      <c r="AA553" s="14"/>
      <c r="AB553" s="88" t="s">
        <v>1585</v>
      </c>
      <c r="AC553" s="14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8"/>
    </row>
    <row r="554" spans="23:42" ht="15">
      <c r="W554" s="12" t="s">
        <v>2186</v>
      </c>
      <c r="X554" s="13"/>
      <c r="Y554" s="13"/>
      <c r="Z554" s="13"/>
      <c r="AA554" s="14"/>
      <c r="AB554" s="88" t="s">
        <v>1585</v>
      </c>
      <c r="AC554" s="14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6"/>
    </row>
    <row r="555" spans="23:42" ht="15">
      <c r="W555" s="12" t="s">
        <v>2187</v>
      </c>
      <c r="X555" s="13"/>
      <c r="Y555" s="13"/>
      <c r="Z555" s="13"/>
      <c r="AA555" s="14"/>
      <c r="AB555" s="88" t="s">
        <v>1585</v>
      </c>
      <c r="AC555" s="14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8"/>
    </row>
    <row r="556" spans="23:42" ht="15">
      <c r="W556" s="12" t="s">
        <v>1588</v>
      </c>
      <c r="X556" s="13"/>
      <c r="Y556" s="13"/>
      <c r="Z556" s="13"/>
      <c r="AA556" s="14"/>
      <c r="AB556" s="88" t="s">
        <v>1585</v>
      </c>
      <c r="AC556" s="14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6"/>
    </row>
    <row r="557" spans="23:42" ht="15">
      <c r="W557" s="12" t="s">
        <v>2188</v>
      </c>
      <c r="X557" s="13"/>
      <c r="Y557" s="13"/>
      <c r="Z557" s="13"/>
      <c r="AA557" s="14"/>
      <c r="AB557" s="88" t="s">
        <v>1585</v>
      </c>
      <c r="AC557" s="14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8"/>
    </row>
    <row r="558" spans="23:42" ht="15">
      <c r="W558" s="12" t="s">
        <v>1587</v>
      </c>
      <c r="X558" s="13"/>
      <c r="Y558" s="13"/>
      <c r="Z558" s="13"/>
      <c r="AA558" s="14"/>
      <c r="AB558" s="88" t="s">
        <v>1585</v>
      </c>
      <c r="AC558" s="14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6"/>
    </row>
    <row r="559" spans="23:42" ht="15">
      <c r="W559" s="12" t="s">
        <v>2189</v>
      </c>
      <c r="X559" s="13"/>
      <c r="Y559" s="13"/>
      <c r="Z559" s="13"/>
      <c r="AA559" s="14"/>
      <c r="AB559" s="88" t="s">
        <v>1585</v>
      </c>
      <c r="AC559" s="14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8"/>
    </row>
    <row r="560" spans="23:42" ht="15">
      <c r="W560" s="12" t="s">
        <v>1586</v>
      </c>
      <c r="X560" s="13"/>
      <c r="Y560" s="13"/>
      <c r="Z560" s="13"/>
      <c r="AA560" s="14"/>
      <c r="AB560" s="88" t="s">
        <v>1585</v>
      </c>
      <c r="AC560" s="14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6"/>
    </row>
    <row r="561" spans="23:42" ht="15">
      <c r="W561" s="12" t="s">
        <v>2190</v>
      </c>
      <c r="X561" s="13"/>
      <c r="Y561" s="13"/>
      <c r="Z561" s="13"/>
      <c r="AA561" s="14"/>
      <c r="AB561" s="88" t="s">
        <v>1585</v>
      </c>
      <c r="AC561" s="14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8"/>
    </row>
    <row r="562" spans="23:42" ht="15">
      <c r="W562" s="12" t="s">
        <v>1584</v>
      </c>
      <c r="X562" s="13"/>
      <c r="Y562" s="13"/>
      <c r="Z562" s="13"/>
      <c r="AA562" s="14"/>
      <c r="AB562" s="88" t="s">
        <v>1585</v>
      </c>
      <c r="AC562" s="14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6"/>
    </row>
    <row r="563" spans="23:42" ht="15">
      <c r="W563" s="12" t="s">
        <v>2191</v>
      </c>
      <c r="X563" s="13"/>
      <c r="Y563" s="13"/>
      <c r="Z563" s="13"/>
      <c r="AA563" s="14"/>
      <c r="AB563" s="88" t="s">
        <v>1593</v>
      </c>
      <c r="AC563" s="14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8"/>
    </row>
    <row r="564" spans="23:42" ht="15">
      <c r="W564" s="12" t="s">
        <v>2192</v>
      </c>
      <c r="X564" s="13"/>
      <c r="Y564" s="13"/>
      <c r="Z564" s="13"/>
      <c r="AA564" s="14"/>
      <c r="AB564" s="88" t="s">
        <v>1593</v>
      </c>
      <c r="AC564" s="14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6"/>
    </row>
    <row r="565" spans="23:42" ht="15">
      <c r="W565" s="12" t="s">
        <v>2193</v>
      </c>
      <c r="X565" s="13"/>
      <c r="Y565" s="13"/>
      <c r="Z565" s="13"/>
      <c r="AA565" s="14"/>
      <c r="AB565" s="88" t="s">
        <v>1593</v>
      </c>
      <c r="AC565" s="14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8"/>
    </row>
    <row r="566" spans="23:42" ht="15">
      <c r="W566" s="12" t="s">
        <v>2194</v>
      </c>
      <c r="X566" s="13"/>
      <c r="Y566" s="13"/>
      <c r="Z566" s="13"/>
      <c r="AA566" s="14"/>
      <c r="AB566" s="88" t="s">
        <v>1593</v>
      </c>
      <c r="AC566" s="14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6"/>
    </row>
    <row r="567" spans="23:42" ht="15">
      <c r="W567" s="12" t="s">
        <v>2195</v>
      </c>
      <c r="X567" s="13"/>
      <c r="Y567" s="13"/>
      <c r="Z567" s="13"/>
      <c r="AA567" s="14"/>
      <c r="AB567" s="88" t="s">
        <v>1593</v>
      </c>
      <c r="AC567" s="14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8"/>
    </row>
    <row r="568" spans="23:42" ht="15">
      <c r="W568" s="12" t="s">
        <v>2196</v>
      </c>
      <c r="X568" s="13"/>
      <c r="Y568" s="13"/>
      <c r="Z568" s="13"/>
      <c r="AA568" s="14"/>
      <c r="AB568" s="88" t="s">
        <v>1593</v>
      </c>
      <c r="AC568" s="14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6"/>
    </row>
    <row r="569" spans="23:42" ht="15">
      <c r="W569" s="12" t="s">
        <v>2197</v>
      </c>
      <c r="X569" s="13"/>
      <c r="Y569" s="13"/>
      <c r="Z569" s="13"/>
      <c r="AA569" s="14"/>
      <c r="AB569" s="88" t="s">
        <v>1593</v>
      </c>
      <c r="AC569" s="14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8"/>
    </row>
    <row r="570" spans="23:42" ht="15">
      <c r="W570" s="12" t="s">
        <v>2198</v>
      </c>
      <c r="X570" s="13"/>
      <c r="Y570" s="13"/>
      <c r="Z570" s="13"/>
      <c r="AA570" s="14"/>
      <c r="AB570" s="88" t="s">
        <v>1593</v>
      </c>
      <c r="AC570" s="14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6"/>
    </row>
    <row r="571" spans="23:42" ht="15">
      <c r="W571" s="12" t="s">
        <v>2199</v>
      </c>
      <c r="X571" s="13"/>
      <c r="Y571" s="13"/>
      <c r="Z571" s="13"/>
      <c r="AA571" s="14"/>
      <c r="AB571" s="88" t="s">
        <v>1593</v>
      </c>
      <c r="AC571" s="14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8"/>
    </row>
    <row r="572" spans="23:42" ht="15">
      <c r="W572" s="12" t="s">
        <v>2056</v>
      </c>
      <c r="X572" s="13"/>
      <c r="Y572" s="13"/>
      <c r="Z572" s="13"/>
      <c r="AA572" s="14"/>
      <c r="AB572" s="88" t="s">
        <v>1594</v>
      </c>
      <c r="AC572" s="14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6"/>
    </row>
    <row r="573" spans="23:42" ht="15">
      <c r="W573" s="12" t="s">
        <v>2200</v>
      </c>
      <c r="X573" s="13"/>
      <c r="Y573" s="13"/>
      <c r="Z573" s="13"/>
      <c r="AA573" s="14"/>
      <c r="AB573" s="88" t="s">
        <v>1594</v>
      </c>
      <c r="AC573" s="14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8"/>
    </row>
    <row r="574" spans="23:42" ht="15">
      <c r="W574" s="12" t="s">
        <v>2201</v>
      </c>
      <c r="X574" s="13"/>
      <c r="Y574" s="13"/>
      <c r="Z574" s="13"/>
      <c r="AA574" s="14"/>
      <c r="AB574" s="88" t="s">
        <v>1595</v>
      </c>
      <c r="AC574" s="14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6"/>
    </row>
    <row r="575" spans="23:42" ht="15">
      <c r="W575" s="12" t="s">
        <v>2202</v>
      </c>
      <c r="X575" s="13"/>
      <c r="Y575" s="13"/>
      <c r="Z575" s="13"/>
      <c r="AA575" s="14"/>
      <c r="AB575" s="88" t="s">
        <v>1595</v>
      </c>
      <c r="AC575" s="14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8"/>
    </row>
    <row r="576" spans="23:42" ht="15">
      <c r="W576" s="12" t="s">
        <v>2203</v>
      </c>
      <c r="X576" s="13"/>
      <c r="Y576" s="13"/>
      <c r="Z576" s="13"/>
      <c r="AA576" s="14"/>
      <c r="AB576" s="88" t="s">
        <v>1595</v>
      </c>
      <c r="AC576" s="14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6"/>
    </row>
    <row r="577" spans="23:42" ht="15">
      <c r="W577" s="12" t="s">
        <v>2204</v>
      </c>
      <c r="X577" s="13"/>
      <c r="Y577" s="13"/>
      <c r="Z577" s="13"/>
      <c r="AA577" s="14"/>
      <c r="AB577" s="88" t="s">
        <v>2205</v>
      </c>
      <c r="AC577" s="14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8"/>
    </row>
    <row r="578" spans="23:42" ht="15">
      <c r="W578" s="12"/>
      <c r="X578" s="13"/>
      <c r="Y578" s="13"/>
      <c r="Z578" s="13"/>
      <c r="AA578" s="14"/>
      <c r="AB578" s="89"/>
      <c r="AC578" s="14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6"/>
    </row>
    <row r="579" spans="23:42" ht="15">
      <c r="W579" s="12"/>
      <c r="X579" s="13"/>
      <c r="Y579" s="13"/>
      <c r="Z579" s="13"/>
      <c r="AA579" s="14"/>
      <c r="AB579" s="89"/>
      <c r="AC579" s="14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8"/>
    </row>
    <row r="580" spans="23:42" ht="15">
      <c r="W580" s="12"/>
      <c r="X580" s="13"/>
      <c r="Y580" s="13"/>
      <c r="Z580" s="13"/>
      <c r="AA580" s="14"/>
      <c r="AB580" s="89"/>
      <c r="AC580" s="14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6"/>
    </row>
    <row r="581" spans="23:42" ht="15">
      <c r="W581" s="12"/>
      <c r="X581" s="13"/>
      <c r="Y581" s="13"/>
      <c r="Z581" s="13"/>
      <c r="AA581" s="14"/>
      <c r="AB581" s="89"/>
      <c r="AC581" s="14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8"/>
    </row>
    <row r="582" spans="23:42" ht="15">
      <c r="W582" s="12"/>
      <c r="X582" s="13"/>
      <c r="Y582" s="13"/>
      <c r="Z582" s="13"/>
      <c r="AA582" s="14"/>
      <c r="AB582" s="89"/>
      <c r="AC582" s="14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6"/>
    </row>
    <row r="583" spans="23:42" ht="15">
      <c r="W583" s="12"/>
      <c r="X583" s="13"/>
      <c r="Y583" s="13"/>
      <c r="Z583" s="13"/>
      <c r="AA583" s="14"/>
      <c r="AB583" s="89"/>
      <c r="AC583" s="14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8"/>
    </row>
    <row r="584" spans="23:42" ht="15">
      <c r="W584" s="12"/>
      <c r="X584" s="13"/>
      <c r="Y584" s="13"/>
      <c r="Z584" s="13"/>
      <c r="AA584" s="14"/>
      <c r="AB584" s="89"/>
      <c r="AC584" s="14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6"/>
    </row>
    <row r="585" spans="23:42" ht="15">
      <c r="W585" s="12"/>
      <c r="X585" s="13"/>
      <c r="Y585" s="13"/>
      <c r="Z585" s="13"/>
      <c r="AA585" s="14"/>
      <c r="AB585" s="89"/>
      <c r="AC585" s="14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8"/>
    </row>
    <row r="586" spans="23:42" ht="15">
      <c r="W586" s="12"/>
      <c r="X586" s="13"/>
      <c r="Y586" s="13"/>
      <c r="Z586" s="13"/>
      <c r="AA586" s="14"/>
      <c r="AB586" s="89"/>
      <c r="AC586" s="14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6"/>
    </row>
    <row r="587" spans="23:42" ht="15">
      <c r="W587" s="12"/>
      <c r="X587" s="13"/>
      <c r="Y587" s="13"/>
      <c r="Z587" s="13"/>
      <c r="AA587" s="14"/>
      <c r="AB587" s="89"/>
      <c r="AC587" s="14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8"/>
    </row>
    <row r="588" spans="23:42" ht="15">
      <c r="W588" s="12"/>
      <c r="X588" s="13"/>
      <c r="Y588" s="13"/>
      <c r="Z588" s="13"/>
      <c r="AA588" s="14"/>
      <c r="AB588" s="89"/>
      <c r="AC588" s="14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6"/>
    </row>
    <row r="589" spans="23:42" ht="15">
      <c r="W589" s="12"/>
      <c r="X589" s="13"/>
      <c r="Y589" s="13"/>
      <c r="Z589" s="13"/>
      <c r="AA589" s="14"/>
      <c r="AB589" s="89"/>
      <c r="AC589" s="14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8"/>
    </row>
    <row r="590" spans="23:42" ht="15">
      <c r="W590" s="12"/>
      <c r="X590" s="13"/>
      <c r="Y590" s="13"/>
      <c r="Z590" s="13"/>
      <c r="AA590" s="14"/>
      <c r="AB590" s="89"/>
      <c r="AC590" s="14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6"/>
    </row>
    <row r="591" spans="23:42" ht="15">
      <c r="W591" s="12"/>
      <c r="X591" s="13"/>
      <c r="Y591" s="13"/>
      <c r="Z591" s="13"/>
      <c r="AA591" s="14"/>
      <c r="AB591" s="89"/>
      <c r="AC591" s="14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8"/>
    </row>
    <row r="592" spans="23:42" ht="15">
      <c r="W592" s="12"/>
      <c r="X592" s="13"/>
      <c r="Y592" s="13"/>
      <c r="Z592" s="13"/>
      <c r="AA592" s="14"/>
      <c r="AB592" s="89"/>
      <c r="AC592" s="14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6"/>
    </row>
    <row r="593" spans="23:42" ht="15">
      <c r="W593" s="12"/>
      <c r="X593" s="13"/>
      <c r="Y593" s="13"/>
      <c r="Z593" s="13"/>
      <c r="AA593" s="14"/>
      <c r="AB593" s="89"/>
      <c r="AC593" s="14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8"/>
    </row>
    <row r="594" spans="23:42" ht="15">
      <c r="W594" s="12"/>
      <c r="X594" s="13"/>
      <c r="Y594" s="13"/>
      <c r="Z594" s="13"/>
      <c r="AA594" s="14"/>
      <c r="AB594" s="89"/>
      <c r="AC594" s="14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6"/>
    </row>
    <row r="595" spans="23:42" ht="15">
      <c r="W595" s="12"/>
      <c r="X595" s="13"/>
      <c r="Y595" s="13"/>
      <c r="Z595" s="13"/>
      <c r="AA595" s="14"/>
      <c r="AB595" s="89"/>
      <c r="AC595" s="14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8"/>
    </row>
    <row r="596" spans="23:42" ht="15">
      <c r="W596" s="12"/>
      <c r="X596" s="13"/>
      <c r="Y596" s="13"/>
      <c r="Z596" s="13"/>
      <c r="AA596" s="14"/>
      <c r="AB596" s="89"/>
      <c r="AC596" s="14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6"/>
    </row>
    <row r="597" spans="23:42" ht="15">
      <c r="W597" s="12"/>
      <c r="X597" s="13"/>
      <c r="Y597" s="13"/>
      <c r="Z597" s="13"/>
      <c r="AA597" s="14"/>
      <c r="AB597" s="89"/>
      <c r="AC597" s="14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8"/>
    </row>
    <row r="598" spans="23:42" ht="15">
      <c r="W598" s="12"/>
      <c r="X598" s="13"/>
      <c r="Y598" s="13"/>
      <c r="Z598" s="13"/>
      <c r="AA598" s="14"/>
      <c r="AB598" s="89"/>
      <c r="AC598" s="14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6"/>
    </row>
    <row r="599" spans="23:42" ht="15">
      <c r="W599" s="12"/>
      <c r="X599" s="13"/>
      <c r="Y599" s="13"/>
      <c r="Z599" s="13"/>
      <c r="AA599" s="14"/>
      <c r="AB599" s="89"/>
      <c r="AC599" s="14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8"/>
    </row>
    <row r="600" spans="23:42" ht="15">
      <c r="W600" s="12"/>
      <c r="X600" s="13"/>
      <c r="Y600" s="13"/>
      <c r="Z600" s="13"/>
      <c r="AA600" s="14"/>
      <c r="AB600" s="89"/>
      <c r="AC600" s="14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6"/>
    </row>
    <row r="601" spans="23:42" ht="15">
      <c r="W601" s="12"/>
      <c r="X601" s="13"/>
      <c r="Y601" s="13"/>
      <c r="Z601" s="13"/>
      <c r="AA601" s="14"/>
      <c r="AB601" s="89"/>
      <c r="AC601" s="14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8"/>
    </row>
    <row r="602" spans="23:42" ht="15">
      <c r="W602" s="12"/>
      <c r="X602" s="13"/>
      <c r="Y602" s="13"/>
      <c r="Z602" s="13"/>
      <c r="AA602" s="14"/>
      <c r="AB602" s="89"/>
      <c r="AC602" s="14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6"/>
    </row>
    <row r="603" spans="23:42" ht="15">
      <c r="W603" s="12"/>
      <c r="X603" s="13"/>
      <c r="Y603" s="13"/>
      <c r="Z603" s="13"/>
      <c r="AA603" s="14"/>
      <c r="AB603" s="89"/>
      <c r="AC603" s="14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8"/>
    </row>
    <row r="604" spans="23:42" ht="15">
      <c r="W604" s="12"/>
      <c r="X604" s="13"/>
      <c r="Y604" s="13"/>
      <c r="Z604" s="13"/>
      <c r="AA604" s="14"/>
      <c r="AB604" s="89"/>
      <c r="AC604" s="14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6"/>
    </row>
    <row r="605" spans="23:42" ht="15">
      <c r="W605" s="12"/>
      <c r="X605" s="13"/>
      <c r="Y605" s="13"/>
      <c r="Z605" s="13"/>
      <c r="AA605" s="14"/>
      <c r="AB605" s="89"/>
      <c r="AC605" s="14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8"/>
    </row>
    <row r="606" spans="23:42" ht="15">
      <c r="W606" s="12"/>
      <c r="X606" s="13"/>
      <c r="Y606" s="13"/>
      <c r="Z606" s="13"/>
      <c r="AA606" s="14"/>
      <c r="AB606" s="89"/>
      <c r="AC606" s="14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6"/>
    </row>
    <row r="607" spans="23:42" ht="15">
      <c r="W607" s="12"/>
      <c r="X607" s="13"/>
      <c r="Y607" s="13"/>
      <c r="Z607" s="13"/>
      <c r="AA607" s="14"/>
      <c r="AB607" s="89"/>
      <c r="AC607" s="14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8"/>
    </row>
    <row r="608" spans="23:42" ht="15">
      <c r="W608" s="12"/>
      <c r="X608" s="13"/>
      <c r="Y608" s="13"/>
      <c r="Z608" s="13"/>
      <c r="AA608" s="14"/>
      <c r="AB608" s="89"/>
      <c r="AC608" s="14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6"/>
    </row>
    <row r="609" spans="23:42" ht="15">
      <c r="W609" s="12"/>
      <c r="X609" s="13"/>
      <c r="Y609" s="13"/>
      <c r="Z609" s="13"/>
      <c r="AA609" s="14"/>
      <c r="AB609" s="89"/>
      <c r="AC609" s="14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8"/>
    </row>
    <row r="610" spans="23:42" ht="15">
      <c r="W610" s="12"/>
      <c r="X610" s="13"/>
      <c r="Y610" s="13"/>
      <c r="Z610" s="13"/>
      <c r="AA610" s="14"/>
      <c r="AB610" s="89"/>
      <c r="AC610" s="14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6"/>
    </row>
    <row r="611" spans="23:42" ht="15">
      <c r="W611" s="12"/>
      <c r="X611" s="13"/>
      <c r="Y611" s="13"/>
      <c r="Z611" s="13"/>
      <c r="AA611" s="14"/>
      <c r="AB611" s="89"/>
      <c r="AC611" s="14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8"/>
    </row>
    <row r="612" spans="23:42" ht="15">
      <c r="W612" s="12"/>
      <c r="X612" s="13"/>
      <c r="Y612" s="13"/>
      <c r="Z612" s="13"/>
      <c r="AA612" s="14"/>
      <c r="AB612" s="89"/>
      <c r="AC612" s="14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6"/>
    </row>
    <row r="613" spans="23:42" ht="15">
      <c r="W613" s="12"/>
      <c r="X613" s="13"/>
      <c r="Y613" s="13"/>
      <c r="Z613" s="13"/>
      <c r="AA613" s="14"/>
      <c r="AB613" s="89"/>
      <c r="AC613" s="14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8"/>
    </row>
    <row r="614" spans="23:42" ht="15">
      <c r="W614" s="12"/>
      <c r="X614" s="13"/>
      <c r="Y614" s="13"/>
      <c r="Z614" s="13"/>
      <c r="AA614" s="14"/>
      <c r="AB614" s="89"/>
      <c r="AC614" s="14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6"/>
    </row>
    <row r="615" spans="23:42" ht="15">
      <c r="W615" s="12"/>
      <c r="X615" s="13"/>
      <c r="Y615" s="13"/>
      <c r="Z615" s="13"/>
      <c r="AA615" s="14"/>
      <c r="AB615" s="89"/>
      <c r="AC615" s="14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8"/>
    </row>
    <row r="616" spans="23:42" ht="15">
      <c r="W616" s="12"/>
      <c r="X616" s="13"/>
      <c r="Y616" s="13"/>
      <c r="Z616" s="13"/>
      <c r="AA616" s="14"/>
      <c r="AB616" s="89"/>
      <c r="AC616" s="14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6"/>
    </row>
    <row r="617" spans="23:42" ht="15">
      <c r="W617" s="12"/>
      <c r="X617" s="13"/>
      <c r="Y617" s="13"/>
      <c r="Z617" s="13"/>
      <c r="AA617" s="14"/>
      <c r="AB617" s="89"/>
      <c r="AC617" s="14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8"/>
    </row>
    <row r="618" spans="23:42" ht="15">
      <c r="W618" s="12"/>
      <c r="X618" s="13"/>
      <c r="Y618" s="13"/>
      <c r="Z618" s="13"/>
      <c r="AA618" s="14"/>
      <c r="AB618" s="89"/>
      <c r="AC618" s="14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6"/>
    </row>
    <row r="619" spans="23:42" ht="15">
      <c r="W619" s="12"/>
      <c r="X619" s="13"/>
      <c r="Y619" s="13"/>
      <c r="Z619" s="13"/>
      <c r="AA619" s="14"/>
      <c r="AB619" s="89"/>
      <c r="AC619" s="14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8"/>
    </row>
    <row r="620" spans="23:42" ht="15">
      <c r="W620" s="12"/>
      <c r="X620" s="13"/>
      <c r="Y620" s="13"/>
      <c r="Z620" s="13"/>
      <c r="AA620" s="14"/>
      <c r="AB620" s="89"/>
      <c r="AC620" s="14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6"/>
    </row>
    <row r="621" spans="23:42" ht="15">
      <c r="W621" s="12"/>
      <c r="X621" s="13"/>
      <c r="Y621" s="13"/>
      <c r="Z621" s="13"/>
      <c r="AA621" s="14"/>
      <c r="AB621" s="89"/>
      <c r="AC621" s="14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8"/>
    </row>
    <row r="622" spans="23:42" ht="15">
      <c r="W622" s="12"/>
      <c r="X622" s="13"/>
      <c r="Y622" s="13"/>
      <c r="Z622" s="13"/>
      <c r="AA622" s="14"/>
      <c r="AB622" s="89"/>
      <c r="AC622" s="14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6"/>
    </row>
    <row r="623" spans="23:42" ht="15">
      <c r="W623" s="12"/>
      <c r="X623" s="13"/>
      <c r="Y623" s="13"/>
      <c r="Z623" s="13"/>
      <c r="AA623" s="14"/>
      <c r="AB623" s="89"/>
      <c r="AC623" s="14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8"/>
    </row>
    <row r="624" spans="23:42" ht="15">
      <c r="W624" s="12"/>
      <c r="X624" s="13"/>
      <c r="Y624" s="13"/>
      <c r="Z624" s="13"/>
      <c r="AA624" s="14"/>
      <c r="AB624" s="89"/>
      <c r="AC624" s="14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6"/>
    </row>
    <row r="625" spans="23:42" ht="15">
      <c r="W625" s="12"/>
      <c r="X625" s="13"/>
      <c r="Y625" s="13"/>
      <c r="Z625" s="13"/>
      <c r="AA625" s="14"/>
      <c r="AB625" s="89"/>
      <c r="AC625" s="14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8"/>
    </row>
    <row r="626" spans="23:42" ht="15">
      <c r="W626" s="12"/>
      <c r="X626" s="13"/>
      <c r="Y626" s="13"/>
      <c r="Z626" s="13"/>
      <c r="AA626" s="14"/>
      <c r="AB626" s="89"/>
      <c r="AC626" s="14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6"/>
    </row>
    <row r="627" spans="23:42" ht="15">
      <c r="W627" s="12"/>
      <c r="X627" s="13"/>
      <c r="Y627" s="13"/>
      <c r="Z627" s="13"/>
      <c r="AA627" s="14"/>
      <c r="AB627" s="89"/>
      <c r="AC627" s="14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8"/>
    </row>
    <row r="628" spans="23:42" ht="15">
      <c r="W628" s="12"/>
      <c r="X628" s="13"/>
      <c r="Y628" s="13"/>
      <c r="Z628" s="13"/>
      <c r="AA628" s="14"/>
      <c r="AB628" s="89"/>
      <c r="AC628" s="14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6"/>
    </row>
    <row r="629" spans="23:42" ht="15">
      <c r="W629" s="12"/>
      <c r="X629" s="13"/>
      <c r="Y629" s="13"/>
      <c r="Z629" s="13"/>
      <c r="AA629" s="14"/>
      <c r="AB629" s="89"/>
      <c r="AC629" s="14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8"/>
    </row>
    <row r="630" spans="23:42" ht="15">
      <c r="W630" s="12"/>
      <c r="X630" s="13"/>
      <c r="Y630" s="13"/>
      <c r="Z630" s="13"/>
      <c r="AA630" s="14"/>
      <c r="AB630" s="89"/>
      <c r="AC630" s="14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6"/>
    </row>
    <row r="631" spans="23:42" ht="15">
      <c r="W631" s="12"/>
      <c r="X631" s="13"/>
      <c r="Y631" s="13"/>
      <c r="Z631" s="13"/>
      <c r="AA631" s="14"/>
      <c r="AB631" s="89"/>
      <c r="AC631" s="14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8"/>
    </row>
    <row r="632" spans="23:42" ht="15">
      <c r="W632" s="12"/>
      <c r="X632" s="13"/>
      <c r="Y632" s="13"/>
      <c r="Z632" s="13"/>
      <c r="AA632" s="14"/>
      <c r="AB632" s="89"/>
      <c r="AC632" s="14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6"/>
    </row>
    <row r="633" spans="23:42" ht="15">
      <c r="W633" s="12"/>
      <c r="X633" s="13"/>
      <c r="Y633" s="13"/>
      <c r="Z633" s="13"/>
      <c r="AA633" s="14"/>
      <c r="AB633" s="89"/>
      <c r="AC633" s="14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8"/>
    </row>
    <row r="634" spans="23:42" ht="15">
      <c r="W634" s="12"/>
      <c r="X634" s="13"/>
      <c r="Y634" s="13"/>
      <c r="Z634" s="13"/>
      <c r="AA634" s="14"/>
      <c r="AB634" s="89"/>
      <c r="AC634" s="14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6"/>
    </row>
    <row r="635" spans="23:42" ht="15">
      <c r="W635" s="12"/>
      <c r="X635" s="13"/>
      <c r="Y635" s="13"/>
      <c r="Z635" s="13"/>
      <c r="AA635" s="14"/>
      <c r="AB635" s="89"/>
      <c r="AC635" s="14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8"/>
    </row>
    <row r="636" spans="23:42" ht="15">
      <c r="W636" s="12"/>
      <c r="X636" s="13"/>
      <c r="Y636" s="13"/>
      <c r="Z636" s="13"/>
      <c r="AA636" s="14"/>
      <c r="AB636" s="89"/>
      <c r="AC636" s="14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6"/>
    </row>
    <row r="637" spans="23:42" ht="15">
      <c r="W637" s="12"/>
      <c r="X637" s="13"/>
      <c r="Y637" s="13"/>
      <c r="Z637" s="13"/>
      <c r="AA637" s="14"/>
      <c r="AB637" s="89"/>
      <c r="AC637" s="14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8"/>
    </row>
    <row r="638" spans="23:42" ht="15">
      <c r="W638" s="12"/>
      <c r="X638" s="13"/>
      <c r="Y638" s="13"/>
      <c r="Z638" s="13"/>
      <c r="AA638" s="14"/>
      <c r="AB638" s="89"/>
      <c r="AC638" s="14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6"/>
    </row>
    <row r="639" spans="23:42" ht="15">
      <c r="W639" s="12"/>
      <c r="X639" s="13"/>
      <c r="Y639" s="13"/>
      <c r="Z639" s="13"/>
      <c r="AA639" s="14"/>
      <c r="AB639" s="89"/>
      <c r="AC639" s="14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8"/>
    </row>
    <row r="640" spans="23:42" ht="15">
      <c r="W640" s="12"/>
      <c r="X640" s="13"/>
      <c r="Y640" s="13"/>
      <c r="Z640" s="13"/>
      <c r="AA640" s="14"/>
      <c r="AB640" s="89"/>
      <c r="AC640" s="14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6"/>
    </row>
    <row r="641" spans="23:42" ht="15">
      <c r="W641" s="12"/>
      <c r="X641" s="13"/>
      <c r="Y641" s="13"/>
      <c r="Z641" s="13"/>
      <c r="AA641" s="14"/>
      <c r="AB641" s="89"/>
      <c r="AC641" s="14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8"/>
    </row>
    <row r="642" spans="23:42" ht="15">
      <c r="W642" s="12"/>
      <c r="X642" s="13"/>
      <c r="Y642" s="13"/>
      <c r="Z642" s="13"/>
      <c r="AA642" s="14"/>
      <c r="AB642" s="89"/>
      <c r="AC642" s="14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6"/>
    </row>
    <row r="643" spans="23:42" ht="15">
      <c r="W643" s="12"/>
      <c r="X643" s="13"/>
      <c r="Y643" s="13"/>
      <c r="Z643" s="13"/>
      <c r="AA643" s="14"/>
      <c r="AB643" s="89"/>
      <c r="AC643" s="14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8"/>
    </row>
    <row r="644" spans="23:42" ht="15">
      <c r="W644" s="12"/>
      <c r="X644" s="13"/>
      <c r="Y644" s="13"/>
      <c r="Z644" s="13"/>
      <c r="AA644" s="14"/>
      <c r="AB644" s="89"/>
      <c r="AC644" s="14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6"/>
    </row>
    <row r="645" spans="23:42" ht="15">
      <c r="W645" s="12"/>
      <c r="X645" s="13"/>
      <c r="Y645" s="13"/>
      <c r="Z645" s="13"/>
      <c r="AA645" s="14"/>
      <c r="AB645" s="89"/>
      <c r="AC645" s="14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8"/>
    </row>
    <row r="646" spans="23:42" ht="15">
      <c r="W646" s="12"/>
      <c r="X646" s="13"/>
      <c r="Y646" s="13"/>
      <c r="Z646" s="13"/>
      <c r="AA646" s="14"/>
      <c r="AB646" s="89"/>
      <c r="AC646" s="14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6"/>
    </row>
    <row r="647" spans="23:42" ht="15">
      <c r="W647" s="12"/>
      <c r="X647" s="13"/>
      <c r="Y647" s="13"/>
      <c r="Z647" s="13"/>
      <c r="AA647" s="14"/>
      <c r="AB647" s="89"/>
      <c r="AC647" s="14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8"/>
    </row>
    <row r="648" spans="23:42" ht="15">
      <c r="W648" s="12"/>
      <c r="X648" s="13"/>
      <c r="Y648" s="13"/>
      <c r="Z648" s="13"/>
      <c r="AA648" s="14"/>
      <c r="AB648" s="89"/>
      <c r="AC648" s="14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6"/>
    </row>
    <row r="649" spans="23:42" ht="15">
      <c r="W649" s="12"/>
      <c r="X649" s="13"/>
      <c r="Y649" s="13"/>
      <c r="Z649" s="13"/>
      <c r="AA649" s="14"/>
      <c r="AB649" s="89"/>
      <c r="AC649" s="14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8"/>
    </row>
    <row r="650" spans="23:42" ht="15">
      <c r="W650" s="12"/>
      <c r="X650" s="13"/>
      <c r="Y650" s="13"/>
      <c r="Z650" s="13"/>
      <c r="AA650" s="14"/>
      <c r="AB650" s="89"/>
      <c r="AC650" s="14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6"/>
    </row>
    <row r="651" spans="23:42" ht="15">
      <c r="W651" s="12"/>
      <c r="X651" s="13"/>
      <c r="Y651" s="13"/>
      <c r="Z651" s="13"/>
      <c r="AA651" s="14"/>
      <c r="AB651" s="89"/>
      <c r="AC651" s="14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8"/>
    </row>
    <row r="652" spans="23:42" ht="15">
      <c r="W652" s="12"/>
      <c r="X652" s="13"/>
      <c r="Y652" s="13"/>
      <c r="Z652" s="13"/>
      <c r="AA652" s="14"/>
      <c r="AB652" s="89"/>
      <c r="AC652" s="14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6"/>
    </row>
    <row r="653" spans="23:42" ht="15">
      <c r="W653" s="12"/>
      <c r="X653" s="13"/>
      <c r="Y653" s="13"/>
      <c r="Z653" s="13"/>
      <c r="AA653" s="14"/>
      <c r="AB653" s="89"/>
      <c r="AC653" s="14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8"/>
    </row>
    <row r="654" spans="23:42" ht="15">
      <c r="W654" s="12"/>
      <c r="X654" s="13"/>
      <c r="Y654" s="13"/>
      <c r="Z654" s="13"/>
      <c r="AA654" s="14"/>
      <c r="AB654" s="89"/>
      <c r="AC654" s="14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6"/>
    </row>
    <row r="655" spans="23:42" ht="15">
      <c r="W655" s="12"/>
      <c r="X655" s="13"/>
      <c r="Y655" s="13"/>
      <c r="Z655" s="13"/>
      <c r="AA655" s="14"/>
      <c r="AB655" s="89"/>
      <c r="AC655" s="14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8"/>
    </row>
    <row r="656" spans="23:42" ht="15">
      <c r="W656" s="12"/>
      <c r="X656" s="13"/>
      <c r="Y656" s="13"/>
      <c r="Z656" s="13"/>
      <c r="AA656" s="14"/>
      <c r="AB656" s="89"/>
      <c r="AC656" s="14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6"/>
    </row>
    <row r="657" spans="23:42" ht="15">
      <c r="W657" s="12"/>
      <c r="X657" s="13"/>
      <c r="Y657" s="13"/>
      <c r="Z657" s="13"/>
      <c r="AA657" s="14"/>
      <c r="AB657" s="89"/>
      <c r="AC657" s="14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8"/>
    </row>
    <row r="658" spans="23:42" ht="15">
      <c r="W658" s="12"/>
      <c r="X658" s="13"/>
      <c r="Y658" s="13"/>
      <c r="Z658" s="13"/>
      <c r="AA658" s="14"/>
      <c r="AB658" s="89"/>
      <c r="AC658" s="14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6"/>
    </row>
    <row r="659" spans="23:42" ht="15">
      <c r="W659" s="12"/>
      <c r="X659" s="13"/>
      <c r="Y659" s="13"/>
      <c r="Z659" s="13"/>
      <c r="AA659" s="14"/>
      <c r="AB659" s="89"/>
      <c r="AC659" s="14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8"/>
    </row>
    <row r="660" spans="23:42" ht="15">
      <c r="W660" s="12"/>
      <c r="X660" s="13"/>
      <c r="Y660" s="13"/>
      <c r="Z660" s="13"/>
      <c r="AA660" s="14"/>
      <c r="AB660" s="89"/>
      <c r="AC660" s="14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6"/>
    </row>
    <row r="661" spans="23:42" ht="15">
      <c r="W661" s="12"/>
      <c r="X661" s="13"/>
      <c r="Y661" s="13"/>
      <c r="Z661" s="13"/>
      <c r="AA661" s="14"/>
      <c r="AB661" s="89"/>
      <c r="AC661" s="14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8"/>
    </row>
    <row r="662" spans="23:42" ht="15">
      <c r="W662" s="12"/>
      <c r="X662" s="13"/>
      <c r="Y662" s="13"/>
      <c r="Z662" s="13"/>
      <c r="AA662" s="14"/>
      <c r="AB662" s="89"/>
      <c r="AC662" s="14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6"/>
    </row>
    <row r="663" spans="23:42" ht="15">
      <c r="W663" s="12"/>
      <c r="X663" s="13"/>
      <c r="Y663" s="13"/>
      <c r="Z663" s="13"/>
      <c r="AA663" s="14"/>
      <c r="AB663" s="89"/>
      <c r="AC663" s="14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8"/>
    </row>
    <row r="664" spans="23:42" ht="15">
      <c r="W664" s="12"/>
      <c r="X664" s="13"/>
      <c r="Y664" s="13"/>
      <c r="Z664" s="13"/>
      <c r="AA664" s="14"/>
      <c r="AB664" s="89"/>
      <c r="AC664" s="14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6"/>
    </row>
    <row r="665" spans="23:42" ht="15">
      <c r="W665" s="12"/>
      <c r="X665" s="13"/>
      <c r="Y665" s="13"/>
      <c r="Z665" s="13"/>
      <c r="AA665" s="14"/>
      <c r="AB665" s="89"/>
      <c r="AC665" s="14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8"/>
    </row>
    <row r="666" spans="23:42" ht="15">
      <c r="W666" s="12"/>
      <c r="X666" s="13"/>
      <c r="Y666" s="13"/>
      <c r="Z666" s="13"/>
      <c r="AA666" s="14"/>
      <c r="AB666" s="89"/>
      <c r="AC666" s="14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6"/>
    </row>
    <row r="667" spans="23:42" ht="15">
      <c r="W667" s="12"/>
      <c r="X667" s="13"/>
      <c r="Y667" s="13"/>
      <c r="Z667" s="13"/>
      <c r="AA667" s="14"/>
      <c r="AB667" s="89"/>
      <c r="AC667" s="14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8"/>
    </row>
    <row r="668" spans="23:42" ht="15">
      <c r="W668" s="12"/>
      <c r="X668" s="13"/>
      <c r="Y668" s="13"/>
      <c r="Z668" s="13"/>
      <c r="AA668" s="14"/>
      <c r="AB668" s="89"/>
      <c r="AC668" s="14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6"/>
    </row>
    <row r="669" spans="23:42" ht="15">
      <c r="W669" s="12"/>
      <c r="X669" s="13"/>
      <c r="Y669" s="13"/>
      <c r="Z669" s="13"/>
      <c r="AA669" s="14"/>
      <c r="AB669" s="89"/>
      <c r="AC669" s="14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8"/>
    </row>
    <row r="670" spans="23:42" ht="15">
      <c r="W670" s="12"/>
      <c r="X670" s="13"/>
      <c r="Y670" s="13"/>
      <c r="Z670" s="13"/>
      <c r="AA670" s="14"/>
      <c r="AB670" s="89"/>
      <c r="AC670" s="14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6"/>
    </row>
    <row r="671" spans="23:42" ht="15">
      <c r="W671" s="12"/>
      <c r="X671" s="13"/>
      <c r="Y671" s="13"/>
      <c r="Z671" s="13"/>
      <c r="AA671" s="14"/>
      <c r="AB671" s="89"/>
      <c r="AC671" s="14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8"/>
    </row>
    <row r="672" spans="23:42" ht="15">
      <c r="W672" s="12"/>
      <c r="X672" s="13"/>
      <c r="Y672" s="13"/>
      <c r="Z672" s="13"/>
      <c r="AA672" s="14"/>
      <c r="AB672" s="89"/>
      <c r="AC672" s="14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6"/>
    </row>
    <row r="673" spans="23:42" ht="15">
      <c r="W673" s="12"/>
      <c r="X673" s="13"/>
      <c r="Y673" s="13"/>
      <c r="Z673" s="13"/>
      <c r="AA673" s="14"/>
      <c r="AB673" s="89"/>
      <c r="AC673" s="14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8"/>
    </row>
    <row r="674" spans="23:42" ht="15">
      <c r="W674" s="12"/>
      <c r="X674" s="13"/>
      <c r="Y674" s="13"/>
      <c r="Z674" s="13"/>
      <c r="AA674" s="14"/>
      <c r="AB674" s="89"/>
      <c r="AC674" s="14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6"/>
    </row>
    <row r="675" spans="23:42" ht="15">
      <c r="W675" s="12"/>
      <c r="X675" s="13"/>
      <c r="Y675" s="13"/>
      <c r="Z675" s="13"/>
      <c r="AA675" s="14"/>
      <c r="AB675" s="89"/>
      <c r="AC675" s="14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8"/>
    </row>
    <row r="676" spans="23:42" ht="15">
      <c r="W676" s="12"/>
      <c r="X676" s="13"/>
      <c r="Y676" s="13"/>
      <c r="Z676" s="13"/>
      <c r="AA676" s="14"/>
      <c r="AB676" s="89"/>
      <c r="AC676" s="14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6"/>
    </row>
    <row r="677" spans="23:42" ht="15">
      <c r="W677" s="12"/>
      <c r="X677" s="13"/>
      <c r="Y677" s="13"/>
      <c r="Z677" s="13"/>
      <c r="AA677" s="14"/>
      <c r="AB677" s="89"/>
      <c r="AC677" s="14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8"/>
    </row>
    <row r="678" spans="23:42" ht="15">
      <c r="W678" s="12"/>
      <c r="X678" s="13"/>
      <c r="Y678" s="13"/>
      <c r="Z678" s="13"/>
      <c r="AA678" s="14"/>
      <c r="AB678" s="89"/>
      <c r="AC678" s="14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6"/>
    </row>
    <row r="679" spans="23:42" ht="15">
      <c r="W679" s="12"/>
      <c r="X679" s="13"/>
      <c r="Y679" s="13"/>
      <c r="Z679" s="13"/>
      <c r="AA679" s="14"/>
      <c r="AB679" s="89"/>
      <c r="AC679" s="14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8"/>
    </row>
    <row r="680" spans="23:42" ht="15">
      <c r="W680" s="12"/>
      <c r="X680" s="13"/>
      <c r="Y680" s="13"/>
      <c r="Z680" s="13"/>
      <c r="AA680" s="14"/>
      <c r="AB680" s="89"/>
      <c r="AC680" s="14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6"/>
    </row>
    <row r="681" spans="23:42" ht="15">
      <c r="W681" s="12"/>
      <c r="X681" s="13"/>
      <c r="Y681" s="13"/>
      <c r="Z681" s="13"/>
      <c r="AA681" s="14"/>
      <c r="AB681" s="89"/>
      <c r="AC681" s="14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8"/>
    </row>
    <row r="682" spans="23:42" ht="15">
      <c r="W682" s="12"/>
      <c r="X682" s="13"/>
      <c r="Y682" s="13"/>
      <c r="Z682" s="13"/>
      <c r="AA682" s="14"/>
      <c r="AB682" s="89"/>
      <c r="AC682" s="14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6"/>
    </row>
    <row r="683" spans="23:42" ht="15">
      <c r="W683" s="12"/>
      <c r="X683" s="13"/>
      <c r="Y683" s="13"/>
      <c r="Z683" s="13"/>
      <c r="AA683" s="14"/>
      <c r="AB683" s="89"/>
      <c r="AC683" s="14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8"/>
    </row>
    <row r="684" spans="23:42" ht="15">
      <c r="W684" s="12"/>
      <c r="X684" s="13"/>
      <c r="Y684" s="13"/>
      <c r="Z684" s="13"/>
      <c r="AA684" s="14"/>
      <c r="AB684" s="89"/>
      <c r="AC684" s="14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6"/>
    </row>
    <row r="685" spans="23:42" ht="15">
      <c r="W685" s="12"/>
      <c r="X685" s="13"/>
      <c r="Y685" s="13"/>
      <c r="Z685" s="13"/>
      <c r="AA685" s="14"/>
      <c r="AB685" s="89"/>
      <c r="AC685" s="14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8"/>
    </row>
    <row r="686" spans="23:42" ht="15">
      <c r="W686" s="12"/>
      <c r="X686" s="13"/>
      <c r="Y686" s="13"/>
      <c r="Z686" s="13"/>
      <c r="AA686" s="14"/>
      <c r="AB686" s="89"/>
      <c r="AC686" s="14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6"/>
    </row>
    <row r="687" spans="23:42" ht="15">
      <c r="W687" s="12"/>
      <c r="X687" s="13"/>
      <c r="Y687" s="13"/>
      <c r="Z687" s="13"/>
      <c r="AA687" s="14"/>
      <c r="AB687" s="89"/>
      <c r="AC687" s="14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8"/>
    </row>
    <row r="688" spans="23:42" ht="15">
      <c r="W688" s="12"/>
      <c r="X688" s="13"/>
      <c r="Y688" s="13"/>
      <c r="Z688" s="13"/>
      <c r="AA688" s="14"/>
      <c r="AB688" s="89"/>
      <c r="AC688" s="14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6"/>
    </row>
    <row r="689" spans="23:42" ht="15">
      <c r="W689" s="12"/>
      <c r="X689" s="13"/>
      <c r="Y689" s="13"/>
      <c r="Z689" s="13"/>
      <c r="AA689" s="14"/>
      <c r="AB689" s="89"/>
      <c r="AC689" s="14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8"/>
    </row>
    <row r="690" spans="23:42" ht="15">
      <c r="W690" s="12"/>
      <c r="X690" s="13"/>
      <c r="Y690" s="13"/>
      <c r="Z690" s="13"/>
      <c r="AA690" s="14"/>
      <c r="AB690" s="89"/>
      <c r="AC690" s="14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6"/>
    </row>
    <row r="691" spans="23:42" ht="15">
      <c r="W691" s="12"/>
      <c r="X691" s="13"/>
      <c r="Y691" s="13"/>
      <c r="Z691" s="13"/>
      <c r="AA691" s="14"/>
      <c r="AB691" s="89"/>
      <c r="AC691" s="14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8"/>
    </row>
    <row r="692" spans="23:42" ht="15">
      <c r="W692" s="12"/>
      <c r="X692" s="13"/>
      <c r="Y692" s="13"/>
      <c r="Z692" s="13"/>
      <c r="AA692" s="14"/>
      <c r="AB692" s="89"/>
      <c r="AC692" s="14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6"/>
    </row>
    <row r="693" spans="23:42" ht="15">
      <c r="W693" s="12"/>
      <c r="X693" s="13"/>
      <c r="Y693" s="13"/>
      <c r="Z693" s="13"/>
      <c r="AA693" s="14"/>
      <c r="AB693" s="89"/>
      <c r="AC693" s="14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8"/>
    </row>
    <row r="694" spans="23:42" ht="15">
      <c r="W694" s="12"/>
      <c r="X694" s="13"/>
      <c r="Y694" s="13"/>
      <c r="Z694" s="13"/>
      <c r="AA694" s="14"/>
      <c r="AB694" s="89"/>
      <c r="AC694" s="14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6"/>
    </row>
    <row r="695" spans="23:42" ht="15">
      <c r="W695" s="12"/>
      <c r="X695" s="13"/>
      <c r="Y695" s="13"/>
      <c r="Z695" s="13"/>
      <c r="AA695" s="14"/>
      <c r="AB695" s="89"/>
      <c r="AC695" s="14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8"/>
    </row>
    <row r="696" spans="23:42" ht="15">
      <c r="W696" s="12"/>
      <c r="X696" s="13"/>
      <c r="Y696" s="13"/>
      <c r="Z696" s="13"/>
      <c r="AA696" s="14"/>
      <c r="AB696" s="89"/>
      <c r="AC696" s="14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6"/>
    </row>
    <row r="697" spans="23:42" ht="15">
      <c r="W697" s="12"/>
      <c r="X697" s="13"/>
      <c r="Y697" s="13"/>
      <c r="Z697" s="13"/>
      <c r="AA697" s="14"/>
      <c r="AB697" s="89"/>
      <c r="AC697" s="14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8"/>
    </row>
    <row r="698" spans="23:42" ht="15">
      <c r="W698" s="12"/>
      <c r="X698" s="13"/>
      <c r="Y698" s="13"/>
      <c r="Z698" s="13"/>
      <c r="AA698" s="14"/>
      <c r="AB698" s="89"/>
      <c r="AC698" s="14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6"/>
    </row>
    <row r="699" spans="23:42" ht="15">
      <c r="W699" s="12"/>
      <c r="X699" s="13"/>
      <c r="Y699" s="13"/>
      <c r="Z699" s="13"/>
      <c r="AA699" s="14"/>
      <c r="AB699" s="89"/>
      <c r="AC699" s="14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8"/>
    </row>
    <row r="700" spans="23:42" ht="15">
      <c r="W700" s="12"/>
      <c r="X700" s="13"/>
      <c r="Y700" s="13"/>
      <c r="Z700" s="13"/>
      <c r="AA700" s="14"/>
      <c r="AB700" s="89"/>
      <c r="AC700" s="14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6"/>
    </row>
    <row r="701" spans="23:42" ht="15">
      <c r="W701" s="12"/>
      <c r="X701" s="13"/>
      <c r="Y701" s="13"/>
      <c r="Z701" s="13"/>
      <c r="AA701" s="14"/>
      <c r="AB701" s="89"/>
      <c r="AC701" s="14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8"/>
    </row>
    <row r="702" spans="23:42" ht="15">
      <c r="W702" s="12"/>
      <c r="X702" s="13"/>
      <c r="Y702" s="13"/>
      <c r="Z702" s="13"/>
      <c r="AA702" s="14"/>
      <c r="AB702" s="89"/>
      <c r="AC702" s="14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6"/>
    </row>
    <row r="703" spans="23:42" ht="15">
      <c r="W703" s="12"/>
      <c r="X703" s="13"/>
      <c r="Y703" s="13"/>
      <c r="Z703" s="13"/>
      <c r="AA703" s="14"/>
      <c r="AB703" s="89"/>
      <c r="AC703" s="14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8"/>
    </row>
    <row r="704" spans="23:42" ht="15">
      <c r="W704" s="12"/>
      <c r="X704" s="13"/>
      <c r="Y704" s="13"/>
      <c r="Z704" s="13"/>
      <c r="AA704" s="14"/>
      <c r="AB704" s="89"/>
      <c r="AC704" s="14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6"/>
    </row>
    <row r="705" spans="23:42" ht="15">
      <c r="W705" s="12"/>
      <c r="X705" s="13"/>
      <c r="Y705" s="13"/>
      <c r="Z705" s="13"/>
      <c r="AA705" s="14"/>
      <c r="AB705" s="89"/>
      <c r="AC705" s="14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8"/>
    </row>
    <row r="706" spans="23:42" ht="15">
      <c r="W706" s="12"/>
      <c r="X706" s="13"/>
      <c r="Y706" s="13"/>
      <c r="Z706" s="13"/>
      <c r="AA706" s="14"/>
      <c r="AB706" s="89"/>
      <c r="AC706" s="14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6"/>
    </row>
    <row r="707" spans="23:42" ht="15">
      <c r="W707" s="12"/>
      <c r="X707" s="13"/>
      <c r="Y707" s="13"/>
      <c r="Z707" s="13"/>
      <c r="AA707" s="14"/>
      <c r="AB707" s="89"/>
      <c r="AC707" s="14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8"/>
    </row>
    <row r="708" spans="23:42" ht="15">
      <c r="W708" s="12"/>
      <c r="X708" s="13"/>
      <c r="Y708" s="13"/>
      <c r="Z708" s="13"/>
      <c r="AA708" s="14"/>
      <c r="AB708" s="89"/>
      <c r="AC708" s="14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6"/>
    </row>
    <row r="709" spans="23:42" ht="15">
      <c r="W709" s="12"/>
      <c r="X709" s="13"/>
      <c r="Y709" s="13"/>
      <c r="Z709" s="13"/>
      <c r="AA709" s="14"/>
      <c r="AB709" s="89"/>
      <c r="AC709" s="14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8"/>
    </row>
    <row r="710" spans="23:42" ht="15">
      <c r="W710" s="12"/>
      <c r="X710" s="13"/>
      <c r="Y710" s="13"/>
      <c r="Z710" s="13"/>
      <c r="AA710" s="14"/>
      <c r="AB710" s="89"/>
      <c r="AC710" s="14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6"/>
    </row>
    <row r="711" spans="23:42" ht="15">
      <c r="W711" s="12"/>
      <c r="X711" s="13"/>
      <c r="Y711" s="13"/>
      <c r="Z711" s="13"/>
      <c r="AA711" s="14"/>
      <c r="AB711" s="89"/>
      <c r="AC711" s="14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8"/>
    </row>
    <row r="712" spans="23:42" ht="15">
      <c r="W712" s="12"/>
      <c r="X712" s="13"/>
      <c r="Y712" s="13"/>
      <c r="Z712" s="13"/>
      <c r="AA712" s="14"/>
      <c r="AB712" s="89"/>
      <c r="AC712" s="14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6"/>
    </row>
    <row r="713" spans="23:42" ht="15">
      <c r="W713" s="12"/>
      <c r="X713" s="13"/>
      <c r="Y713" s="13"/>
      <c r="Z713" s="13"/>
      <c r="AA713" s="14"/>
      <c r="AB713" s="89"/>
      <c r="AC713" s="14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8"/>
    </row>
    <row r="714" spans="23:42" ht="15">
      <c r="W714" s="12"/>
      <c r="X714" s="13"/>
      <c r="Y714" s="13"/>
      <c r="Z714" s="13"/>
      <c r="AA714" s="14"/>
      <c r="AB714" s="89"/>
      <c r="AC714" s="14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6"/>
    </row>
    <row r="715" spans="23:42" ht="15">
      <c r="W715" s="12"/>
      <c r="X715" s="13"/>
      <c r="Y715" s="13"/>
      <c r="Z715" s="13"/>
      <c r="AA715" s="14"/>
      <c r="AB715" s="89"/>
      <c r="AC715" s="14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8"/>
    </row>
    <row r="716" spans="23:42" ht="15">
      <c r="W716" s="12"/>
      <c r="X716" s="13"/>
      <c r="Y716" s="13"/>
      <c r="Z716" s="13"/>
      <c r="AA716" s="14"/>
      <c r="AB716" s="89"/>
      <c r="AC716" s="14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6"/>
    </row>
    <row r="717" spans="23:42" ht="15">
      <c r="W717" s="12"/>
      <c r="X717" s="13"/>
      <c r="Y717" s="13"/>
      <c r="Z717" s="13"/>
      <c r="AA717" s="14"/>
      <c r="AB717" s="89"/>
      <c r="AC717" s="14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8"/>
    </row>
    <row r="718" spans="23:42" ht="15">
      <c r="W718" s="12"/>
      <c r="X718" s="13"/>
      <c r="Y718" s="13"/>
      <c r="Z718" s="13"/>
      <c r="AA718" s="14"/>
      <c r="AB718" s="89"/>
      <c r="AC718" s="14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6"/>
    </row>
    <row r="719" spans="23:42" ht="15">
      <c r="W719" s="12"/>
      <c r="X719" s="13"/>
      <c r="Y719" s="13"/>
      <c r="Z719" s="13"/>
      <c r="AA719" s="14"/>
      <c r="AB719" s="89"/>
      <c r="AC719" s="14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8"/>
    </row>
    <row r="720" spans="23:42" ht="15">
      <c r="W720" s="12"/>
      <c r="X720" s="13"/>
      <c r="Y720" s="13"/>
      <c r="Z720" s="13"/>
      <c r="AA720" s="14"/>
      <c r="AB720" s="89"/>
      <c r="AC720" s="14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6"/>
    </row>
    <row r="721" spans="23:42" ht="15">
      <c r="W721" s="12"/>
      <c r="X721" s="13"/>
      <c r="Y721" s="13"/>
      <c r="Z721" s="13"/>
      <c r="AA721" s="14"/>
      <c r="AB721" s="89"/>
      <c r="AC721" s="14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8"/>
    </row>
    <row r="722" spans="23:42" ht="15">
      <c r="W722" s="12"/>
      <c r="X722" s="13"/>
      <c r="Y722" s="13"/>
      <c r="Z722" s="13"/>
      <c r="AA722" s="14"/>
      <c r="AB722" s="89"/>
      <c r="AC722" s="14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6"/>
    </row>
    <row r="723" spans="23:42" ht="15">
      <c r="W723" s="12"/>
      <c r="X723" s="13"/>
      <c r="Y723" s="13"/>
      <c r="Z723" s="13"/>
      <c r="AA723" s="14"/>
      <c r="AB723" s="89"/>
      <c r="AC723" s="14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8"/>
    </row>
    <row r="724" spans="23:42" ht="15">
      <c r="W724" s="12"/>
      <c r="X724" s="13"/>
      <c r="Y724" s="13"/>
      <c r="Z724" s="13"/>
      <c r="AA724" s="14"/>
      <c r="AB724" s="89"/>
      <c r="AC724" s="14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6"/>
    </row>
    <row r="725" spans="23:42" ht="15">
      <c r="W725" s="12"/>
      <c r="X725" s="13"/>
      <c r="Y725" s="13"/>
      <c r="Z725" s="13"/>
      <c r="AA725" s="14"/>
      <c r="AB725" s="89"/>
      <c r="AC725" s="14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8"/>
    </row>
    <row r="726" spans="23:42" ht="15">
      <c r="W726" s="12"/>
      <c r="X726" s="13"/>
      <c r="Y726" s="13"/>
      <c r="Z726" s="13"/>
      <c r="AA726" s="14"/>
      <c r="AB726" s="89"/>
      <c r="AC726" s="14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6"/>
    </row>
    <row r="727" spans="23:42" ht="15">
      <c r="W727" s="12"/>
      <c r="X727" s="13"/>
      <c r="Y727" s="13"/>
      <c r="Z727" s="13"/>
      <c r="AA727" s="14"/>
      <c r="AB727" s="89"/>
      <c r="AC727" s="14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8"/>
    </row>
    <row r="728" spans="23:42" ht="15">
      <c r="W728" s="12"/>
      <c r="X728" s="13"/>
      <c r="Y728" s="13"/>
      <c r="Z728" s="13"/>
      <c r="AA728" s="14"/>
      <c r="AB728" s="89"/>
      <c r="AC728" s="14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6"/>
    </row>
    <row r="729" spans="23:42" ht="15">
      <c r="W729" s="12"/>
      <c r="X729" s="13"/>
      <c r="Y729" s="13"/>
      <c r="Z729" s="13"/>
      <c r="AA729" s="14"/>
      <c r="AB729" s="89"/>
      <c r="AC729" s="14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8"/>
    </row>
    <row r="730" spans="23:42" ht="15">
      <c r="W730" s="12"/>
      <c r="X730" s="13"/>
      <c r="Y730" s="13"/>
      <c r="Z730" s="13"/>
      <c r="AA730" s="14"/>
      <c r="AB730" s="89"/>
      <c r="AC730" s="14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6"/>
    </row>
    <row r="731" spans="23:42" ht="15">
      <c r="W731" s="12"/>
      <c r="X731" s="13"/>
      <c r="Y731" s="13"/>
      <c r="Z731" s="13"/>
      <c r="AA731" s="14"/>
      <c r="AB731" s="89"/>
      <c r="AC731" s="14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8"/>
    </row>
    <row r="732" spans="23:42" ht="15">
      <c r="W732" s="12"/>
      <c r="X732" s="13"/>
      <c r="Y732" s="13"/>
      <c r="Z732" s="13"/>
      <c r="AA732" s="14"/>
      <c r="AB732" s="89"/>
      <c r="AC732" s="14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6"/>
    </row>
    <row r="733" spans="23:42" ht="15">
      <c r="W733" s="12"/>
      <c r="X733" s="13"/>
      <c r="Y733" s="13"/>
      <c r="Z733" s="13"/>
      <c r="AA733" s="14"/>
      <c r="AB733" s="89"/>
      <c r="AC733" s="14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8"/>
    </row>
    <row r="734" spans="23:42" ht="15">
      <c r="W734" s="12"/>
      <c r="X734" s="13"/>
      <c r="Y734" s="13"/>
      <c r="Z734" s="13"/>
      <c r="AA734" s="14"/>
      <c r="AB734" s="89"/>
      <c r="AC734" s="14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6"/>
    </row>
    <row r="735" spans="23:42" ht="15">
      <c r="W735" s="12"/>
      <c r="X735" s="13"/>
      <c r="Y735" s="13"/>
      <c r="Z735" s="13"/>
      <c r="AA735" s="14"/>
      <c r="AB735" s="89"/>
      <c r="AC735" s="14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8"/>
    </row>
    <row r="736" spans="23:42" ht="15">
      <c r="W736" s="12"/>
      <c r="X736" s="13"/>
      <c r="Y736" s="13"/>
      <c r="Z736" s="13"/>
      <c r="AA736" s="14"/>
      <c r="AB736" s="89"/>
      <c r="AC736" s="14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6"/>
    </row>
    <row r="737" spans="23:42" ht="15">
      <c r="W737" s="12"/>
      <c r="X737" s="13"/>
      <c r="Y737" s="13"/>
      <c r="Z737" s="13"/>
      <c r="AA737" s="14"/>
      <c r="AB737" s="89"/>
      <c r="AC737" s="14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8"/>
    </row>
    <row r="738" spans="23:42" ht="15">
      <c r="W738" s="12"/>
      <c r="X738" s="13"/>
      <c r="Y738" s="13"/>
      <c r="Z738" s="13"/>
      <c r="AA738" s="14"/>
      <c r="AB738" s="89"/>
      <c r="AC738" s="14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6"/>
    </row>
    <row r="739" spans="23:42" ht="15">
      <c r="W739" s="12"/>
      <c r="X739" s="13"/>
      <c r="Y739" s="13"/>
      <c r="Z739" s="13"/>
      <c r="AA739" s="14"/>
      <c r="AB739" s="89"/>
      <c r="AC739" s="14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8"/>
    </row>
    <row r="740" spans="23:42" ht="15">
      <c r="W740" s="12"/>
      <c r="X740" s="13"/>
      <c r="Y740" s="13"/>
      <c r="Z740" s="13"/>
      <c r="AA740" s="14"/>
      <c r="AB740" s="89"/>
      <c r="AC740" s="14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6"/>
    </row>
    <row r="741" spans="23:42" ht="15">
      <c r="W741" s="12"/>
      <c r="X741" s="13"/>
      <c r="Y741" s="13"/>
      <c r="Z741" s="13"/>
      <c r="AA741" s="14"/>
      <c r="AB741" s="89"/>
      <c r="AC741" s="14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8"/>
    </row>
    <row r="742" spans="23:42" ht="15">
      <c r="W742" s="12"/>
      <c r="X742" s="13"/>
      <c r="Y742" s="13"/>
      <c r="Z742" s="13"/>
      <c r="AA742" s="14"/>
      <c r="AB742" s="89"/>
      <c r="AC742" s="14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6"/>
    </row>
    <row r="743" spans="23:42" ht="15">
      <c r="W743" s="12"/>
      <c r="X743" s="13"/>
      <c r="Y743" s="13"/>
      <c r="Z743" s="13"/>
      <c r="AA743" s="14"/>
      <c r="AB743" s="89"/>
      <c r="AC743" s="14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8"/>
    </row>
    <row r="744" spans="23:42" ht="15">
      <c r="W744" s="12"/>
      <c r="X744" s="13"/>
      <c r="Y744" s="13"/>
      <c r="Z744" s="13"/>
      <c r="AA744" s="14"/>
      <c r="AB744" s="89"/>
      <c r="AC744" s="14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6"/>
    </row>
    <row r="745" spans="23:42" ht="15">
      <c r="W745" s="12"/>
      <c r="X745" s="13"/>
      <c r="Y745" s="13"/>
      <c r="Z745" s="13"/>
      <c r="AA745" s="14"/>
      <c r="AB745" s="89"/>
      <c r="AC745" s="14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8"/>
    </row>
    <row r="746" spans="23:42" ht="15">
      <c r="W746" s="12"/>
      <c r="X746" s="13"/>
      <c r="Y746" s="13"/>
      <c r="Z746" s="13"/>
      <c r="AA746" s="14"/>
      <c r="AB746" s="89"/>
      <c r="AC746" s="14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6"/>
    </row>
    <row r="747" spans="23:42" ht="15">
      <c r="W747" s="12"/>
      <c r="X747" s="13"/>
      <c r="Y747" s="13"/>
      <c r="Z747" s="13"/>
      <c r="AA747" s="14"/>
      <c r="AB747" s="89"/>
      <c r="AC747" s="14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8"/>
    </row>
    <row r="748" spans="23:42" ht="15">
      <c r="W748" s="12"/>
      <c r="X748" s="13"/>
      <c r="Y748" s="13"/>
      <c r="Z748" s="13"/>
      <c r="AA748" s="14"/>
      <c r="AB748" s="89"/>
      <c r="AC748" s="14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6"/>
    </row>
    <row r="749" spans="23:42" ht="15">
      <c r="W749" s="12"/>
      <c r="X749" s="13"/>
      <c r="Y749" s="13"/>
      <c r="Z749" s="13"/>
      <c r="AA749" s="14"/>
      <c r="AB749" s="89"/>
      <c r="AC749" s="14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8"/>
    </row>
    <row r="750" spans="23:42" ht="15">
      <c r="W750" s="12"/>
      <c r="X750" s="13"/>
      <c r="Y750" s="13"/>
      <c r="Z750" s="13"/>
      <c r="AA750" s="14"/>
      <c r="AB750" s="89"/>
      <c r="AC750" s="14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6"/>
    </row>
    <row r="751" spans="23:42" ht="15">
      <c r="W751" s="12"/>
      <c r="X751" s="13"/>
      <c r="Y751" s="13"/>
      <c r="Z751" s="13"/>
      <c r="AA751" s="14"/>
      <c r="AB751" s="89"/>
      <c r="AC751" s="14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8"/>
    </row>
    <row r="752" spans="23:42" ht="15">
      <c r="W752" s="12"/>
      <c r="X752" s="13"/>
      <c r="Y752" s="13"/>
      <c r="Z752" s="13"/>
      <c r="AA752" s="14"/>
      <c r="AB752" s="89"/>
      <c r="AC752" s="14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6"/>
    </row>
    <row r="753" spans="23:42" ht="15">
      <c r="W753" s="12"/>
      <c r="X753" s="13"/>
      <c r="Y753" s="13"/>
      <c r="Z753" s="13"/>
      <c r="AA753" s="14"/>
      <c r="AB753" s="89"/>
      <c r="AC753" s="14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8"/>
    </row>
    <row r="754" spans="23:42" ht="15">
      <c r="W754" s="12"/>
      <c r="X754" s="13"/>
      <c r="Y754" s="13"/>
      <c r="Z754" s="13"/>
      <c r="AA754" s="14"/>
      <c r="AB754" s="89"/>
      <c r="AC754" s="14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6"/>
    </row>
    <row r="755" spans="23:42" ht="15">
      <c r="W755" s="12"/>
      <c r="X755" s="13"/>
      <c r="Y755" s="13"/>
      <c r="Z755" s="13"/>
      <c r="AA755" s="14"/>
      <c r="AB755" s="89"/>
      <c r="AC755" s="14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8"/>
    </row>
    <row r="756" spans="23:42" ht="15">
      <c r="W756" s="12"/>
      <c r="X756" s="13"/>
      <c r="Y756" s="13"/>
      <c r="Z756" s="13"/>
      <c r="AA756" s="14"/>
      <c r="AB756" s="89"/>
      <c r="AC756" s="14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6"/>
    </row>
    <row r="757" spans="23:42" ht="15">
      <c r="W757" s="12"/>
      <c r="X757" s="13"/>
      <c r="Y757" s="13"/>
      <c r="Z757" s="13"/>
      <c r="AA757" s="14"/>
      <c r="AB757" s="89"/>
      <c r="AC757" s="14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8"/>
    </row>
    <row r="758" spans="23:42" ht="15">
      <c r="W758" s="12"/>
      <c r="X758" s="13"/>
      <c r="Y758" s="13"/>
      <c r="Z758" s="13"/>
      <c r="AA758" s="14"/>
      <c r="AB758" s="89"/>
      <c r="AC758" s="14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6"/>
    </row>
    <row r="759" spans="23:42" ht="15">
      <c r="W759" s="12"/>
      <c r="X759" s="13"/>
      <c r="Y759" s="13"/>
      <c r="Z759" s="13"/>
      <c r="AA759" s="14"/>
      <c r="AB759" s="89"/>
      <c r="AC759" s="14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8"/>
    </row>
    <row r="760" spans="23:42" ht="15">
      <c r="W760" s="12"/>
      <c r="X760" s="13"/>
      <c r="Y760" s="13"/>
      <c r="Z760" s="13"/>
      <c r="AA760" s="14"/>
      <c r="AB760" s="89"/>
      <c r="AC760" s="14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6"/>
    </row>
    <row r="761" spans="23:42" ht="15">
      <c r="W761" s="12"/>
      <c r="X761" s="13"/>
      <c r="Y761" s="13"/>
      <c r="Z761" s="13"/>
      <c r="AA761" s="14"/>
      <c r="AB761" s="89"/>
      <c r="AC761" s="14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8"/>
    </row>
    <row r="762" spans="23:42" ht="15">
      <c r="W762" s="12"/>
      <c r="X762" s="13"/>
      <c r="Y762" s="13"/>
      <c r="Z762" s="13"/>
      <c r="AA762" s="14"/>
      <c r="AB762" s="89"/>
      <c r="AC762" s="14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6"/>
    </row>
    <row r="763" spans="23:42" ht="15">
      <c r="W763" s="12"/>
      <c r="X763" s="13"/>
      <c r="Y763" s="13"/>
      <c r="Z763" s="13"/>
      <c r="AA763" s="14"/>
      <c r="AB763" s="89"/>
      <c r="AC763" s="14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8"/>
    </row>
    <row r="764" spans="23:42" ht="15">
      <c r="W764" s="12"/>
      <c r="X764" s="13"/>
      <c r="Y764" s="13"/>
      <c r="Z764" s="13"/>
      <c r="AA764" s="14"/>
      <c r="AB764" s="89"/>
      <c r="AC764" s="14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6"/>
    </row>
    <row r="765" spans="23:42" ht="15">
      <c r="W765" s="12"/>
      <c r="X765" s="13"/>
      <c r="Y765" s="13"/>
      <c r="Z765" s="13"/>
      <c r="AA765" s="14"/>
      <c r="AB765" s="89"/>
      <c r="AC765" s="14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8"/>
    </row>
    <row r="766" spans="23:42" ht="15">
      <c r="W766" s="12"/>
      <c r="X766" s="13"/>
      <c r="Y766" s="13"/>
      <c r="Z766" s="13"/>
      <c r="AA766" s="14"/>
      <c r="AB766" s="89"/>
      <c r="AC766" s="14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6"/>
    </row>
    <row r="767" spans="23:42" ht="15">
      <c r="W767" s="12"/>
      <c r="X767" s="13"/>
      <c r="Y767" s="13"/>
      <c r="Z767" s="13"/>
      <c r="AA767" s="14"/>
      <c r="AB767" s="89"/>
      <c r="AC767" s="14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8"/>
    </row>
    <row r="768" spans="23:42" ht="15">
      <c r="W768" s="12"/>
      <c r="X768" s="13"/>
      <c r="Y768" s="13"/>
      <c r="Z768" s="13"/>
      <c r="AA768" s="14"/>
      <c r="AB768" s="89"/>
      <c r="AC768" s="14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6"/>
    </row>
    <row r="769" spans="23:42" ht="15">
      <c r="W769" s="12"/>
      <c r="X769" s="13"/>
      <c r="Y769" s="13"/>
      <c r="Z769" s="13"/>
      <c r="AA769" s="14"/>
      <c r="AB769" s="89"/>
      <c r="AC769" s="14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8"/>
    </row>
    <row r="770" spans="23:42" ht="15">
      <c r="W770" s="12"/>
      <c r="X770" s="13"/>
      <c r="Y770" s="13"/>
      <c r="Z770" s="13"/>
      <c r="AA770" s="14"/>
      <c r="AB770" s="89"/>
      <c r="AC770" s="14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6"/>
    </row>
    <row r="771" spans="23:42" ht="15">
      <c r="W771" s="12"/>
      <c r="X771" s="13"/>
      <c r="Y771" s="13"/>
      <c r="Z771" s="13"/>
      <c r="AA771" s="14"/>
      <c r="AB771" s="89"/>
      <c r="AC771" s="14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8"/>
    </row>
    <row r="772" spans="23:42" ht="15">
      <c r="W772" s="12"/>
      <c r="X772" s="13"/>
      <c r="Y772" s="13"/>
      <c r="Z772" s="13"/>
      <c r="AA772" s="14"/>
      <c r="AB772" s="89"/>
      <c r="AC772" s="14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6"/>
    </row>
    <row r="773" spans="23:42" ht="15">
      <c r="W773" s="12"/>
      <c r="X773" s="13"/>
      <c r="Y773" s="13"/>
      <c r="Z773" s="13"/>
      <c r="AA773" s="14"/>
      <c r="AB773" s="89"/>
      <c r="AC773" s="14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8"/>
    </row>
    <row r="774" spans="23:42" ht="15">
      <c r="W774" s="12"/>
      <c r="X774" s="13"/>
      <c r="Y774" s="13"/>
      <c r="Z774" s="13"/>
      <c r="AA774" s="14"/>
      <c r="AB774" s="89"/>
      <c r="AC774" s="14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6"/>
    </row>
    <row r="775" spans="23:42" ht="15">
      <c r="W775" s="12"/>
      <c r="X775" s="13"/>
      <c r="Y775" s="13"/>
      <c r="Z775" s="13"/>
      <c r="AA775" s="14"/>
      <c r="AB775" s="89"/>
      <c r="AC775" s="14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8"/>
    </row>
    <row r="776" spans="23:42" ht="15">
      <c r="W776" s="12"/>
      <c r="X776" s="13"/>
      <c r="Y776" s="13"/>
      <c r="Z776" s="13"/>
      <c r="AA776" s="14"/>
      <c r="AB776" s="89"/>
      <c r="AC776" s="14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6"/>
    </row>
    <row r="777" spans="23:42" ht="15">
      <c r="W777" s="12"/>
      <c r="X777" s="13"/>
      <c r="Y777" s="13"/>
      <c r="Z777" s="13"/>
      <c r="AA777" s="14"/>
      <c r="AB777" s="89"/>
      <c r="AC777" s="14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8"/>
    </row>
    <row r="778" spans="23:42" ht="15">
      <c r="W778" s="19"/>
      <c r="X778" s="20"/>
      <c r="Y778" s="20"/>
      <c r="Z778" s="20"/>
      <c r="AA778" s="21"/>
      <c r="AB778" s="90"/>
      <c r="AC778" s="21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9B00B-A117-403B-91D7-010FCA13466D}">
  <dimension ref="A2:AB131"/>
  <sheetViews>
    <sheetView zoomScale="85" zoomScaleNormal="85" workbookViewId="0"/>
  </sheetViews>
  <sheetFormatPr defaultColWidth="9.140625" defaultRowHeight="14.25"/>
  <cols>
    <col min="1" max="1" width="3" style="1" customWidth="1"/>
    <col min="2" max="22" width="9.140625" style="1"/>
    <col min="23" max="23" width="9.140625" style="1" customWidth="1"/>
    <col min="24" max="16384" width="9.140625" style="1"/>
  </cols>
  <sheetData>
    <row r="2" spans="1:28" ht="15">
      <c r="A2" s="91" t="s">
        <v>1433</v>
      </c>
    </row>
    <row r="3" spans="1:28" ht="15">
      <c r="B3" s="1" t="s">
        <v>1496</v>
      </c>
      <c r="U3"/>
      <c r="AB3"/>
    </row>
    <row r="4" spans="1:28">
      <c r="C4" s="1" t="s">
        <v>1495</v>
      </c>
    </row>
    <row r="5" spans="1:28">
      <c r="C5" s="1" t="s">
        <v>1491</v>
      </c>
    </row>
    <row r="6" spans="1:28">
      <c r="D6" s="1" t="s">
        <v>1494</v>
      </c>
    </row>
    <row r="7" spans="1:28">
      <c r="D7" s="1" t="s">
        <v>1493</v>
      </c>
    </row>
    <row r="8" spans="1:28">
      <c r="C8" s="1" t="s">
        <v>1492</v>
      </c>
    </row>
    <row r="9" spans="1:28">
      <c r="D9" s="1" t="s">
        <v>1494</v>
      </c>
    </row>
    <row r="10" spans="1:28">
      <c r="D10" s="1" t="s">
        <v>1493</v>
      </c>
    </row>
    <row r="11" spans="1:28">
      <c r="C11" s="1" t="s">
        <v>2216</v>
      </c>
    </row>
    <row r="12" spans="1:28">
      <c r="D12" s="1" t="s">
        <v>2217</v>
      </c>
    </row>
    <row r="13" spans="1:28">
      <c r="E13" s="1" t="s">
        <v>2218</v>
      </c>
    </row>
    <row r="18" spans="1:28" ht="15">
      <c r="A18" s="91" t="s">
        <v>1490</v>
      </c>
    </row>
    <row r="19" spans="1:28" ht="15">
      <c r="B19" s="1" t="s">
        <v>2226</v>
      </c>
      <c r="T19"/>
      <c r="AB19"/>
    </row>
    <row r="20" spans="1:28">
      <c r="B20" s="1" t="s">
        <v>1497</v>
      </c>
    </row>
    <row r="21" spans="1:28">
      <c r="C21" s="1" t="s">
        <v>1498</v>
      </c>
    </row>
    <row r="22" spans="1:28" ht="15">
      <c r="D22" s="1" t="s">
        <v>2237</v>
      </c>
    </row>
    <row r="23" spans="1:28">
      <c r="D23" s="1" t="s">
        <v>2220</v>
      </c>
    </row>
    <row r="24" spans="1:28" ht="15">
      <c r="E24" s="2" t="s">
        <v>2222</v>
      </c>
    </row>
    <row r="25" spans="1:28" ht="15">
      <c r="E25" s="1" t="s">
        <v>2242</v>
      </c>
    </row>
    <row r="26" spans="1:28" ht="15">
      <c r="E26" s="1" t="s">
        <v>2243</v>
      </c>
    </row>
    <row r="27" spans="1:28">
      <c r="F27" s="1" t="s">
        <v>2223</v>
      </c>
    </row>
    <row r="28" spans="1:28">
      <c r="F28" s="1" t="s">
        <v>2224</v>
      </c>
    </row>
    <row r="29" spans="1:28">
      <c r="C29" s="1" t="s">
        <v>2236</v>
      </c>
    </row>
    <row r="30" spans="1:28" ht="15">
      <c r="D30" s="1" t="s">
        <v>2238</v>
      </c>
    </row>
    <row r="31" spans="1:28">
      <c r="D31" s="1" t="s">
        <v>2239</v>
      </c>
    </row>
    <row r="32" spans="1:28">
      <c r="E32" s="1" t="s">
        <v>2240</v>
      </c>
    </row>
    <row r="33" spans="2:5" ht="15">
      <c r="E33" s="2" t="s">
        <v>2222</v>
      </c>
    </row>
    <row r="34" spans="2:5" ht="15">
      <c r="E34" s="1" t="s">
        <v>2241</v>
      </c>
    </row>
    <row r="35" spans="2:5">
      <c r="B35" s="1" t="s">
        <v>2219</v>
      </c>
    </row>
    <row r="36" spans="2:5" ht="15">
      <c r="D36" s="1" t="s">
        <v>2232</v>
      </c>
    </row>
    <row r="37" spans="2:5">
      <c r="D37" s="1" t="s">
        <v>2221</v>
      </c>
    </row>
    <row r="38" spans="2:5" ht="15">
      <c r="E38" s="2" t="s">
        <v>2227</v>
      </c>
    </row>
    <row r="39" spans="2:5" ht="15">
      <c r="E39" s="2" t="s">
        <v>2225</v>
      </c>
    </row>
    <row r="40" spans="2:5">
      <c r="E40" s="1" t="s">
        <v>2228</v>
      </c>
    </row>
    <row r="41" spans="2:5">
      <c r="C41" s="1" t="s">
        <v>2229</v>
      </c>
    </row>
    <row r="42" spans="2:5" ht="15">
      <c r="D42" s="1" t="s">
        <v>2232</v>
      </c>
    </row>
    <row r="43" spans="2:5">
      <c r="D43" s="1" t="s">
        <v>2230</v>
      </c>
    </row>
    <row r="44" spans="2:5" ht="15">
      <c r="E44" s="1" t="s">
        <v>2231</v>
      </c>
    </row>
    <row r="45" spans="2:5" ht="15">
      <c r="E45" s="2" t="s">
        <v>2233</v>
      </c>
    </row>
    <row r="46" spans="2:5">
      <c r="E46" s="1" t="s">
        <v>2234</v>
      </c>
    </row>
    <row r="47" spans="2:5">
      <c r="B47" s="1" t="s">
        <v>2244</v>
      </c>
    </row>
    <row r="48" spans="2:5">
      <c r="C48" s="1" t="s">
        <v>2235</v>
      </c>
    </row>
    <row r="53" spans="1:1" ht="15">
      <c r="A53" s="91" t="s">
        <v>1432</v>
      </c>
    </row>
    <row r="71" spans="1:1" ht="15">
      <c r="A71" s="91" t="s">
        <v>1434</v>
      </c>
    </row>
    <row r="88" spans="1:1" ht="15">
      <c r="A88" s="91" t="s">
        <v>1431</v>
      </c>
    </row>
    <row r="107" spans="1:1" ht="15">
      <c r="A107" s="91" t="s">
        <v>1435</v>
      </c>
    </row>
    <row r="131" spans="1:1" ht="15">
      <c r="A131" s="91" t="s">
        <v>1430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63948-7FD9-4D33-AAA7-BDE5D55568DA}">
  <dimension ref="A1"/>
  <sheetViews>
    <sheetView workbookViewId="0">
      <selection sqref="A1:XFD1048576"/>
    </sheetView>
  </sheetViews>
  <sheetFormatPr defaultColWidth="9.140625"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CC31F-8910-447E-89B3-28B6120F3B0A}">
  <dimension ref="B2:Z8"/>
  <sheetViews>
    <sheetView topLeftCell="G1" workbookViewId="0">
      <selection activeCell="B2" sqref="B2:Z8"/>
    </sheetView>
  </sheetViews>
  <sheetFormatPr defaultColWidth="9.140625" defaultRowHeight="14.25"/>
  <cols>
    <col min="1" max="1" width="3.140625" style="1" customWidth="1"/>
    <col min="2" max="16384" width="9.140625" style="1"/>
  </cols>
  <sheetData>
    <row r="2" spans="2:26" ht="15">
      <c r="B2" s="3" t="s">
        <v>11</v>
      </c>
      <c r="C2" s="4"/>
      <c r="D2" s="4"/>
      <c r="E2" s="4"/>
      <c r="F2" s="4"/>
      <c r="G2" s="3" t="s">
        <v>11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2:26" ht="15">
      <c r="B3" s="7" t="s">
        <v>12</v>
      </c>
      <c r="C3" s="8"/>
      <c r="D3" s="8"/>
      <c r="E3" s="8"/>
      <c r="F3" s="9"/>
      <c r="G3" s="10" t="s">
        <v>13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1"/>
    </row>
    <row r="4" spans="2:26" ht="15">
      <c r="B4" s="12" t="s">
        <v>12</v>
      </c>
      <c r="C4" s="13"/>
      <c r="D4" s="13"/>
      <c r="E4" s="13"/>
      <c r="F4" s="14"/>
      <c r="G4" s="15" t="s">
        <v>14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6"/>
    </row>
    <row r="5" spans="2:26" ht="15">
      <c r="B5" s="12" t="s">
        <v>12</v>
      </c>
      <c r="C5" s="13"/>
      <c r="D5" s="13"/>
      <c r="E5" s="13"/>
      <c r="F5" s="14"/>
      <c r="G5" s="17" t="s">
        <v>13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8"/>
    </row>
    <row r="6" spans="2:26" ht="15">
      <c r="B6" s="12" t="s">
        <v>12</v>
      </c>
      <c r="C6" s="13"/>
      <c r="D6" s="13"/>
      <c r="E6" s="13"/>
      <c r="F6" s="14"/>
      <c r="G6" s="15" t="s">
        <v>14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6"/>
    </row>
    <row r="7" spans="2:26" ht="15">
      <c r="B7" s="12" t="s">
        <v>12</v>
      </c>
      <c r="C7" s="13"/>
      <c r="D7" s="13"/>
      <c r="E7" s="13"/>
      <c r="F7" s="14"/>
      <c r="G7" s="17" t="s">
        <v>13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8"/>
    </row>
    <row r="8" spans="2:26" ht="15">
      <c r="B8" s="19" t="s">
        <v>12</v>
      </c>
      <c r="C8" s="20"/>
      <c r="D8" s="20"/>
      <c r="E8" s="20"/>
      <c r="F8" s="21"/>
      <c r="G8" s="22" t="s">
        <v>14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788DC1-556E-48CC-9305-C9513931C6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</vt:lpstr>
      <vt:lpstr>Model</vt:lpstr>
      <vt:lpstr>Notes | Quant Analysis</vt:lpstr>
      <vt:lpstr>Management</vt:lpstr>
      <vt:lpstr>M&amp;A</vt:lpstr>
      <vt:lpstr>Med-Devices</vt:lpstr>
      <vt:lpstr>Diagnostics</vt:lpstr>
      <vt:lpstr>Table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Jacob H</cp:lastModifiedBy>
  <dcterms:created xsi:type="dcterms:W3CDTF">2015-06-05T18:17:20Z</dcterms:created>
  <dcterms:modified xsi:type="dcterms:W3CDTF">2026-10-23T06:05:31Z</dcterms:modified>
</cp:coreProperties>
</file>